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49.xml" ContentType="application/vnd.openxmlformats-officedocument.drawingml.chart+xml"/>
  <Override PartName="/xl/drawings/drawing28.xml" ContentType="application/vnd.openxmlformats-officedocument.drawingml.chartshapes+xml"/>
  <Override PartName="/xl/charts/chart50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.sharepoint.com/sites/UnitforFutureSkills/Shared Documents/Research Projects/R007 Skills Imperative 2035 revised projections/Projections/Regional_national/Main tables/"/>
    </mc:Choice>
  </mc:AlternateContent>
  <xr:revisionPtr revIDLastSave="0" documentId="13_ncr:1_{1DCFA8F4-E1A3-4B94-944D-D95D09993AE6}" xr6:coauthVersionLast="47" xr6:coauthVersionMax="47" xr10:uidLastSave="{00000000-0000-0000-0000-000000000000}"/>
  <bookViews>
    <workbookView xWindow="-13275" yWindow="-16320" windowWidth="29040" windowHeight="15720" tabRatio="880" firstSheet="1" activeTab="2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T2'!$A$1:$CT$146</definedName>
    <definedName name="_xlnm.Print_Area" localSheetId="33">'Basic T3'!$A$1:$AG$35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T4'!$A$1:$L$122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F1'!$A$1:$J$185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T2'!$A$1:$AF$180</definedName>
    <definedName name="_xlnm.Print_Area" localSheetId="17">'Occ T3'!$A$1:$L$103</definedName>
    <definedName name="_xlnm.Print_Area" localSheetId="18">'Occ T4'!$A$1:$U$38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T1'!$A$1:$G$294,'RD T1'!$I$1:$N$117,'RD T1'!$P$1:$V$62,'RD T1'!$X$1:$AD$82</definedName>
    <definedName name="_xlnm.Print_Area" localSheetId="28">'ShiftShare T1'!$A$1:$R$71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18" l="1"/>
  <c r="D40" i="18"/>
  <c r="E40" i="18"/>
  <c r="F40" i="18"/>
  <c r="C41" i="18"/>
  <c r="D41" i="18"/>
  <c r="E41" i="18"/>
  <c r="F41" i="18"/>
  <c r="C44" i="18"/>
  <c r="D44" i="18"/>
  <c r="E44" i="18"/>
  <c r="F44" i="18"/>
  <c r="C45" i="18"/>
  <c r="D45" i="18"/>
  <c r="E45" i="18"/>
  <c r="F45" i="18"/>
  <c r="C48" i="18"/>
  <c r="D48" i="18"/>
  <c r="E48" i="18"/>
  <c r="F48" i="18"/>
  <c r="C49" i="18"/>
  <c r="D49" i="18"/>
  <c r="E49" i="18"/>
  <c r="F49" i="18"/>
  <c r="B49" i="18"/>
  <c r="B48" i="18"/>
  <c r="H48" i="18" s="1"/>
  <c r="B45" i="18"/>
  <c r="B44" i="18"/>
  <c r="B41" i="18"/>
  <c r="B40" i="18"/>
  <c r="X1" i="49"/>
  <c r="P1" i="49"/>
  <c r="I1" i="49"/>
  <c r="A1" i="49"/>
  <c r="AK1" i="80"/>
  <c r="W1" i="80"/>
  <c r="Q1" i="109"/>
  <c r="A1" i="109"/>
  <c r="A1" i="105"/>
  <c r="A1" i="71"/>
  <c r="A1" i="103"/>
  <c r="A1" i="101"/>
  <c r="A1" i="102"/>
  <c r="A1" i="97"/>
  <c r="CP35" i="78" l="1"/>
  <c r="V49" i="49"/>
  <c r="T62" i="49"/>
  <c r="R33" i="49"/>
  <c r="B294" i="49"/>
  <c r="E71" i="80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AH32" i="76"/>
  <c r="AI32" i="76"/>
  <c r="AJ32" i="76"/>
  <c r="AK32" i="76"/>
  <c r="AL32" i="76"/>
  <c r="M32" i="76"/>
  <c r="L107" i="75"/>
  <c r="M107" i="75"/>
  <c r="B36" i="105"/>
  <c r="H9" i="78" l="1"/>
  <c r="H8" i="78"/>
  <c r="H45" i="78" s="1"/>
  <c r="M107" i="49" a="1"/>
  <c r="M107" i="49" s="1"/>
  <c r="K107" i="49" a="1"/>
  <c r="K107" i="49" s="1"/>
  <c r="J107" i="49" a="1"/>
  <c r="J107" i="49" s="1"/>
  <c r="M96" i="49" a="1"/>
  <c r="M100" i="49" s="1"/>
  <c r="K96" i="49" a="1"/>
  <c r="K96" i="49" s="1"/>
  <c r="J96" i="49" a="1"/>
  <c r="J96" i="49" s="1"/>
  <c r="M85" i="49" a="1"/>
  <c r="M86" i="49" s="1"/>
  <c r="K85" i="49" a="1"/>
  <c r="K85" i="49" s="1"/>
  <c r="J85" i="49" a="1"/>
  <c r="J85" i="49" s="1"/>
  <c r="M74" i="49" a="1"/>
  <c r="M74" i="49" s="1"/>
  <c r="K74" i="49" a="1"/>
  <c r="K75" i="49" s="1"/>
  <c r="J74" i="49" a="1"/>
  <c r="J74" i="49" s="1"/>
  <c r="M63" i="49" a="1"/>
  <c r="M64" i="49" s="1"/>
  <c r="K63" i="49" a="1"/>
  <c r="K63" i="49" s="1"/>
  <c r="J63" i="49" a="1"/>
  <c r="J63" i="49" s="1"/>
  <c r="M52" i="49" a="1"/>
  <c r="M52" i="49" s="1"/>
  <c r="K52" i="49" a="1"/>
  <c r="K53" i="49" s="1"/>
  <c r="J52" i="49" a="1"/>
  <c r="J53" i="49" s="1"/>
  <c r="M41" i="49" a="1"/>
  <c r="M41" i="49" s="1"/>
  <c r="K41" i="49" a="1"/>
  <c r="K41" i="49" s="1"/>
  <c r="J41" i="49" a="1"/>
  <c r="J41" i="49" s="1"/>
  <c r="M30" i="49" a="1"/>
  <c r="M30" i="49" s="1"/>
  <c r="K30" i="49" a="1"/>
  <c r="K33" i="49" s="1"/>
  <c r="J30" i="49" a="1"/>
  <c r="J30" i="49" s="1"/>
  <c r="M19" i="49" a="1"/>
  <c r="M19" i="49" s="1"/>
  <c r="K19" i="49" a="1"/>
  <c r="K19" i="49" s="1"/>
  <c r="J19" i="49" a="1"/>
  <c r="J19" i="49" s="1"/>
  <c r="L44" i="109"/>
  <c r="G44" i="109"/>
  <c r="R9" i="105"/>
  <c r="Q9" i="105"/>
  <c r="N9" i="105"/>
  <c r="K59" i="49" l="1"/>
  <c r="K56" i="49"/>
  <c r="K81" i="49"/>
  <c r="M59" i="49"/>
  <c r="J31" i="49"/>
  <c r="M63" i="49"/>
  <c r="J26" i="49"/>
  <c r="K74" i="49"/>
  <c r="J104" i="49"/>
  <c r="K23" i="49"/>
  <c r="K22" i="49"/>
  <c r="K20" i="49"/>
  <c r="J48" i="49"/>
  <c r="J100" i="49"/>
  <c r="J45" i="49"/>
  <c r="J70" i="49"/>
  <c r="M23" i="49"/>
  <c r="J42" i="49"/>
  <c r="J68" i="49"/>
  <c r="M79" i="49"/>
  <c r="M20" i="49"/>
  <c r="K70" i="49"/>
  <c r="J92" i="49"/>
  <c r="J86" i="49"/>
  <c r="J114" i="49"/>
  <c r="J34" i="49"/>
  <c r="J52" i="49"/>
  <c r="M71" i="49"/>
  <c r="M22" i="49"/>
  <c r="M93" i="49"/>
  <c r="K30" i="49"/>
  <c r="M92" i="49"/>
  <c r="K82" i="49"/>
  <c r="M85" i="49"/>
  <c r="M78" i="49"/>
  <c r="J99" i="49"/>
  <c r="K27" i="49"/>
  <c r="M27" i="49"/>
  <c r="M48" i="49"/>
  <c r="J60" i="49"/>
  <c r="K52" i="49"/>
  <c r="M75" i="49"/>
  <c r="K92" i="49"/>
  <c r="M89" i="49"/>
  <c r="J97" i="49"/>
  <c r="M104" i="49"/>
  <c r="K114" i="49"/>
  <c r="K26" i="49"/>
  <c r="M26" i="49"/>
  <c r="K38" i="49"/>
  <c r="M37" i="49"/>
  <c r="K48" i="49"/>
  <c r="M47" i="49"/>
  <c r="J59" i="49"/>
  <c r="K90" i="49"/>
  <c r="M103" i="49"/>
  <c r="J54" i="49"/>
  <c r="K89" i="49"/>
  <c r="K103" i="49"/>
  <c r="M99" i="49"/>
  <c r="K37" i="49"/>
  <c r="K34" i="49"/>
  <c r="M98" i="49"/>
  <c r="K32" i="49"/>
  <c r="M70" i="49"/>
  <c r="M97" i="49"/>
  <c r="J37" i="49"/>
  <c r="K31" i="49"/>
  <c r="K60" i="49"/>
  <c r="M67" i="49"/>
  <c r="K78" i="49"/>
  <c r="M81" i="49"/>
  <c r="J89" i="49"/>
  <c r="J103" i="49"/>
  <c r="M96" i="49"/>
  <c r="M114" i="49"/>
  <c r="M113" i="49"/>
  <c r="M112" i="49"/>
  <c r="M111" i="49"/>
  <c r="M110" i="49"/>
  <c r="M109" i="49"/>
  <c r="M108" i="49"/>
  <c r="M115" i="49"/>
  <c r="K113" i="49"/>
  <c r="K112" i="49"/>
  <c r="K111" i="49"/>
  <c r="K110" i="49"/>
  <c r="K109" i="49"/>
  <c r="K108" i="49"/>
  <c r="K115" i="49"/>
  <c r="J113" i="49"/>
  <c r="J112" i="49"/>
  <c r="J111" i="49"/>
  <c r="J110" i="49"/>
  <c r="J109" i="49"/>
  <c r="J108" i="49"/>
  <c r="J115" i="49"/>
  <c r="M102" i="49"/>
  <c r="M101" i="49"/>
  <c r="K102" i="49"/>
  <c r="K101" i="49"/>
  <c r="K100" i="49"/>
  <c r="K99" i="49"/>
  <c r="K98" i="49"/>
  <c r="K97" i="49"/>
  <c r="K104" i="49"/>
  <c r="J102" i="49"/>
  <c r="J101" i="49"/>
  <c r="J98" i="49"/>
  <c r="M91" i="49"/>
  <c r="M90" i="49"/>
  <c r="M88" i="49"/>
  <c r="M87" i="49"/>
  <c r="K91" i="49"/>
  <c r="K88" i="49"/>
  <c r="K87" i="49"/>
  <c r="K86" i="49"/>
  <c r="K93" i="49"/>
  <c r="J91" i="49"/>
  <c r="J90" i="49"/>
  <c r="J88" i="49"/>
  <c r="J87" i="49"/>
  <c r="J93" i="49"/>
  <c r="M80" i="49"/>
  <c r="M77" i="49"/>
  <c r="M76" i="49"/>
  <c r="M82" i="49"/>
  <c r="K80" i="49"/>
  <c r="K79" i="49"/>
  <c r="K77" i="49"/>
  <c r="K76" i="49"/>
  <c r="J80" i="49"/>
  <c r="J81" i="49"/>
  <c r="J79" i="49"/>
  <c r="J78" i="49"/>
  <c r="J77" i="49"/>
  <c r="J76" i="49"/>
  <c r="J75" i="49"/>
  <c r="J82" i="49"/>
  <c r="M69" i="49"/>
  <c r="M68" i="49"/>
  <c r="M66" i="49"/>
  <c r="M65" i="49"/>
  <c r="K69" i="49"/>
  <c r="K68" i="49"/>
  <c r="K67" i="49"/>
  <c r="K66" i="49"/>
  <c r="K65" i="49"/>
  <c r="K64" i="49"/>
  <c r="K71" i="49"/>
  <c r="J69" i="49"/>
  <c r="J67" i="49"/>
  <c r="J66" i="49"/>
  <c r="J65" i="49"/>
  <c r="J64" i="49"/>
  <c r="J71" i="49"/>
  <c r="M58" i="49"/>
  <c r="M57" i="49"/>
  <c r="M56" i="49"/>
  <c r="M55" i="49"/>
  <c r="M54" i="49"/>
  <c r="M53" i="49"/>
  <c r="M60" i="49"/>
  <c r="K58" i="49"/>
  <c r="K57" i="49"/>
  <c r="K55" i="49"/>
  <c r="K54" i="49"/>
  <c r="J58" i="49"/>
  <c r="J57" i="49"/>
  <c r="J56" i="49"/>
  <c r="J55" i="49"/>
  <c r="M46" i="49"/>
  <c r="M45" i="49"/>
  <c r="M44" i="49"/>
  <c r="M43" i="49"/>
  <c r="M42" i="49"/>
  <c r="M49" i="49"/>
  <c r="K47" i="49"/>
  <c r="K46" i="49"/>
  <c r="K45" i="49"/>
  <c r="K44" i="49"/>
  <c r="K43" i="49"/>
  <c r="K42" i="49"/>
  <c r="K49" i="49"/>
  <c r="J47" i="49"/>
  <c r="J46" i="49"/>
  <c r="J44" i="49"/>
  <c r="J43" i="49"/>
  <c r="J49" i="49"/>
  <c r="M36" i="49"/>
  <c r="M35" i="49"/>
  <c r="M34" i="49"/>
  <c r="M33" i="49"/>
  <c r="M32" i="49"/>
  <c r="M31" i="49"/>
  <c r="M38" i="49"/>
  <c r="K36" i="49"/>
  <c r="K35" i="49"/>
  <c r="J36" i="49"/>
  <c r="J35" i="49"/>
  <c r="J33" i="49"/>
  <c r="J32" i="49"/>
  <c r="J38" i="49"/>
  <c r="M25" i="49"/>
  <c r="M24" i="49"/>
  <c r="M21" i="49"/>
  <c r="K25" i="49"/>
  <c r="K24" i="49"/>
  <c r="K21" i="49"/>
  <c r="J25" i="49"/>
  <c r="J24" i="49"/>
  <c r="J23" i="49"/>
  <c r="J22" i="49"/>
  <c r="J21" i="49"/>
  <c r="J20" i="49"/>
  <c r="J27" i="49"/>
  <c r="AB8" i="16" l="1" a="1"/>
  <c r="AB8" i="16" s="1"/>
  <c r="AA8" i="16" a="1"/>
  <c r="AA9" i="16" s="1"/>
  <c r="Z8" i="16" a="1"/>
  <c r="Z8" i="16" s="1"/>
  <c r="Y8" i="16" a="1"/>
  <c r="Y8" i="16" s="1"/>
  <c r="X8" i="16" a="1"/>
  <c r="X8" i="16" s="1"/>
  <c r="Q8" i="16" a="1"/>
  <c r="Q9" i="16" s="1"/>
  <c r="P8" i="16" a="1"/>
  <c r="P8" i="16" s="1"/>
  <c r="O8" i="16" a="1"/>
  <c r="O8" i="16" s="1"/>
  <c r="N8" i="16" a="1"/>
  <c r="N9" i="16" s="1"/>
  <c r="M8" i="16" a="1"/>
  <c r="M8" i="16" s="1"/>
  <c r="F8" i="16" a="1"/>
  <c r="F8" i="16" s="1"/>
  <c r="E8" i="16" a="1"/>
  <c r="E8" i="16" s="1"/>
  <c r="D8" i="16" a="1"/>
  <c r="D9" i="16" s="1"/>
  <c r="C8" i="16" a="1"/>
  <c r="C8" i="16" s="1"/>
  <c r="B8" i="16" a="1"/>
  <c r="B10" i="16" s="1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323" i="97"/>
  <c r="F324" i="97"/>
  <c r="F325" i="97"/>
  <c r="F326" i="97"/>
  <c r="F327" i="97"/>
  <c r="F328" i="97"/>
  <c r="F329" i="97"/>
  <c r="F330" i="97"/>
  <c r="F331" i="97"/>
  <c r="F257" i="97"/>
  <c r="F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239" i="97"/>
  <c r="F240" i="97"/>
  <c r="F241" i="97"/>
  <c r="F242" i="97"/>
  <c r="F243" i="97"/>
  <c r="F244" i="97"/>
  <c r="F245" i="97"/>
  <c r="F246" i="97"/>
  <c r="F247" i="97"/>
  <c r="F173" i="97"/>
  <c r="F171" i="97"/>
  <c r="B15" i="16" l="1"/>
  <c r="B9" i="16"/>
  <c r="D8" i="16"/>
  <c r="H8" i="16" s="1"/>
  <c r="P15" i="16"/>
  <c r="E11" i="16"/>
  <c r="P14" i="16"/>
  <c r="B16" i="16"/>
  <c r="E9" i="16"/>
  <c r="P13" i="16"/>
  <c r="B8" i="16"/>
  <c r="X15" i="16"/>
  <c r="N16" i="16"/>
  <c r="X12" i="16"/>
  <c r="N15" i="16"/>
  <c r="D16" i="16"/>
  <c r="N10" i="16"/>
  <c r="D15" i="16"/>
  <c r="N8" i="16"/>
  <c r="Z15" i="16"/>
  <c r="D12" i="16"/>
  <c r="Z9" i="16"/>
  <c r="E16" i="16"/>
  <c r="M16" i="16"/>
  <c r="Q16" i="16"/>
  <c r="AA15" i="16"/>
  <c r="C15" i="16"/>
  <c r="E15" i="16"/>
  <c r="M15" i="16"/>
  <c r="Q15" i="16"/>
  <c r="Y15" i="16"/>
  <c r="AA12" i="16"/>
  <c r="E13" i="16"/>
  <c r="M11" i="16"/>
  <c r="O15" i="16"/>
  <c r="Q13" i="16"/>
  <c r="AA8" i="16"/>
  <c r="M9" i="16"/>
  <c r="Q8" i="16"/>
  <c r="Z10" i="16"/>
  <c r="AB15" i="16"/>
  <c r="X9" i="16"/>
  <c r="AA16" i="16"/>
  <c r="AB14" i="16"/>
  <c r="AB13" i="16"/>
  <c r="AB12" i="16"/>
  <c r="AB11" i="16"/>
  <c r="AB10" i="16"/>
  <c r="AB9" i="16"/>
  <c r="AB16" i="16"/>
  <c r="AA14" i="16"/>
  <c r="AA13" i="16"/>
  <c r="AA11" i="16"/>
  <c r="AA10" i="16"/>
  <c r="Z14" i="16"/>
  <c r="Z13" i="16"/>
  <c r="Z12" i="16"/>
  <c r="Z11" i="16"/>
  <c r="Z16" i="16"/>
  <c r="Y14" i="16"/>
  <c r="Y13" i="16"/>
  <c r="Y12" i="16"/>
  <c r="Y11" i="16"/>
  <c r="Y10" i="16"/>
  <c r="Y9" i="16"/>
  <c r="Y16" i="16"/>
  <c r="X14" i="16"/>
  <c r="X13" i="16"/>
  <c r="X11" i="16"/>
  <c r="X10" i="16"/>
  <c r="X16" i="16"/>
  <c r="Q14" i="16"/>
  <c r="Q12" i="16"/>
  <c r="Q11" i="16"/>
  <c r="Q10" i="16"/>
  <c r="P12" i="16"/>
  <c r="P11" i="16"/>
  <c r="P10" i="16"/>
  <c r="P9" i="16"/>
  <c r="P16" i="16"/>
  <c r="O14" i="16"/>
  <c r="O13" i="16"/>
  <c r="O12" i="16"/>
  <c r="O11" i="16"/>
  <c r="O10" i="16"/>
  <c r="O9" i="16"/>
  <c r="O16" i="16"/>
  <c r="N14" i="16"/>
  <c r="N13" i="16"/>
  <c r="N12" i="16"/>
  <c r="N11" i="16"/>
  <c r="M14" i="16"/>
  <c r="M13" i="16"/>
  <c r="M12" i="16"/>
  <c r="M10" i="16"/>
  <c r="F15" i="16"/>
  <c r="F14" i="16"/>
  <c r="F13" i="16"/>
  <c r="F12" i="16"/>
  <c r="F11" i="16"/>
  <c r="F10" i="16"/>
  <c r="F9" i="16"/>
  <c r="F16" i="16"/>
  <c r="E14" i="16"/>
  <c r="E12" i="16"/>
  <c r="E10" i="16"/>
  <c r="D14" i="16"/>
  <c r="D13" i="16"/>
  <c r="D11" i="16"/>
  <c r="D10" i="16"/>
  <c r="C14" i="16"/>
  <c r="C13" i="16"/>
  <c r="C12" i="16"/>
  <c r="C11" i="16"/>
  <c r="C10" i="16"/>
  <c r="C9" i="16"/>
  <c r="C16" i="16"/>
  <c r="B14" i="16"/>
  <c r="B13" i="16"/>
  <c r="B12" i="16"/>
  <c r="B11" i="16"/>
  <c r="Y6" i="71" l="1"/>
  <c r="Z6" i="71"/>
  <c r="AA6" i="71"/>
  <c r="AB6" i="71"/>
  <c r="X6" i="71"/>
  <c r="W1" i="71" s="1"/>
  <c r="N6" i="71"/>
  <c r="O6" i="71"/>
  <c r="P6" i="71"/>
  <c r="Q6" i="71"/>
  <c r="M6" i="71"/>
  <c r="L1" i="71" s="1"/>
  <c r="AR5" i="109"/>
  <c r="AM5" i="109"/>
  <c r="AH5" i="109"/>
  <c r="AB5" i="109"/>
  <c r="W5" i="109"/>
  <c r="R5" i="109"/>
  <c r="AH33" i="21"/>
  <c r="AI33" i="21"/>
  <c r="AJ33" i="21"/>
  <c r="AK33" i="21"/>
  <c r="AL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I8" i="78"/>
  <c r="AA81" i="49"/>
  <c r="I40" i="80"/>
  <c r="A37" i="80" s="1"/>
  <c r="N51" i="76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AH45" i="76"/>
  <c r="AI45" i="76"/>
  <c r="AJ45" i="76"/>
  <c r="AK45" i="76"/>
  <c r="AL45" i="76"/>
  <c r="AH41" i="76"/>
  <c r="AI41" i="76"/>
  <c r="AJ41" i="76"/>
  <c r="AK41" i="76"/>
  <c r="AL41" i="76"/>
  <c r="AH37" i="76"/>
  <c r="AI37" i="76"/>
  <c r="AJ37" i="76"/>
  <c r="AK37" i="76"/>
  <c r="AL37" i="76"/>
  <c r="AH26" i="76"/>
  <c r="AI26" i="76"/>
  <c r="AJ26" i="76"/>
  <c r="AK26" i="76"/>
  <c r="AL26" i="76"/>
  <c r="AH22" i="76"/>
  <c r="AI22" i="76"/>
  <c r="AJ22" i="76"/>
  <c r="AK22" i="76"/>
  <c r="AL22" i="76"/>
  <c r="AH15" i="76"/>
  <c r="AI15" i="76"/>
  <c r="AJ15" i="76"/>
  <c r="AK15" i="76"/>
  <c r="AL15" i="76"/>
  <c r="AH9" i="76"/>
  <c r="AI9" i="76"/>
  <c r="AJ9" i="76"/>
  <c r="AK9" i="76"/>
  <c r="AL9" i="76"/>
  <c r="AH5" i="76"/>
  <c r="AI5" i="76"/>
  <c r="AJ5" i="76"/>
  <c r="AK5" i="76"/>
  <c r="AL5" i="76"/>
  <c r="H34" i="105"/>
  <c r="L34" i="105"/>
  <c r="D34" i="105"/>
  <c r="A33" i="79"/>
  <c r="B33" i="79"/>
  <c r="C33" i="79"/>
  <c r="D33" i="79"/>
  <c r="E33" i="79"/>
  <c r="F33" i="79"/>
  <c r="G33" i="79"/>
  <c r="H33" i="79"/>
  <c r="I33" i="79"/>
  <c r="J33" i="79"/>
  <c r="A144" i="78"/>
  <c r="L144" i="78" s="1"/>
  <c r="AH144" i="78" s="1"/>
  <c r="BD144" i="78" s="1"/>
  <c r="BZ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F107" i="78"/>
  <c r="B107" i="78"/>
  <c r="C107" i="78"/>
  <c r="D107" i="78"/>
  <c r="E107" i="78"/>
  <c r="CN35" i="78"/>
  <c r="CN70" i="78" s="1"/>
  <c r="CO35" i="78"/>
  <c r="CO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L35" i="78"/>
  <c r="AL70" i="78" s="1"/>
  <c r="AK35" i="78"/>
  <c r="AK70" i="78" s="1"/>
  <c r="AJ35" i="78"/>
  <c r="AJ70" i="78" s="1"/>
  <c r="AI35" i="78"/>
  <c r="AI70" i="78" s="1"/>
  <c r="AB35" i="78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S33" i="78"/>
  <c r="T33" i="78"/>
  <c r="T70" i="78" s="1"/>
  <c r="AD33" i="78"/>
  <c r="AE33" i="78"/>
  <c r="AE70" i="78" s="1"/>
  <c r="AO33" i="78"/>
  <c r="AO70" i="78" s="1"/>
  <c r="AO107" i="78" s="1"/>
  <c r="AP33" i="78"/>
  <c r="AP70" i="78" s="1"/>
  <c r="AZ33" i="78"/>
  <c r="AZ70" i="78" s="1"/>
  <c r="AZ107" i="78" s="1"/>
  <c r="BA33" i="78"/>
  <c r="BK33" i="78"/>
  <c r="BL33" i="78"/>
  <c r="BL70" i="78" s="1"/>
  <c r="BV33" i="78"/>
  <c r="BV70" i="78" s="1"/>
  <c r="BV107" i="78" s="1"/>
  <c r="BW33" i="78"/>
  <c r="BW70" i="78" s="1"/>
  <c r="CG33" i="78"/>
  <c r="CH33" i="78"/>
  <c r="CH70" i="78" s="1"/>
  <c r="CR33" i="78"/>
  <c r="CR70" i="78" s="1"/>
  <c r="CR107" i="78" s="1"/>
  <c r="CS33" i="78"/>
  <c r="CS70" i="78" s="1"/>
  <c r="C35" i="78"/>
  <c r="C70" i="78" s="1"/>
  <c r="D35" i="78"/>
  <c r="E35" i="78"/>
  <c r="E70" i="78" s="1"/>
  <c r="F35" i="78"/>
  <c r="B35" i="78"/>
  <c r="B70" i="78" s="1"/>
  <c r="I33" i="78"/>
  <c r="I70" i="78" s="1"/>
  <c r="A33" i="78"/>
  <c r="L33" i="78" s="1"/>
  <c r="AH33" i="78" s="1"/>
  <c r="BD33" i="78" s="1"/>
  <c r="BZ33" i="78" s="1"/>
  <c r="H33" i="78"/>
  <c r="H70" i="78" s="1"/>
  <c r="H107" i="78" s="1"/>
  <c r="AE33" i="71"/>
  <c r="T33" i="71"/>
  <c r="O62" i="31"/>
  <c r="R62" i="49"/>
  <c r="Q62" i="49"/>
  <c r="V62" i="49" s="1"/>
  <c r="P61" i="49"/>
  <c r="S61" i="49"/>
  <c r="U61" i="49" s="1"/>
  <c r="V61" i="49"/>
  <c r="T33" i="49"/>
  <c r="Q33" i="49"/>
  <c r="S33" i="49" s="1"/>
  <c r="V32" i="49"/>
  <c r="P32" i="49"/>
  <c r="S32" i="49"/>
  <c r="U32" i="49" s="1"/>
  <c r="E32" i="49"/>
  <c r="I33" i="71" s="1"/>
  <c r="B32" i="49"/>
  <c r="C32" i="49"/>
  <c r="C62" i="49"/>
  <c r="E62" i="49"/>
  <c r="B62" i="49"/>
  <c r="C91" i="49"/>
  <c r="E91" i="49"/>
  <c r="B91" i="49"/>
  <c r="C120" i="49"/>
  <c r="E120" i="49"/>
  <c r="B120" i="49"/>
  <c r="C149" i="49"/>
  <c r="E149" i="49"/>
  <c r="B149" i="49"/>
  <c r="C178" i="49"/>
  <c r="E178" i="49"/>
  <c r="B178" i="49"/>
  <c r="C207" i="49"/>
  <c r="E207" i="49"/>
  <c r="B207" i="49"/>
  <c r="C236" i="49"/>
  <c r="E236" i="49"/>
  <c r="B236" i="49"/>
  <c r="C265" i="49"/>
  <c r="E265" i="49"/>
  <c r="B265" i="49"/>
  <c r="G293" i="49"/>
  <c r="E294" i="49"/>
  <c r="G294" i="49" s="1"/>
  <c r="C294" i="49"/>
  <c r="D293" i="49"/>
  <c r="F293" i="49" s="1"/>
  <c r="D264" i="49"/>
  <c r="F264" i="49" s="1"/>
  <c r="G264" i="49"/>
  <c r="D235" i="49"/>
  <c r="F235" i="49" s="1"/>
  <c r="G235" i="49"/>
  <c r="D206" i="49"/>
  <c r="F206" i="49" s="1"/>
  <c r="G206" i="49"/>
  <c r="D177" i="49"/>
  <c r="F177" i="49" s="1"/>
  <c r="G177" i="49"/>
  <c r="D148" i="49"/>
  <c r="F148" i="49" s="1"/>
  <c r="G148" i="49"/>
  <c r="D119" i="49"/>
  <c r="F119" i="49" s="1"/>
  <c r="G119" i="49"/>
  <c r="D90" i="49"/>
  <c r="F90" i="49" s="1"/>
  <c r="G90" i="49"/>
  <c r="D61" i="49"/>
  <c r="F61" i="49" s="1"/>
  <c r="G61" i="49"/>
  <c r="A32" i="49"/>
  <c r="A61" i="49" s="1"/>
  <c r="A148" i="49" s="1"/>
  <c r="A235" i="49" s="1"/>
  <c r="B71" i="80"/>
  <c r="C69" i="80" s="1"/>
  <c r="H69" i="80"/>
  <c r="I69" i="80"/>
  <c r="R69" i="80"/>
  <c r="A69" i="80"/>
  <c r="E35" i="80"/>
  <c r="F33" i="80" s="1"/>
  <c r="B35" i="80"/>
  <c r="C33" i="80" s="1"/>
  <c r="R33" i="80"/>
  <c r="I33" i="80"/>
  <c r="H33" i="80"/>
  <c r="A33" i="80"/>
  <c r="L82" i="76"/>
  <c r="L35" i="76"/>
  <c r="AG1" i="109" l="1"/>
  <c r="J8" i="78"/>
  <c r="J45" i="78" s="1"/>
  <c r="I45" i="78"/>
  <c r="H35" i="78"/>
  <c r="H72" i="78" s="1"/>
  <c r="H109" i="78" s="1"/>
  <c r="U33" i="49"/>
  <c r="AH49" i="76"/>
  <c r="AH59" i="76" s="1"/>
  <c r="S62" i="49"/>
  <c r="U62" i="49" s="1"/>
  <c r="AL38" i="21"/>
  <c r="AK38" i="21"/>
  <c r="AP107" i="78"/>
  <c r="AK49" i="76"/>
  <c r="AK52" i="76" s="1"/>
  <c r="AJ49" i="76"/>
  <c r="AJ52" i="76" s="1"/>
  <c r="AI49" i="76"/>
  <c r="AI84" i="76" s="1"/>
  <c r="AL49" i="76"/>
  <c r="AL84" i="76" s="1"/>
  <c r="AJ38" i="21"/>
  <c r="AI38" i="21"/>
  <c r="AH38" i="21"/>
  <c r="AF33" i="78"/>
  <c r="AF70" i="78" s="1"/>
  <c r="AF107" i="78" s="1"/>
  <c r="CS107" i="78"/>
  <c r="K69" i="80"/>
  <c r="L69" i="80" s="1"/>
  <c r="K33" i="79"/>
  <c r="CR35" i="78"/>
  <c r="AD70" i="78"/>
  <c r="AD107" i="78" s="1"/>
  <c r="B146" i="78"/>
  <c r="BB33" i="78"/>
  <c r="BB70" i="78" s="1"/>
  <c r="BB107" i="78" s="1"/>
  <c r="CP70" i="78"/>
  <c r="D70" i="78"/>
  <c r="F146" i="78"/>
  <c r="W144" i="78"/>
  <c r="AS144" i="78" s="1"/>
  <c r="BO144" i="78" s="1"/>
  <c r="CK144" i="78" s="1"/>
  <c r="AO35" i="78"/>
  <c r="BM33" i="78"/>
  <c r="BM70" i="78" s="1"/>
  <c r="BM107" i="78" s="1"/>
  <c r="BA70" i="78"/>
  <c r="BW107" i="78"/>
  <c r="F70" i="78"/>
  <c r="CH107" i="78"/>
  <c r="BA107" i="78"/>
  <c r="AD35" i="78"/>
  <c r="B72" i="78"/>
  <c r="T107" i="78"/>
  <c r="A107" i="78"/>
  <c r="BL107" i="78"/>
  <c r="I107" i="78"/>
  <c r="AE107" i="78"/>
  <c r="U33" i="78"/>
  <c r="U70" i="78" s="1"/>
  <c r="U107" i="78" s="1"/>
  <c r="BX33" i="78"/>
  <c r="BX70" i="78" s="1"/>
  <c r="BX107" i="78" s="1"/>
  <c r="BK35" i="78"/>
  <c r="AM70" i="78"/>
  <c r="J33" i="78"/>
  <c r="J70" i="78" s="1"/>
  <c r="J107" i="78" s="1"/>
  <c r="S70" i="78"/>
  <c r="S107" i="78" s="1"/>
  <c r="AQ33" i="78"/>
  <c r="AQ70" i="78" s="1"/>
  <c r="AQ107" i="78" s="1"/>
  <c r="A70" i="78"/>
  <c r="CI33" i="78"/>
  <c r="CI70" i="78" s="1"/>
  <c r="CI107" i="78" s="1"/>
  <c r="CG70" i="78"/>
  <c r="CG107" i="78" s="1"/>
  <c r="S35" i="78"/>
  <c r="BV35" i="78"/>
  <c r="CT33" i="78"/>
  <c r="CT70" i="78" s="1"/>
  <c r="CT107" i="78" s="1"/>
  <c r="BK70" i="78"/>
  <c r="BK107" i="78" s="1"/>
  <c r="AB70" i="78"/>
  <c r="W33" i="78"/>
  <c r="AS33" i="78" s="1"/>
  <c r="BO33" i="78" s="1"/>
  <c r="CK33" i="78" s="1"/>
  <c r="CG35" i="78"/>
  <c r="AZ35" i="78"/>
  <c r="B33" i="49"/>
  <c r="F32" i="49"/>
  <c r="D32" i="49"/>
  <c r="A119" i="49"/>
  <c r="A206" i="49" s="1"/>
  <c r="A293" i="49" s="1"/>
  <c r="A90" i="49"/>
  <c r="A177" i="49" s="1"/>
  <c r="A264" i="49" s="1"/>
  <c r="F69" i="80"/>
  <c r="H35" i="80"/>
  <c r="K33" i="80"/>
  <c r="L21" i="75"/>
  <c r="T34" i="105"/>
  <c r="U34" i="105"/>
  <c r="O10" i="105"/>
  <c r="Q10" i="105"/>
  <c r="R10" i="105"/>
  <c r="O11" i="105"/>
  <c r="Q11" i="105"/>
  <c r="R11" i="105"/>
  <c r="O12" i="105"/>
  <c r="Q12" i="105"/>
  <c r="R12" i="105"/>
  <c r="O13" i="105"/>
  <c r="Q13" i="105"/>
  <c r="R13" i="105"/>
  <c r="O14" i="105"/>
  <c r="Q14" i="105"/>
  <c r="R14" i="105"/>
  <c r="O15" i="105"/>
  <c r="Q15" i="105"/>
  <c r="R15" i="105"/>
  <c r="O16" i="105"/>
  <c r="Q16" i="105"/>
  <c r="R16" i="105"/>
  <c r="O17" i="105"/>
  <c r="Q17" i="105"/>
  <c r="R17" i="105"/>
  <c r="O18" i="105"/>
  <c r="Q18" i="105"/>
  <c r="R18" i="105"/>
  <c r="O19" i="105"/>
  <c r="Q19" i="105"/>
  <c r="R19" i="105"/>
  <c r="O20" i="105"/>
  <c r="Q20" i="105"/>
  <c r="R20" i="105"/>
  <c r="O21" i="105"/>
  <c r="Q21" i="105"/>
  <c r="R21" i="105"/>
  <c r="O22" i="105"/>
  <c r="Q22" i="105"/>
  <c r="R22" i="105"/>
  <c r="O23" i="105"/>
  <c r="Q23" i="105"/>
  <c r="R23" i="105"/>
  <c r="O24" i="105"/>
  <c r="Q24" i="105"/>
  <c r="R24" i="105"/>
  <c r="O25" i="105"/>
  <c r="Q25" i="105"/>
  <c r="R25" i="105"/>
  <c r="O26" i="105"/>
  <c r="Q26" i="105"/>
  <c r="R26" i="105"/>
  <c r="O27" i="105"/>
  <c r="Q27" i="105"/>
  <c r="R27" i="105"/>
  <c r="O28" i="105"/>
  <c r="Q28" i="105"/>
  <c r="R28" i="105"/>
  <c r="O29" i="105"/>
  <c r="Q29" i="105"/>
  <c r="R29" i="105"/>
  <c r="O30" i="105"/>
  <c r="Q30" i="105"/>
  <c r="R30" i="105"/>
  <c r="O31" i="105"/>
  <c r="Q31" i="105"/>
  <c r="R31" i="105"/>
  <c r="O32" i="105"/>
  <c r="Q32" i="105"/>
  <c r="R32" i="105"/>
  <c r="O33" i="105"/>
  <c r="Q33" i="105"/>
  <c r="R33" i="105"/>
  <c r="O34" i="105"/>
  <c r="Q34" i="105"/>
  <c r="R34" i="105"/>
  <c r="O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K36" i="105"/>
  <c r="J36" i="105"/>
  <c r="G36" i="105"/>
  <c r="F36" i="105"/>
  <c r="N36" i="105" s="1"/>
  <c r="C36" i="105"/>
  <c r="A34" i="105"/>
  <c r="A92" i="18"/>
  <c r="A89" i="18"/>
  <c r="A49" i="18"/>
  <c r="A48" i="18"/>
  <c r="A45" i="18"/>
  <c r="A44" i="18"/>
  <c r="A41" i="18"/>
  <c r="A40" i="18"/>
  <c r="B37" i="18"/>
  <c r="C37" i="18"/>
  <c r="D37" i="18"/>
  <c r="E37" i="18"/>
  <c r="F37" i="18"/>
  <c r="A37" i="18"/>
  <c r="W178" i="71"/>
  <c r="X178" i="71"/>
  <c r="Y178" i="71"/>
  <c r="Z178" i="71"/>
  <c r="AA178" i="71"/>
  <c r="AB178" i="71"/>
  <c r="L178" i="71"/>
  <c r="M178" i="71"/>
  <c r="N178" i="71"/>
  <c r="O178" i="71"/>
  <c r="P178" i="71"/>
  <c r="Q178" i="71"/>
  <c r="A178" i="71"/>
  <c r="B178" i="71"/>
  <c r="C178" i="71"/>
  <c r="D178" i="71"/>
  <c r="E178" i="71"/>
  <c r="F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X107" i="71"/>
  <c r="Y107" i="71"/>
  <c r="Z107" i="71"/>
  <c r="AA107" i="71"/>
  <c r="AB107" i="71"/>
  <c r="AE107" i="71"/>
  <c r="M107" i="71"/>
  <c r="N107" i="71"/>
  <c r="O107" i="71"/>
  <c r="P107" i="71"/>
  <c r="Q107" i="71"/>
  <c r="T107" i="71"/>
  <c r="F107" i="71"/>
  <c r="B107" i="71"/>
  <c r="C107" i="71"/>
  <c r="D107" i="71"/>
  <c r="E107" i="71"/>
  <c r="I107" i="71"/>
  <c r="AE70" i="71"/>
  <c r="T70" i="71"/>
  <c r="I70" i="71"/>
  <c r="AD33" i="71"/>
  <c r="AD70" i="71" s="1"/>
  <c r="AD107" i="71" s="1"/>
  <c r="Y35" i="71"/>
  <c r="Y70" i="71" s="1"/>
  <c r="Z35" i="71"/>
  <c r="Z70" i="71" s="1"/>
  <c r="AA35" i="71"/>
  <c r="AA70" i="71" s="1"/>
  <c r="AB35" i="71"/>
  <c r="X35" i="71"/>
  <c r="X70" i="71" s="1"/>
  <c r="Q35" i="71"/>
  <c r="Q70" i="71" s="1"/>
  <c r="M35" i="71"/>
  <c r="M70" i="71" s="1"/>
  <c r="C35" i="71"/>
  <c r="D35" i="71"/>
  <c r="D70" i="71" s="1"/>
  <c r="E35" i="71"/>
  <c r="E70" i="71" s="1"/>
  <c r="F35" i="71"/>
  <c r="F70" i="71" s="1"/>
  <c r="B35" i="71"/>
  <c r="B70" i="71" s="1"/>
  <c r="N35" i="71"/>
  <c r="N70" i="71" s="1"/>
  <c r="O35" i="71"/>
  <c r="O70" i="71" s="1"/>
  <c r="P35" i="71"/>
  <c r="P70" i="71" s="1"/>
  <c r="S33" i="71"/>
  <c r="S70" i="71" s="1"/>
  <c r="S107" i="71" s="1"/>
  <c r="H33" i="71"/>
  <c r="H70" i="71" s="1"/>
  <c r="H107" i="71" s="1"/>
  <c r="W107" i="71"/>
  <c r="W33" i="71"/>
  <c r="W144" i="71" s="1"/>
  <c r="L33" i="71"/>
  <c r="L70" i="71" s="1"/>
  <c r="A33" i="71"/>
  <c r="A70" i="71" s="1"/>
  <c r="A1" i="78"/>
  <c r="A1" i="52"/>
  <c r="R36" i="105" l="1"/>
  <c r="AE33" i="79"/>
  <c r="X33" i="79"/>
  <c r="AF33" i="79"/>
  <c r="AH54" i="76"/>
  <c r="AI52" i="76"/>
  <c r="AH93" i="76"/>
  <c r="AH57" i="76"/>
  <c r="AH76" i="76"/>
  <c r="AH90" i="76"/>
  <c r="AH85" i="76"/>
  <c r="AH84" i="76"/>
  <c r="AH94" i="76"/>
  <c r="AH82" i="76"/>
  <c r="AH64" i="76"/>
  <c r="AH53" i="76"/>
  <c r="AH86" i="76"/>
  <c r="AH70" i="76"/>
  <c r="AH77" i="76"/>
  <c r="AH92" i="76"/>
  <c r="AH62" i="76"/>
  <c r="AH79" i="76"/>
  <c r="AH69" i="76"/>
  <c r="AH52" i="76"/>
  <c r="N69" i="80"/>
  <c r="O69" i="80" s="1"/>
  <c r="AH56" i="76"/>
  <c r="AH88" i="76"/>
  <c r="AH96" i="76"/>
  <c r="AH63" i="76"/>
  <c r="AH73" i="76"/>
  <c r="AH67" i="76"/>
  <c r="AH75" i="76"/>
  <c r="AH80" i="76"/>
  <c r="AH60" i="76"/>
  <c r="AH58" i="76"/>
  <c r="AH65" i="76"/>
  <c r="AH89" i="76"/>
  <c r="AH81" i="76"/>
  <c r="AH66" i="76"/>
  <c r="AH74" i="76"/>
  <c r="AH71" i="76"/>
  <c r="AD35" i="71"/>
  <c r="O36" i="105"/>
  <c r="AB33" i="79"/>
  <c r="AA33" i="79"/>
  <c r="AI62" i="76"/>
  <c r="AL79" i="76"/>
  <c r="AL73" i="76"/>
  <c r="AL88" i="76"/>
  <c r="L37" i="18"/>
  <c r="J37" i="18"/>
  <c r="Q36" i="105"/>
  <c r="AG33" i="79"/>
  <c r="AC33" i="79"/>
  <c r="Z33" i="79"/>
  <c r="Y33" i="79"/>
  <c r="AK73" i="76"/>
  <c r="AK84" i="76"/>
  <c r="AJ60" i="76"/>
  <c r="AJ70" i="76"/>
  <c r="AJ80" i="76"/>
  <c r="AJ90" i="76"/>
  <c r="AJ57" i="76"/>
  <c r="AJ66" i="76"/>
  <c r="AJ76" i="76"/>
  <c r="AJ86" i="76"/>
  <c r="AJ53" i="76"/>
  <c r="AJ63" i="76"/>
  <c r="AJ82" i="76"/>
  <c r="AJ93" i="76"/>
  <c r="AJ59" i="76"/>
  <c r="AJ79" i="76"/>
  <c r="AJ65" i="76"/>
  <c r="AJ75" i="76"/>
  <c r="AJ85" i="76"/>
  <c r="AJ96" i="76"/>
  <c r="AJ62" i="76"/>
  <c r="AJ71" i="76"/>
  <c r="AJ81" i="76"/>
  <c r="AJ58" i="76"/>
  <c r="AJ64" i="76"/>
  <c r="AJ94" i="76"/>
  <c r="AJ84" i="76"/>
  <c r="AJ54" i="76"/>
  <c r="AJ74" i="76"/>
  <c r="AJ88" i="76"/>
  <c r="AJ67" i="76"/>
  <c r="AJ89" i="76"/>
  <c r="AJ77" i="76"/>
  <c r="AJ56" i="76"/>
  <c r="AL56" i="76"/>
  <c r="AJ69" i="76"/>
  <c r="AJ92" i="76"/>
  <c r="AK92" i="76"/>
  <c r="AI57" i="76"/>
  <c r="AI66" i="76"/>
  <c r="AI76" i="76"/>
  <c r="AI86" i="76"/>
  <c r="AI53" i="76"/>
  <c r="AI63" i="76"/>
  <c r="AI82" i="76"/>
  <c r="AI93" i="76"/>
  <c r="AI59" i="76"/>
  <c r="AI79" i="76"/>
  <c r="AI89" i="76"/>
  <c r="AI56" i="76"/>
  <c r="AI65" i="76"/>
  <c r="AI75" i="76"/>
  <c r="AI71" i="76"/>
  <c r="AI81" i="76"/>
  <c r="AI58" i="76"/>
  <c r="AI67" i="76"/>
  <c r="AI77" i="76"/>
  <c r="AI88" i="76"/>
  <c r="AI54" i="76"/>
  <c r="AI80" i="76"/>
  <c r="AI94" i="76"/>
  <c r="AI96" i="76"/>
  <c r="AI85" i="76"/>
  <c r="AI64" i="76"/>
  <c r="AI74" i="76"/>
  <c r="AI60" i="76"/>
  <c r="AI70" i="76"/>
  <c r="AI90" i="76"/>
  <c r="AJ73" i="76"/>
  <c r="AK54" i="76"/>
  <c r="AK64" i="76"/>
  <c r="AK74" i="76"/>
  <c r="AK94" i="76"/>
  <c r="AK60" i="76"/>
  <c r="AK70" i="76"/>
  <c r="AK80" i="76"/>
  <c r="AK90" i="76"/>
  <c r="AK57" i="76"/>
  <c r="AK66" i="76"/>
  <c r="AK76" i="76"/>
  <c r="AK86" i="76"/>
  <c r="AK53" i="76"/>
  <c r="AK63" i="76"/>
  <c r="AK59" i="76"/>
  <c r="AK89" i="76"/>
  <c r="AK65" i="76"/>
  <c r="AK75" i="76"/>
  <c r="AK85" i="76"/>
  <c r="AK96" i="76"/>
  <c r="AK62" i="76"/>
  <c r="AK93" i="76"/>
  <c r="AK82" i="76"/>
  <c r="AK58" i="76"/>
  <c r="AK81" i="76"/>
  <c r="AK88" i="76"/>
  <c r="AK67" i="76"/>
  <c r="AK77" i="76"/>
  <c r="AK71" i="76"/>
  <c r="AK56" i="76"/>
  <c r="AL58" i="76"/>
  <c r="AL67" i="76"/>
  <c r="AL77" i="76"/>
  <c r="AL54" i="76"/>
  <c r="AL64" i="76"/>
  <c r="AL74" i="76"/>
  <c r="AL94" i="76"/>
  <c r="AL60" i="76"/>
  <c r="AL70" i="76"/>
  <c r="AL80" i="76"/>
  <c r="AL90" i="76"/>
  <c r="AL57" i="76"/>
  <c r="AL66" i="76"/>
  <c r="AL76" i="76"/>
  <c r="AL53" i="76"/>
  <c r="AL63" i="76"/>
  <c r="AL82" i="76"/>
  <c r="AL93" i="76"/>
  <c r="AL59" i="76"/>
  <c r="AL69" i="76"/>
  <c r="AL89" i="76"/>
  <c r="AL71" i="76"/>
  <c r="AL62" i="76"/>
  <c r="AL96" i="76"/>
  <c r="AL52" i="76"/>
  <c r="AL65" i="76"/>
  <c r="AL86" i="76"/>
  <c r="AL92" i="76"/>
  <c r="AL81" i="76"/>
  <c r="AL75" i="76"/>
  <c r="AL85" i="76"/>
  <c r="AK79" i="76"/>
  <c r="AK69" i="76"/>
  <c r="AI69" i="76"/>
  <c r="AI73" i="76"/>
  <c r="AI92" i="76"/>
  <c r="H37" i="18"/>
  <c r="N33" i="80"/>
  <c r="O33" i="80" s="1"/>
  <c r="L33" i="80"/>
  <c r="AD33" i="79"/>
  <c r="AB70" i="71"/>
  <c r="B146" i="71"/>
  <c r="H35" i="71"/>
  <c r="P64" i="31" s="1"/>
  <c r="K37" i="18"/>
  <c r="B180" i="71"/>
  <c r="P62" i="31"/>
  <c r="J33" i="71"/>
  <c r="W107" i="78"/>
  <c r="AS107" i="78" s="1"/>
  <c r="BO107" i="78" s="1"/>
  <c r="CK107" i="78" s="1"/>
  <c r="L107" i="78"/>
  <c r="AH107" i="78" s="1"/>
  <c r="BD107" i="78" s="1"/>
  <c r="BZ107" i="78" s="1"/>
  <c r="W70" i="78"/>
  <c r="AS70" i="78" s="1"/>
  <c r="BO70" i="78" s="1"/>
  <c r="CK70" i="78" s="1"/>
  <c r="L70" i="78"/>
  <c r="AH70" i="78" s="1"/>
  <c r="BD70" i="78" s="1"/>
  <c r="BZ70" i="78" s="1"/>
  <c r="I37" i="18"/>
  <c r="C70" i="71"/>
  <c r="S35" i="71"/>
  <c r="L144" i="71"/>
  <c r="W70" i="71"/>
  <c r="A144" i="71"/>
  <c r="A107" i="71"/>
  <c r="L107" i="71"/>
  <c r="I7" i="11" a="1"/>
  <c r="I8" i="11" s="1"/>
  <c r="H72" i="71" l="1"/>
  <c r="H109" i="71" s="1"/>
  <c r="Q62" i="31"/>
  <c r="J70" i="71"/>
  <c r="J107" i="71" s="1"/>
  <c r="I7" i="11"/>
  <c r="I12" i="11"/>
  <c r="I11" i="11"/>
  <c r="I10" i="11"/>
  <c r="I9" i="11"/>
  <c r="AD7" i="49"/>
  <c r="AB82" i="49"/>
  <c r="Z82" i="49"/>
  <c r="Y82" i="49"/>
  <c r="AD8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C19" i="49" s="1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C30" i="49" s="1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C43" i="49" s="1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C54" i="49" s="1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C67" i="49" s="1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C78" i="49" s="1"/>
  <c r="AA79" i="49"/>
  <c r="AC79" i="49" s="1"/>
  <c r="AA80" i="49"/>
  <c r="AC80" i="49" s="1"/>
  <c r="AC81" i="49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I14" i="11" l="1"/>
  <c r="AA82" i="49"/>
  <c r="AC82" i="49" s="1"/>
  <c r="AD82" i="49"/>
  <c r="L163" i="75"/>
  <c r="L154" i="75"/>
  <c r="L155" i="75"/>
  <c r="L156" i="75"/>
  <c r="L157" i="75"/>
  <c r="L158" i="75"/>
  <c r="L159" i="75"/>
  <c r="L160" i="75"/>
  <c r="L161" i="75"/>
  <c r="L153" i="75"/>
  <c r="AF33" i="71" l="1"/>
  <c r="AF70" i="71" s="1"/>
  <c r="AF107" i="71" s="1"/>
  <c r="U33" i="71"/>
  <c r="U70" i="71" s="1"/>
  <c r="U107" i="71" s="1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3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T8" i="16" l="1" a="1"/>
  <c r="AE8" i="16" a="1"/>
  <c r="T35" i="71"/>
  <c r="AE35" i="71"/>
  <c r="V33" i="49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E8" i="16" l="1"/>
  <c r="AE9" i="16"/>
  <c r="AE15" i="16"/>
  <c r="AE12" i="16"/>
  <c r="AE16" i="16"/>
  <c r="AE14" i="16"/>
  <c r="AE13" i="16"/>
  <c r="AE11" i="16"/>
  <c r="AE10" i="16"/>
  <c r="T8" i="16"/>
  <c r="T14" i="16"/>
  <c r="T15" i="16"/>
  <c r="T13" i="16"/>
  <c r="T12" i="16"/>
  <c r="T10" i="16"/>
  <c r="T11" i="16"/>
  <c r="T9" i="16"/>
  <c r="T16" i="16"/>
  <c r="AB180" i="7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I178" i="71" s="1"/>
  <c r="N9" i="75" s="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78" i="71"/>
  <c r="AD178" i="71"/>
  <c r="AE178" i="71"/>
  <c r="S178" i="71"/>
  <c r="H178" i="71"/>
  <c r="M9" i="75" s="1"/>
  <c r="H177" i="71"/>
  <c r="M10" i="75" s="1"/>
  <c r="M81" i="75"/>
  <c r="A80" i="75" s="1"/>
  <c r="S157" i="71"/>
  <c r="S171" i="71"/>
  <c r="S156" i="71"/>
  <c r="I168" i="71"/>
  <c r="N27" i="75" s="1"/>
  <c r="AD165" i="71"/>
  <c r="AD177" i="71"/>
  <c r="I167" i="71"/>
  <c r="N28" i="75" s="1"/>
  <c r="S162" i="71"/>
  <c r="S174" i="71"/>
  <c r="AD159" i="71"/>
  <c r="AD171" i="71"/>
  <c r="AD168" i="71"/>
  <c r="H154" i="71"/>
  <c r="M49" i="75" s="1"/>
  <c r="I175" i="71"/>
  <c r="N14" i="75" s="1"/>
  <c r="I163" i="71"/>
  <c r="N36" i="75" s="1"/>
  <c r="I156" i="71"/>
  <c r="N45" i="75" s="1"/>
  <c r="S153" i="71"/>
  <c r="I155" i="71"/>
  <c r="N46" i="75" s="1"/>
  <c r="S159" i="71"/>
  <c r="S165" i="71"/>
  <c r="AD156" i="71"/>
  <c r="AD162" i="71"/>
  <c r="T180" i="71"/>
  <c r="AD174" i="71"/>
  <c r="H158" i="71"/>
  <c r="M43" i="75" s="1"/>
  <c r="H176" i="71"/>
  <c r="M13" i="75" s="1"/>
  <c r="S168" i="71"/>
  <c r="I157" i="71"/>
  <c r="N44" i="75" s="1"/>
  <c r="H164" i="71"/>
  <c r="M33" i="75" s="1"/>
  <c r="T176" i="71"/>
  <c r="S154" i="71"/>
  <c r="H165" i="71"/>
  <c r="M32" i="75" s="1"/>
  <c r="I153" i="71"/>
  <c r="N50" i="75" s="1"/>
  <c r="AD153" i="7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I160" i="71"/>
  <c r="N39" i="75" s="1"/>
  <c r="H168" i="71"/>
  <c r="M27" i="75" s="1"/>
  <c r="H156" i="71"/>
  <c r="M45" i="75" s="1"/>
  <c r="I171" i="71"/>
  <c r="N22" i="75" s="1"/>
  <c r="I159" i="71"/>
  <c r="N40" i="75" s="1"/>
  <c r="H153" i="71"/>
  <c r="M5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74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0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N21" i="75" l="1"/>
  <c r="M21" i="75"/>
  <c r="Z18" i="109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U18" i="109" l="1"/>
  <c r="AP18" i="109"/>
  <c r="AP34" i="109" s="1"/>
  <c r="AK18" i="109"/>
  <c r="AK33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U33" i="109"/>
  <c r="AT33" i="109"/>
  <c r="AS33" i="109"/>
  <c r="AR33" i="109"/>
  <c r="AO33" i="109"/>
  <c r="AN33" i="109"/>
  <c r="AM33" i="109"/>
  <c r="AJ33" i="109"/>
  <c r="AI33" i="109"/>
  <c r="AH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U31" i="109"/>
  <c r="AT31" i="109"/>
  <c r="AS31" i="109"/>
  <c r="AR31" i="109"/>
  <c r="AO31" i="109"/>
  <c r="AN31" i="109"/>
  <c r="AM31" i="109"/>
  <c r="AJ31" i="109"/>
  <c r="AI31" i="109"/>
  <c r="AH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U28" i="109"/>
  <c r="AT28" i="109"/>
  <c r="AS28" i="109"/>
  <c r="AR28" i="109"/>
  <c r="AO28" i="109"/>
  <c r="AN28" i="109"/>
  <c r="AM28" i="109"/>
  <c r="AJ28" i="109"/>
  <c r="AI28" i="109"/>
  <c r="AH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Q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W46" i="109"/>
  <c r="P35" i="108" s="1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AB32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P3" i="108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45" i="109" s="1"/>
  <c r="A10" i="109"/>
  <c r="Q46" i="109" s="1"/>
  <c r="A11" i="109"/>
  <c r="AG29" i="109" s="1"/>
  <c r="A12" i="109"/>
  <c r="AG48" i="109" s="1"/>
  <c r="A13" i="109"/>
  <c r="Q49" i="109" s="1"/>
  <c r="A14" i="109"/>
  <c r="AG50" i="109" s="1"/>
  <c r="A15" i="109"/>
  <c r="AG51" i="109" s="1"/>
  <c r="A16" i="109"/>
  <c r="AG52" i="109" s="1"/>
  <c r="A18" i="109"/>
  <c r="AG54" i="109" s="1"/>
  <c r="N1" i="108"/>
  <c r="M38" i="108"/>
  <c r="M19" i="108"/>
  <c r="M13" i="108"/>
  <c r="M43" i="108" s="1"/>
  <c r="M11" i="108"/>
  <c r="M41" i="108" s="1"/>
  <c r="M10" i="108"/>
  <c r="M25" i="108" s="1"/>
  <c r="M9" i="108"/>
  <c r="M24" i="108" s="1"/>
  <c r="M8" i="108"/>
  <c r="M23" i="108" s="1"/>
  <c r="M7" i="108"/>
  <c r="M22" i="108" s="1"/>
  <c r="M6" i="108"/>
  <c r="M36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131" i="71" s="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E101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W90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W51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D69" i="71" s="1"/>
  <c r="AD106" i="71" s="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E63" i="71"/>
  <c r="AD26" i="71"/>
  <c r="AF26" i="71" s="1"/>
  <c r="AF63" i="71" s="1"/>
  <c r="AF100" i="71" s="1"/>
  <c r="AE62" i="71"/>
  <c r="AD25" i="71"/>
  <c r="AF25" i="71" s="1"/>
  <c r="AF62" i="71" s="1"/>
  <c r="AF99" i="71" s="1"/>
  <c r="AE98" i="71"/>
  <c r="AD24" i="71"/>
  <c r="AD61" i="71" s="1"/>
  <c r="AD98" i="71" s="1"/>
  <c r="AE60" i="71"/>
  <c r="AD23" i="71"/>
  <c r="AE59" i="71"/>
  <c r="AD22" i="71"/>
  <c r="AD59" i="71" s="1"/>
  <c r="AD96" i="71" s="1"/>
  <c r="AE58" i="71"/>
  <c r="AD21" i="71"/>
  <c r="AD58" i="71" s="1"/>
  <c r="AD95" i="71" s="1"/>
  <c r="W95" i="71"/>
  <c r="AE94" i="71"/>
  <c r="AD20" i="71"/>
  <c r="AE56" i="71"/>
  <c r="AD19" i="71"/>
  <c r="AD56" i="71" s="1"/>
  <c r="AD93" i="71" s="1"/>
  <c r="AE55" i="71"/>
  <c r="AD18" i="7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E51" i="71"/>
  <c r="AD14" i="71"/>
  <c r="AF14" i="71" s="1"/>
  <c r="AF51" i="71" s="1"/>
  <c r="AF88" i="71" s="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63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T98" i="71"/>
  <c r="S24" i="7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L95" i="7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81" i="16" s="1"/>
  <c r="L10" i="16"/>
  <c r="L82" i="16" s="1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O54" i="109" l="1"/>
  <c r="W1" i="16"/>
  <c r="A1" i="108"/>
  <c r="A79" i="108"/>
  <c r="A40" i="108"/>
  <c r="AP33" i="109"/>
  <c r="AP54" i="109"/>
  <c r="AP28" i="109"/>
  <c r="AP31" i="109"/>
  <c r="O34" i="109"/>
  <c r="M79" i="16"/>
  <c r="W39" i="16"/>
  <c r="L57" i="71"/>
  <c r="L131" i="71"/>
  <c r="W87" i="71"/>
  <c r="L68" i="71"/>
  <c r="W63" i="71"/>
  <c r="M35" i="108"/>
  <c r="W88" i="71"/>
  <c r="W99" i="71"/>
  <c r="W100" i="71"/>
  <c r="M28" i="108"/>
  <c r="Q47" i="109"/>
  <c r="W125" i="71"/>
  <c r="M26" i="108"/>
  <c r="Q33" i="109"/>
  <c r="L87" i="71"/>
  <c r="L56" i="71"/>
  <c r="M21" i="108"/>
  <c r="Q44" i="109"/>
  <c r="AG30" i="109"/>
  <c r="AG31" i="109"/>
  <c r="AG32" i="109"/>
  <c r="AG33" i="109"/>
  <c r="AG34" i="109"/>
  <c r="W137" i="71"/>
  <c r="Q30" i="109"/>
  <c r="AG27" i="109"/>
  <c r="AG28" i="109"/>
  <c r="AG44" i="109"/>
  <c r="L99" i="71"/>
  <c r="Q27" i="109"/>
  <c r="Q54" i="109"/>
  <c r="L100" i="71"/>
  <c r="L171" i="71"/>
  <c r="W65" i="71"/>
  <c r="W102" i="71"/>
  <c r="W127" i="71"/>
  <c r="M33" i="108"/>
  <c r="Q26" i="109"/>
  <c r="Q29" i="109"/>
  <c r="Q32" i="109"/>
  <c r="Q36" i="109"/>
  <c r="AG45" i="109"/>
  <c r="W52" i="71"/>
  <c r="AG46" i="109"/>
  <c r="L126" i="71"/>
  <c r="L52" i="71"/>
  <c r="L135" i="71"/>
  <c r="L169" i="71"/>
  <c r="L123" i="71"/>
  <c r="L157" i="71"/>
  <c r="W98" i="71"/>
  <c r="W169" i="71"/>
  <c r="W49" i="71"/>
  <c r="W157" i="71"/>
  <c r="AG47" i="109"/>
  <c r="L134" i="71"/>
  <c r="L168" i="71"/>
  <c r="L48" i="71"/>
  <c r="L156" i="71"/>
  <c r="W126" i="71"/>
  <c r="W134" i="71"/>
  <c r="W168" i="71"/>
  <c r="W122" i="71"/>
  <c r="W156" i="71"/>
  <c r="M40" i="108"/>
  <c r="Q48" i="109"/>
  <c r="Q51" i="109"/>
  <c r="L96" i="71"/>
  <c r="L167" i="71"/>
  <c r="L84" i="71"/>
  <c r="L155" i="71"/>
  <c r="W133" i="71"/>
  <c r="W167" i="71"/>
  <c r="W121" i="71"/>
  <c r="W155" i="71"/>
  <c r="M39" i="108"/>
  <c r="Q28" i="109"/>
  <c r="Q31" i="109"/>
  <c r="Q34" i="109"/>
  <c r="AG49" i="109"/>
  <c r="L64" i="71"/>
  <c r="L45" i="71"/>
  <c r="L153" i="71"/>
  <c r="L83" i="71"/>
  <c r="L154" i="71"/>
  <c r="W64" i="71"/>
  <c r="W119" i="71"/>
  <c r="W153" i="71"/>
  <c r="L53" i="71"/>
  <c r="L161" i="71"/>
  <c r="L65" i="71"/>
  <c r="L143" i="71"/>
  <c r="L177" i="71"/>
  <c r="L109" i="71"/>
  <c r="L180" i="71"/>
  <c r="W53" i="71"/>
  <c r="W135" i="71"/>
  <c r="W106" i="71"/>
  <c r="W177" i="71"/>
  <c r="W57" i="71"/>
  <c r="W165" i="71"/>
  <c r="W109" i="71"/>
  <c r="W180" i="71"/>
  <c r="M37" i="108"/>
  <c r="W68" i="71"/>
  <c r="W176" i="71"/>
  <c r="W56" i="71"/>
  <c r="W164" i="71"/>
  <c r="Q52" i="109"/>
  <c r="L138" i="71"/>
  <c r="L67" i="71"/>
  <c r="L175" i="71"/>
  <c r="L55" i="71"/>
  <c r="L163" i="71"/>
  <c r="W141" i="71"/>
  <c r="W175" i="71"/>
  <c r="W55" i="71"/>
  <c r="W163" i="71"/>
  <c r="AG36" i="109"/>
  <c r="L66" i="71"/>
  <c r="L174" i="71"/>
  <c r="L54" i="71"/>
  <c r="L162" i="71"/>
  <c r="W138" i="71"/>
  <c r="W103" i="71"/>
  <c r="W174" i="71"/>
  <c r="O31" i="109"/>
  <c r="AK26" i="109"/>
  <c r="AK31" i="109"/>
  <c r="AK32" i="109"/>
  <c r="AK34" i="109"/>
  <c r="AK27" i="109"/>
  <c r="AU54" i="109"/>
  <c r="AK29" i="109"/>
  <c r="AF12" i="71"/>
  <c r="AF49" i="71" s="1"/>
  <c r="AF86" i="71" s="1"/>
  <c r="AK36" i="109"/>
  <c r="AK54" i="109"/>
  <c r="AK28" i="109"/>
  <c r="AK30" i="109"/>
  <c r="AF9" i="71"/>
  <c r="AF46" i="71" s="1"/>
  <c r="AF83" i="71" s="1"/>
  <c r="AF18" i="71"/>
  <c r="AF55" i="71" s="1"/>
  <c r="AF92" i="71" s="1"/>
  <c r="AF23" i="71"/>
  <c r="AF60" i="71" s="1"/>
  <c r="AF97" i="71" s="1"/>
  <c r="AE85" i="71"/>
  <c r="AE49" i="71"/>
  <c r="AE57" i="71"/>
  <c r="AF11" i="71"/>
  <c r="AF48" i="71" s="1"/>
  <c r="AF85" i="71" s="1"/>
  <c r="AF15" i="71"/>
  <c r="AF52" i="71" s="1"/>
  <c r="AF89" i="71" s="1"/>
  <c r="AF20" i="71"/>
  <c r="AF57" i="71" s="1"/>
  <c r="AF94" i="71" s="1"/>
  <c r="AF29" i="71"/>
  <c r="AF66" i="71" s="1"/>
  <c r="AF103" i="71" s="1"/>
  <c r="AE65" i="71"/>
  <c r="AE97" i="71"/>
  <c r="AE45" i="71"/>
  <c r="AE93" i="71"/>
  <c r="AF30" i="71"/>
  <c r="AF67" i="71" s="1"/>
  <c r="AF104" i="71" s="1"/>
  <c r="AE69" i="71"/>
  <c r="AF8" i="71"/>
  <c r="AF21" i="71"/>
  <c r="AF58" i="71" s="1"/>
  <c r="AF95" i="71" s="1"/>
  <c r="AE89" i="71"/>
  <c r="AE53" i="71"/>
  <c r="AE61" i="71"/>
  <c r="U24" i="71"/>
  <c r="U61" i="71" s="1"/>
  <c r="U98" i="71" s="1"/>
  <c r="AF27" i="71"/>
  <c r="AF64" i="71" s="1"/>
  <c r="AF101" i="71" s="1"/>
  <c r="AF32" i="71"/>
  <c r="AF69" i="71" s="1"/>
  <c r="AF106" i="71" s="1"/>
  <c r="AE105" i="71"/>
  <c r="T93" i="71"/>
  <c r="U31" i="71"/>
  <c r="U68" i="71" s="1"/>
  <c r="U105" i="71" s="1"/>
  <c r="T89" i="71"/>
  <c r="T105" i="71"/>
  <c r="T101" i="7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87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X47" i="71"/>
  <c r="X55" i="71"/>
  <c r="Z109" i="71"/>
  <c r="AA81" i="16"/>
  <c r="AD72" i="7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A47" i="16" l="1"/>
  <c r="AF45" i="71"/>
  <c r="AF82" i="71" s="1"/>
  <c r="AF35" i="71"/>
  <c r="AF72" i="71" s="1"/>
  <c r="AF109" i="71" s="1"/>
  <c r="U35" i="71"/>
  <c r="U72" i="71" s="1"/>
  <c r="U109" i="71" s="1"/>
  <c r="X48" i="16"/>
  <c r="Z47" i="16"/>
  <c r="AD83" i="16"/>
  <c r="X71" i="16"/>
  <c r="X49" i="16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9" i="71"/>
  <c r="T27" i="16"/>
  <c r="T28" i="16"/>
  <c r="T34" i="16"/>
  <c r="T31" i="16"/>
  <c r="T33" i="16"/>
  <c r="T30" i="16"/>
  <c r="T32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P48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Z33" i="16" l="1"/>
  <c r="Z27" i="16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U32" i="105" s="1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L22" i="105"/>
  <c r="H22" i="105"/>
  <c r="D22" i="105"/>
  <c r="T22" i="105" s="1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U18" i="105" s="1"/>
  <c r="D18" i="105"/>
  <c r="L17" i="105"/>
  <c r="H17" i="105"/>
  <c r="D17" i="105"/>
  <c r="L16" i="105"/>
  <c r="H16" i="105"/>
  <c r="D16" i="105"/>
  <c r="T16" i="105" s="1"/>
  <c r="L15" i="105"/>
  <c r="H15" i="105"/>
  <c r="D15" i="105"/>
  <c r="L14" i="105"/>
  <c r="H14" i="105"/>
  <c r="D14" i="105"/>
  <c r="T14" i="105" s="1"/>
  <c r="L13" i="105"/>
  <c r="H13" i="105"/>
  <c r="D13" i="105"/>
  <c r="T13" i="105" s="1"/>
  <c r="L12" i="105"/>
  <c r="H12" i="105"/>
  <c r="D12" i="105"/>
  <c r="L11" i="105"/>
  <c r="H11" i="105"/>
  <c r="D11" i="105"/>
  <c r="L10" i="105"/>
  <c r="H10" i="105"/>
  <c r="U10" i="105" s="1"/>
  <c r="D10" i="105"/>
  <c r="L9" i="105"/>
  <c r="H9" i="105"/>
  <c r="D9" i="105"/>
  <c r="U7" i="105"/>
  <c r="T7" i="105"/>
  <c r="R7" i="105"/>
  <c r="Q7" i="105"/>
  <c r="U11" i="105" l="1"/>
  <c r="U30" i="105"/>
  <c r="U29" i="105"/>
  <c r="T33" i="105"/>
  <c r="U19" i="105"/>
  <c r="U27" i="105"/>
  <c r="T24" i="105"/>
  <c r="U13" i="105"/>
  <c r="U21" i="105"/>
  <c r="T10" i="105"/>
  <c r="U15" i="105"/>
  <c r="T18" i="105"/>
  <c r="U23" i="105"/>
  <c r="T26" i="105"/>
  <c r="T29" i="105"/>
  <c r="U14" i="105"/>
  <c r="T17" i="105"/>
  <c r="U22" i="105"/>
  <c r="T25" i="105"/>
  <c r="U33" i="105"/>
  <c r="L36" i="105"/>
  <c r="U12" i="105"/>
  <c r="T15" i="105"/>
  <c r="U20" i="105"/>
  <c r="T23" i="105"/>
  <c r="U31" i="105"/>
  <c r="T11" i="105"/>
  <c r="U16" i="105"/>
  <c r="T19" i="105"/>
  <c r="U24" i="105"/>
  <c r="T27" i="105"/>
  <c r="T30" i="105"/>
  <c r="T9" i="105"/>
  <c r="D36" i="105"/>
  <c r="U9" i="105"/>
  <c r="H36" i="105"/>
  <c r="T12" i="105"/>
  <c r="U17" i="105"/>
  <c r="T20" i="105"/>
  <c r="U25" i="105"/>
  <c r="T28" i="105"/>
  <c r="T31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A1" i="104" l="1"/>
  <c r="G8" i="49"/>
  <c r="K8" i="49" a="1"/>
  <c r="K14" i="49" s="1"/>
  <c r="M8" i="49" a="1"/>
  <c r="M13" i="49" s="1"/>
  <c r="J8" i="49" a="1"/>
  <c r="J8" i="49" s="1"/>
  <c r="T36" i="105"/>
  <c r="U36" i="105"/>
  <c r="G7" i="49"/>
  <c r="F330" i="104"/>
  <c r="F329" i="104"/>
  <c r="D330" i="104"/>
  <c r="D329" i="104"/>
  <c r="B330" i="104"/>
  <c r="B329" i="104"/>
  <c r="B35" i="104"/>
  <c r="K15" i="49" l="1"/>
  <c r="M15" i="49"/>
  <c r="M16" i="49"/>
  <c r="K8" i="49"/>
  <c r="J14" i="49"/>
  <c r="J16" i="49"/>
  <c r="M8" i="49"/>
  <c r="J13" i="49"/>
  <c r="M14" i="49"/>
  <c r="M9" i="49"/>
  <c r="J10" i="49"/>
  <c r="K12" i="49"/>
  <c r="K9" i="49"/>
  <c r="K10" i="49"/>
  <c r="J11" i="49"/>
  <c r="K11" i="49"/>
  <c r="J9" i="49"/>
  <c r="M12" i="49"/>
  <c r="J12" i="49"/>
  <c r="K16" i="49"/>
  <c r="J15" i="49"/>
  <c r="M10" i="49"/>
  <c r="M11" i="49"/>
  <c r="K13" i="49"/>
  <c r="B30" i="104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566" i="102" l="1"/>
  <c r="E276" i="102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9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K19" i="104" l="1"/>
  <c r="K14" i="104"/>
  <c r="K9" i="104"/>
  <c r="E119" i="104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N73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E83" i="104" l="1"/>
  <c r="I84" i="104"/>
  <c r="C83" i="104"/>
  <c r="E82" i="104"/>
  <c r="G82" i="104"/>
  <c r="G83" i="104"/>
  <c r="C82" i="104"/>
  <c r="G79" i="104"/>
  <c r="C104" i="104"/>
  <c r="E79" i="104"/>
  <c r="C37" i="104"/>
  <c r="E105" i="104"/>
  <c r="G103" i="104"/>
  <c r="C105" i="104"/>
  <c r="G104" i="104"/>
  <c r="E103" i="104"/>
  <c r="G105" i="104"/>
  <c r="C103" i="104"/>
  <c r="I103" i="104"/>
  <c r="G99" i="104"/>
  <c r="E104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I8" i="79"/>
  <c r="I35" i="79" s="1"/>
  <c r="H8" i="79"/>
  <c r="H35" i="79" s="1"/>
  <c r="G8" i="79"/>
  <c r="G35" i="79" s="1"/>
  <c r="F8" i="79"/>
  <c r="F35" i="79" s="1"/>
  <c r="E8" i="79"/>
  <c r="E35" i="79" s="1"/>
  <c r="D8" i="79"/>
  <c r="D35" i="79" s="1"/>
  <c r="C8" i="79"/>
  <c r="C35" i="79" s="1"/>
  <c r="B8" i="79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B35" i="79" l="1"/>
  <c r="K8" i="79"/>
  <c r="S33" i="79"/>
  <c r="AF8" i="79" l="1"/>
  <c r="T17" i="79"/>
  <c r="T33" i="79"/>
  <c r="U25" i="79"/>
  <c r="U33" i="79"/>
  <c r="P19" i="79"/>
  <c r="P33" i="79"/>
  <c r="R9" i="79"/>
  <c r="R33" i="79"/>
  <c r="Q31" i="79"/>
  <c r="Q33" i="79"/>
  <c r="U30" i="79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64" i="78" s="1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53" i="78" s="1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G17" i="78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BA66" i="78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E101" i="78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H82" i="78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46" i="78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7" i="76"/>
  <c r="N37" i="76"/>
  <c r="O37" i="76"/>
  <c r="P37" i="76"/>
  <c r="M41" i="76"/>
  <c r="N41" i="76"/>
  <c r="O41" i="76"/>
  <c r="P41" i="76"/>
  <c r="M45" i="76"/>
  <c r="N45" i="76"/>
  <c r="O45" i="76"/>
  <c r="P4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L107" i="49" l="1" a="1"/>
  <c r="L107" i="49" s="1"/>
  <c r="BX24" i="78"/>
  <c r="BX61" i="78" s="1"/>
  <c r="BX98" i="78" s="1"/>
  <c r="CI17" i="78"/>
  <c r="CI54" i="78" s="1"/>
  <c r="CI91" i="78" s="1"/>
  <c r="CT8" i="78"/>
  <c r="CT45" i="78" s="1"/>
  <c r="CT82" i="78" s="1"/>
  <c r="CH91" i="78"/>
  <c r="CT26" i="78"/>
  <c r="CT63" i="78" s="1"/>
  <c r="CT100" i="78" s="1"/>
  <c r="AQ28" i="78"/>
  <c r="AQ65" i="78" s="1"/>
  <c r="AQ102" i="78" s="1"/>
  <c r="CS100" i="78"/>
  <c r="AP102" i="78"/>
  <c r="L85" i="49" a="1"/>
  <c r="L63" i="49" a="1"/>
  <c r="L96" i="49" a="1"/>
  <c r="L74" i="49" a="1"/>
  <c r="L113" i="49"/>
  <c r="L111" i="49"/>
  <c r="L110" i="49"/>
  <c r="L109" i="49"/>
  <c r="L108" i="49"/>
  <c r="L115" i="49"/>
  <c r="CS35" i="78"/>
  <c r="CT35" i="78" s="1"/>
  <c r="BL35" i="78"/>
  <c r="BM35" i="78" s="1"/>
  <c r="CH82" i="78"/>
  <c r="CH35" i="78"/>
  <c r="CI35" i="78" s="1"/>
  <c r="CS45" i="78"/>
  <c r="T82" i="78"/>
  <c r="BW82" i="78"/>
  <c r="BW35" i="78"/>
  <c r="BX35" i="78" s="1"/>
  <c r="AE35" i="78"/>
  <c r="AF35" i="78" s="1"/>
  <c r="AP82" i="78"/>
  <c r="AP35" i="78"/>
  <c r="AQ35" i="78" s="1"/>
  <c r="BA45" i="78"/>
  <c r="BA35" i="78"/>
  <c r="BB35" i="78" s="1"/>
  <c r="F210" i="49"/>
  <c r="D236" i="49"/>
  <c r="F239" i="49"/>
  <c r="D265" i="49"/>
  <c r="F268" i="49"/>
  <c r="D294" i="49"/>
  <c r="D178" i="49"/>
  <c r="F181" i="49"/>
  <c r="D207" i="49"/>
  <c r="BL96" i="78"/>
  <c r="CS47" i="78"/>
  <c r="AQ20" i="78"/>
  <c r="AQ57" i="78" s="1"/>
  <c r="AQ94" i="78" s="1"/>
  <c r="AE56" i="78"/>
  <c r="CS106" i="78"/>
  <c r="CH83" i="78"/>
  <c r="BW62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N26" i="76"/>
  <c r="P26" i="76"/>
  <c r="M22" i="76"/>
  <c r="M49" i="76" s="1"/>
  <c r="O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G207" i="49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G236" i="49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2" i="78"/>
  <c r="G265" i="49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G178" i="49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L112" i="49" l="1"/>
  <c r="L114" i="49"/>
  <c r="N63" i="49" a="1"/>
  <c r="N63" i="49" s="1"/>
  <c r="F294" i="49"/>
  <c r="N107" i="49" a="1"/>
  <c r="F265" i="49"/>
  <c r="N96" i="49" a="1"/>
  <c r="N85" i="49" a="1"/>
  <c r="L75" i="49"/>
  <c r="L74" i="49"/>
  <c r="L78" i="49"/>
  <c r="L81" i="49"/>
  <c r="L82" i="49"/>
  <c r="L79" i="49"/>
  <c r="L77" i="49"/>
  <c r="L80" i="49"/>
  <c r="L76" i="49"/>
  <c r="N74" i="49" a="1"/>
  <c r="L96" i="49"/>
  <c r="L101" i="49"/>
  <c r="L103" i="49"/>
  <c r="L97" i="49"/>
  <c r="L102" i="49"/>
  <c r="L100" i="49"/>
  <c r="L98" i="49"/>
  <c r="L104" i="49"/>
  <c r="L99" i="49"/>
  <c r="L63" i="49"/>
  <c r="L69" i="49"/>
  <c r="L70" i="49"/>
  <c r="L67" i="49"/>
  <c r="L66" i="49"/>
  <c r="L65" i="49"/>
  <c r="L71" i="49"/>
  <c r="L68" i="49"/>
  <c r="L64" i="49"/>
  <c r="L85" i="49"/>
  <c r="L92" i="49"/>
  <c r="L86" i="49"/>
  <c r="L93" i="49"/>
  <c r="L91" i="49"/>
  <c r="L87" i="49"/>
  <c r="L90" i="49"/>
  <c r="L89" i="49"/>
  <c r="L88" i="49"/>
  <c r="M82" i="76"/>
  <c r="M79" i="76"/>
  <c r="F178" i="49"/>
  <c r="F207" i="49"/>
  <c r="F236" i="49"/>
  <c r="P22" i="76"/>
  <c r="O22" i="76"/>
  <c r="N22" i="76"/>
  <c r="CT58" i="78"/>
  <c r="CT95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N69" i="49" l="1"/>
  <c r="N71" i="49"/>
  <c r="N64" i="49"/>
  <c r="N65" i="49"/>
  <c r="N66" i="49"/>
  <c r="N67" i="49"/>
  <c r="N68" i="49"/>
  <c r="N70" i="49"/>
  <c r="N74" i="49"/>
  <c r="N81" i="49"/>
  <c r="N76" i="49"/>
  <c r="N75" i="49"/>
  <c r="N82" i="49"/>
  <c r="N80" i="49"/>
  <c r="N79" i="49"/>
  <c r="N77" i="49"/>
  <c r="N78" i="49"/>
  <c r="N85" i="49"/>
  <c r="N91" i="49"/>
  <c r="N90" i="49"/>
  <c r="N88" i="49"/>
  <c r="N87" i="49"/>
  <c r="N89" i="49"/>
  <c r="N86" i="49"/>
  <c r="N93" i="49"/>
  <c r="N92" i="49"/>
  <c r="N99" i="49"/>
  <c r="N96" i="49"/>
  <c r="N97" i="49"/>
  <c r="N98" i="49"/>
  <c r="N101" i="49"/>
  <c r="N103" i="49"/>
  <c r="N104" i="49"/>
  <c r="N102" i="49"/>
  <c r="N100" i="49"/>
  <c r="L52" i="49" a="1"/>
  <c r="N107" i="49"/>
  <c r="N114" i="49"/>
  <c r="N115" i="49"/>
  <c r="N113" i="49"/>
  <c r="N112" i="49"/>
  <c r="N111" i="49"/>
  <c r="N110" i="49"/>
  <c r="N108" i="49"/>
  <c r="N109" i="49"/>
  <c r="M86" i="76"/>
  <c r="F123" i="49"/>
  <c r="D149" i="49"/>
  <c r="S78" i="71"/>
  <c r="AD78" i="71"/>
  <c r="AD41" i="71"/>
  <c r="S41" i="71"/>
  <c r="N49" i="76"/>
  <c r="N82" i="76" s="1"/>
  <c r="M53" i="76"/>
  <c r="M58" i="76"/>
  <c r="M63" i="76"/>
  <c r="M67" i="76"/>
  <c r="M77" i="76"/>
  <c r="M89" i="76"/>
  <c r="M94" i="76"/>
  <c r="M57" i="76"/>
  <c r="M66" i="76"/>
  <c r="M71" i="76"/>
  <c r="M76" i="76"/>
  <c r="M60" i="76"/>
  <c r="M65" i="76"/>
  <c r="M70" i="76"/>
  <c r="M75" i="76"/>
  <c r="M80" i="76"/>
  <c r="M74" i="76"/>
  <c r="M85" i="76"/>
  <c r="M54" i="76"/>
  <c r="M59" i="76"/>
  <c r="M64" i="76"/>
  <c r="M96" i="76"/>
  <c r="M93" i="76"/>
  <c r="M81" i="76"/>
  <c r="M90" i="76"/>
  <c r="M62" i="76"/>
  <c r="M92" i="76"/>
  <c r="M84" i="76"/>
  <c r="M52" i="76"/>
  <c r="M56" i="76"/>
  <c r="M88" i="76"/>
  <c r="M73" i="76"/>
  <c r="P49" i="76"/>
  <c r="P82" i="76" s="1"/>
  <c r="O49" i="76"/>
  <c r="O82" i="76" s="1"/>
  <c r="M69" i="76"/>
  <c r="M38" i="21"/>
  <c r="P38" i="21"/>
  <c r="N38" i="21"/>
  <c r="O38" i="21"/>
  <c r="G149" i="49"/>
  <c r="F149" i="49" l="1"/>
  <c r="N52" i="49" a="1"/>
  <c r="L52" i="49"/>
  <c r="L59" i="49"/>
  <c r="L58" i="49"/>
  <c r="L57" i="49"/>
  <c r="L55" i="49"/>
  <c r="L56" i="49"/>
  <c r="L54" i="49"/>
  <c r="L53" i="49"/>
  <c r="L60" i="49"/>
  <c r="O53" i="76"/>
  <c r="O63" i="76"/>
  <c r="O67" i="76"/>
  <c r="O77" i="76"/>
  <c r="O58" i="76"/>
  <c r="O71" i="76"/>
  <c r="O76" i="76"/>
  <c r="O57" i="76"/>
  <c r="O66" i="76"/>
  <c r="O81" i="76"/>
  <c r="O60" i="76"/>
  <c r="O65" i="76"/>
  <c r="O70" i="76"/>
  <c r="O75" i="76"/>
  <c r="O80" i="76"/>
  <c r="O86" i="76"/>
  <c r="O54" i="76"/>
  <c r="O59" i="76"/>
  <c r="O64" i="76"/>
  <c r="O96" i="76"/>
  <c r="O90" i="76"/>
  <c r="O74" i="76"/>
  <c r="O94" i="76"/>
  <c r="O93" i="76"/>
  <c r="O89" i="76"/>
  <c r="O85" i="76"/>
  <c r="O52" i="76"/>
  <c r="O84" i="76"/>
  <c r="O88" i="76"/>
  <c r="O56" i="76"/>
  <c r="O79" i="76"/>
  <c r="O92" i="76"/>
  <c r="O62" i="76"/>
  <c r="O73" i="76"/>
  <c r="O69" i="76"/>
  <c r="P54" i="76"/>
  <c r="P59" i="76"/>
  <c r="P64" i="76"/>
  <c r="P74" i="76"/>
  <c r="P85" i="76"/>
  <c r="P90" i="76"/>
  <c r="P96" i="76"/>
  <c r="P53" i="76"/>
  <c r="P58" i="76"/>
  <c r="P63" i="76"/>
  <c r="P67" i="76"/>
  <c r="P77" i="76"/>
  <c r="P57" i="76"/>
  <c r="P66" i="76"/>
  <c r="P71" i="76"/>
  <c r="P76" i="76"/>
  <c r="P81" i="76"/>
  <c r="P93" i="76"/>
  <c r="P86" i="76"/>
  <c r="P60" i="76"/>
  <c r="P65" i="76"/>
  <c r="P70" i="76"/>
  <c r="P75" i="76"/>
  <c r="P80" i="76"/>
  <c r="P94" i="76"/>
  <c r="P89" i="76"/>
  <c r="P92" i="76"/>
  <c r="P62" i="76"/>
  <c r="P52" i="76"/>
  <c r="P56" i="76"/>
  <c r="P79" i="76"/>
  <c r="P88" i="76"/>
  <c r="P84" i="76"/>
  <c r="P73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4" i="76"/>
  <c r="N59" i="76"/>
  <c r="N64" i="76"/>
  <c r="N74" i="76"/>
  <c r="N85" i="76"/>
  <c r="N90" i="76"/>
  <c r="N96" i="76"/>
  <c r="N92" i="76"/>
  <c r="N79" i="76"/>
  <c r="N84" i="76"/>
  <c r="N52" i="76"/>
  <c r="N56" i="76"/>
  <c r="N88" i="76"/>
  <c r="N62" i="76"/>
  <c r="N73" i="76"/>
  <c r="P69" i="76"/>
  <c r="N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2" i="49"/>
  <c r="N54" i="49"/>
  <c r="N59" i="49"/>
  <c r="N60" i="49"/>
  <c r="N55" i="49"/>
  <c r="N58" i="49"/>
  <c r="N56" i="49"/>
  <c r="N57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I72" i="78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Q72" i="78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M72" i="78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BB72" i="78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X72" i="78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D46" i="52" l="1"/>
  <c r="AL46" i="52"/>
  <c r="Z46" i="52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Q45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Q41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Q37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35" i="18" l="1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B331" i="97"/>
  <c r="B323" i="97"/>
  <c r="C323" i="97"/>
  <c r="D323" i="97"/>
  <c r="E323" i="97"/>
  <c r="B324" i="97"/>
  <c r="C324" i="97"/>
  <c r="D324" i="97"/>
  <c r="E324" i="97"/>
  <c r="B325" i="97"/>
  <c r="C325" i="97"/>
  <c r="D325" i="97"/>
  <c r="E325" i="97"/>
  <c r="B326" i="97"/>
  <c r="C326" i="97"/>
  <c r="D326" i="97"/>
  <c r="E326" i="97"/>
  <c r="B327" i="97"/>
  <c r="C327" i="97"/>
  <c r="D327" i="97"/>
  <c r="E327" i="97"/>
  <c r="B328" i="97"/>
  <c r="C328" i="97"/>
  <c r="D328" i="97"/>
  <c r="E328" i="97"/>
  <c r="B329" i="97"/>
  <c r="C329" i="97"/>
  <c r="D329" i="97"/>
  <c r="E329" i="97"/>
  <c r="B330" i="97"/>
  <c r="C330" i="97"/>
  <c r="D330" i="97"/>
  <c r="E330" i="97"/>
  <c r="C331" i="97"/>
  <c r="D331" i="97"/>
  <c r="E331" i="97"/>
  <c r="B247" i="97"/>
  <c r="B239" i="97"/>
  <c r="C239" i="97"/>
  <c r="D239" i="97"/>
  <c r="E239" i="97"/>
  <c r="B240" i="97"/>
  <c r="C240" i="97"/>
  <c r="D240" i="97"/>
  <c r="E240" i="97"/>
  <c r="B241" i="97"/>
  <c r="C241" i="97"/>
  <c r="D241" i="97"/>
  <c r="E241" i="97"/>
  <c r="B242" i="97"/>
  <c r="C242" i="97"/>
  <c r="D242" i="97"/>
  <c r="E242" i="97"/>
  <c r="B243" i="97"/>
  <c r="C243" i="97"/>
  <c r="D243" i="97"/>
  <c r="E243" i="97"/>
  <c r="B244" i="97"/>
  <c r="C244" i="97"/>
  <c r="D244" i="97"/>
  <c r="E244" i="97"/>
  <c r="B245" i="97"/>
  <c r="C245" i="97"/>
  <c r="D245" i="97"/>
  <c r="E245" i="97"/>
  <c r="B246" i="97"/>
  <c r="C246" i="97"/>
  <c r="D246" i="97"/>
  <c r="E246" i="97"/>
  <c r="C247" i="97"/>
  <c r="D247" i="97"/>
  <c r="E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E81" i="97"/>
  <c r="E155" i="97" s="1"/>
  <c r="F81" i="97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F90" i="12" l="1"/>
  <c r="F158" i="97"/>
  <c r="F333" i="97"/>
  <c r="D160" i="97"/>
  <c r="F249" i="97"/>
  <c r="H26" i="16"/>
  <c r="J9" i="18"/>
  <c r="A35" i="18"/>
  <c r="A170" i="71"/>
  <c r="A32" i="18"/>
  <c r="A169" i="71"/>
  <c r="A14" i="18"/>
  <c r="A157" i="71"/>
  <c r="A31" i="18"/>
  <c r="A168" i="71"/>
  <c r="A13" i="18"/>
  <c r="A156" i="71"/>
  <c r="A15" i="18"/>
  <c r="A12" i="18"/>
  <c r="A155" i="71"/>
  <c r="A19" i="18"/>
  <c r="A29" i="18"/>
  <c r="A166" i="71"/>
  <c r="A9" i="18"/>
  <c r="L54" i="76" s="1"/>
  <c r="A154" i="71"/>
  <c r="A177" i="71"/>
  <c r="A26" i="18"/>
  <c r="A165" i="71"/>
  <c r="A176" i="71"/>
  <c r="A175" i="71"/>
  <c r="A22" i="18"/>
  <c r="A163" i="71"/>
  <c r="A174" i="71"/>
  <c r="A21" i="18"/>
  <c r="A162" i="71"/>
  <c r="A173" i="71"/>
  <c r="A20" i="18"/>
  <c r="A161" i="71"/>
  <c r="M153" i="75"/>
  <c r="A172" i="71"/>
  <c r="A36" i="18"/>
  <c r="A171" i="71"/>
  <c r="A18" i="18"/>
  <c r="A159" i="71"/>
  <c r="A30" i="18"/>
  <c r="I20" i="11"/>
  <c r="L22" i="18"/>
  <c r="N266" i="21"/>
  <c r="N153" i="75"/>
  <c r="X4" i="106"/>
  <c r="Z4" i="106"/>
  <c r="Y4" i="106"/>
  <c r="AB4" i="106"/>
  <c r="AC4" i="106"/>
  <c r="AA4" i="106"/>
  <c r="L7" i="7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7" i="97"/>
  <c r="A32" i="15"/>
  <c r="A114" i="15" s="1"/>
  <c r="A111" i="12"/>
  <c r="A331" i="97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C160" i="97"/>
  <c r="K8" i="18"/>
  <c r="L8" i="18"/>
  <c r="D158" i="97"/>
  <c r="L15" i="18"/>
  <c r="L18" i="18"/>
  <c r="L36" i="18"/>
  <c r="L45" i="18"/>
  <c r="C155" i="97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15" i="12"/>
  <c r="F7" i="12"/>
  <c r="F12" i="12"/>
  <c r="F19" i="12"/>
  <c r="F18" i="12"/>
  <c r="F25" i="12"/>
  <c r="F17" i="12"/>
  <c r="F16" i="12"/>
  <c r="F22" i="12"/>
  <c r="F14" i="12"/>
  <c r="F6" i="12"/>
  <c r="F20" i="12"/>
  <c r="F11" i="12"/>
  <c r="F26" i="12"/>
  <c r="F10" i="12"/>
  <c r="F9" i="12"/>
  <c r="F24" i="12"/>
  <c r="F21" i="12"/>
  <c r="F13" i="12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F95" i="12" l="1"/>
  <c r="F94" i="12"/>
  <c r="F31" i="15"/>
  <c r="F106" i="12"/>
  <c r="F22" i="15"/>
  <c r="F99" i="12"/>
  <c r="F92" i="12"/>
  <c r="F38" i="15"/>
  <c r="L38" i="15" s="1"/>
  <c r="F109" i="12"/>
  <c r="F36" i="15"/>
  <c r="L36" i="15" s="1"/>
  <c r="F107" i="12"/>
  <c r="F23" i="15"/>
  <c r="L23" i="15" s="1"/>
  <c r="F100" i="12"/>
  <c r="F37" i="15"/>
  <c r="F108" i="12"/>
  <c r="F27" i="15"/>
  <c r="F102" i="12"/>
  <c r="F93" i="12"/>
  <c r="F26" i="15"/>
  <c r="F101" i="12"/>
  <c r="F33" i="15"/>
  <c r="K33" i="15" s="1"/>
  <c r="F111" i="12"/>
  <c r="F28" i="15"/>
  <c r="L28" i="15" s="1"/>
  <c r="F103" i="12"/>
  <c r="F30" i="15"/>
  <c r="K30" i="15" s="1"/>
  <c r="F105" i="12"/>
  <c r="F29" i="15"/>
  <c r="K29" i="15" s="1"/>
  <c r="F104" i="12"/>
  <c r="F32" i="15"/>
  <c r="F110" i="12"/>
  <c r="F11" i="15"/>
  <c r="K11" i="15" s="1"/>
  <c r="F96" i="12"/>
  <c r="F21" i="15"/>
  <c r="L21" i="15" s="1"/>
  <c r="F98" i="12"/>
  <c r="F91" i="12"/>
  <c r="F97" i="12"/>
  <c r="H10" i="11"/>
  <c r="J10" i="11" s="1"/>
  <c r="J23" i="11" s="1"/>
  <c r="X5" i="106"/>
  <c r="X6" i="106"/>
  <c r="M155" i="75"/>
  <c r="L49" i="75"/>
  <c r="A61" i="18"/>
  <c r="M156" i="75"/>
  <c r="M157" i="75"/>
  <c r="L10" i="76"/>
  <c r="L57" i="76"/>
  <c r="L28" i="76"/>
  <c r="L75" i="76"/>
  <c r="L18" i="76"/>
  <c r="L65" i="76"/>
  <c r="L46" i="76"/>
  <c r="L93" i="76"/>
  <c r="L13" i="76"/>
  <c r="L60" i="76"/>
  <c r="L34" i="76"/>
  <c r="L81" i="76"/>
  <c r="L19" i="76"/>
  <c r="L66" i="76"/>
  <c r="L47" i="76"/>
  <c r="L94" i="76"/>
  <c r="L29" i="76"/>
  <c r="L76" i="76"/>
  <c r="L16" i="76"/>
  <c r="L63" i="76"/>
  <c r="L11" i="76"/>
  <c r="L58" i="76"/>
  <c r="M160" i="75"/>
  <c r="L38" i="76"/>
  <c r="L85" i="76"/>
  <c r="L42" i="76"/>
  <c r="L89" i="76"/>
  <c r="L12" i="76"/>
  <c r="L59" i="76"/>
  <c r="L43" i="76"/>
  <c r="L90" i="76"/>
  <c r="L24" i="76"/>
  <c r="L71" i="76"/>
  <c r="M158" i="75"/>
  <c r="L39" i="76"/>
  <c r="L86" i="76"/>
  <c r="L20" i="76"/>
  <c r="L67" i="76"/>
  <c r="L27" i="76"/>
  <c r="L74" i="76"/>
  <c r="L30" i="76"/>
  <c r="L77" i="76"/>
  <c r="M159" i="75"/>
  <c r="L17" i="76"/>
  <c r="L64" i="76"/>
  <c r="L33" i="76"/>
  <c r="L80" i="76"/>
  <c r="H9" i="11"/>
  <c r="J9" i="11" s="1"/>
  <c r="J22" i="11" s="1"/>
  <c r="I24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I22" i="11"/>
  <c r="H8" i="11"/>
  <c r="J8" i="11" s="1"/>
  <c r="J21" i="11" s="1"/>
  <c r="N261" i="21"/>
  <c r="N262" i="21"/>
  <c r="M161" i="75"/>
  <c r="M154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I11" i="15"/>
  <c r="J30" i="15"/>
  <c r="J29" i="15"/>
  <c r="F69" i="16"/>
  <c r="N8" i="107" s="1"/>
  <c r="H13" i="16"/>
  <c r="H30" i="15"/>
  <c r="I31" i="15"/>
  <c r="I32" i="15"/>
  <c r="H32" i="15"/>
  <c r="H14" i="16"/>
  <c r="F70" i="16"/>
  <c r="N9" i="107" s="1"/>
  <c r="F48" i="11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H9" i="16"/>
  <c r="H27" i="16" s="1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28" i="12"/>
  <c r="B35" i="12" s="1"/>
  <c r="E28" i="12"/>
  <c r="E32" i="12" s="1"/>
  <c r="F28" i="12"/>
  <c r="C28" i="12"/>
  <c r="D28" i="12"/>
  <c r="D32" i="12" s="1"/>
  <c r="L29" i="15" l="1"/>
  <c r="L11" i="15"/>
  <c r="X18" i="106"/>
  <c r="H23" i="11"/>
  <c r="L30" i="15"/>
  <c r="F32" i="12"/>
  <c r="F113" i="12"/>
  <c r="H21" i="11"/>
  <c r="H22" i="11"/>
  <c r="H25" i="11"/>
  <c r="H14" i="11"/>
  <c r="J7" i="11"/>
  <c r="H20" i="11"/>
  <c r="H24" i="11"/>
  <c r="H33" i="16"/>
  <c r="N160" i="75"/>
  <c r="H29" i="16"/>
  <c r="N156" i="75"/>
  <c r="P7" i="31"/>
  <c r="N161" i="75"/>
  <c r="N154" i="75"/>
  <c r="H31" i="16"/>
  <c r="N158" i="75"/>
  <c r="H28" i="16"/>
  <c r="N155" i="75"/>
  <c r="H30" i="16"/>
  <c r="N157" i="75"/>
  <c r="H32" i="16"/>
  <c r="N159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Z18" i="106" s="1"/>
  <c r="J14" i="11"/>
  <c r="J20" i="11"/>
  <c r="A52" i="5"/>
  <c r="A53" i="5"/>
  <c r="A54" i="5"/>
  <c r="A55" i="5"/>
  <c r="A56" i="5"/>
  <c r="A51" i="5"/>
  <c r="B50" i="5" a="1"/>
  <c r="D50" i="5" s="1"/>
  <c r="A49" i="5"/>
  <c r="Y19" i="106" l="1"/>
  <c r="H50" i="5"/>
  <c r="G50" i="5"/>
  <c r="F50" i="5"/>
  <c r="E50" i="5"/>
  <c r="C50" i="5"/>
  <c r="J50" i="5"/>
  <c r="B50" i="5"/>
  <c r="I50" i="5"/>
  <c r="A27" i="5" l="1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5" i="79" l="1"/>
  <c r="X35" i="79" s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6" i="71" l="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82" i="71" l="1"/>
  <c r="I35" i="78"/>
  <c r="I109" i="78" s="1"/>
  <c r="T35" i="78"/>
  <c r="U35" i="78" s="1"/>
  <c r="E33" i="49"/>
  <c r="I45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J35" i="78" l="1"/>
  <c r="J72" i="78" s="1"/>
  <c r="J109" i="78" s="1"/>
  <c r="I72" i="78"/>
  <c r="G32" i="49"/>
  <c r="G122" i="49"/>
  <c r="G209" i="49" s="1"/>
  <c r="V35" i="49"/>
  <c r="J45" i="71"/>
  <c r="J82" i="71" s="1"/>
  <c r="Q37" i="31"/>
  <c r="A93" i="49"/>
  <c r="A64" i="49"/>
  <c r="A35" i="49"/>
  <c r="G120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1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D36" i="49"/>
  <c r="I10" i="71"/>
  <c r="I13" i="71"/>
  <c r="I14" i="71"/>
  <c r="I15" i="71"/>
  <c r="I18" i="71"/>
  <c r="I22" i="71"/>
  <c r="I23" i="71"/>
  <c r="I26" i="71"/>
  <c r="I29" i="71"/>
  <c r="I30" i="71"/>
  <c r="I31" i="71"/>
  <c r="I96" i="71" l="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10" i="49"/>
  <c r="I11" i="71"/>
  <c r="G31" i="49"/>
  <c r="I32" i="71"/>
  <c r="G23" i="49"/>
  <c r="I24" i="71"/>
  <c r="G15" i="49"/>
  <c r="I16" i="71"/>
  <c r="G20" i="49"/>
  <c r="I21" i="71"/>
  <c r="G18" i="49"/>
  <c r="I19" i="71"/>
  <c r="I8" i="16" s="1" a="1"/>
  <c r="G28" i="49"/>
  <c r="G12" i="49"/>
  <c r="G14" i="49"/>
  <c r="G29" i="49"/>
  <c r="G25" i="49"/>
  <c r="G21" i="49"/>
  <c r="G17" i="49"/>
  <c r="G13" i="49"/>
  <c r="G9" i="49"/>
  <c r="G30" i="49"/>
  <c r="G22" i="49"/>
  <c r="I9" i="16" l="1"/>
  <c r="I16" i="16"/>
  <c r="I8" i="16"/>
  <c r="I12" i="16"/>
  <c r="I14" i="16"/>
  <c r="I15" i="16"/>
  <c r="I11" i="16"/>
  <c r="I10" i="16"/>
  <c r="I13" i="16"/>
  <c r="I35" i="71"/>
  <c r="I72" i="71" s="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09" i="71" l="1"/>
  <c r="I26" i="16"/>
  <c r="I27" i="16"/>
  <c r="I29" i="16"/>
  <c r="I32" i="16"/>
  <c r="I31" i="16"/>
  <c r="I30" i="16"/>
  <c r="I28" i="16"/>
  <c r="C249" i="97"/>
  <c r="B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97" i="21" l="1"/>
  <c r="A137" i="21"/>
  <c r="A107" i="21"/>
  <c r="A167" i="21"/>
  <c r="A77" i="21"/>
  <c r="A47" i="21"/>
  <c r="A1" i="21"/>
  <c r="A1" i="11"/>
  <c r="A31" i="11" s="1"/>
  <c r="L1" i="11"/>
  <c r="A1" i="12"/>
  <c r="F67" i="12"/>
  <c r="F75" i="12"/>
  <c r="F83" i="12"/>
  <c r="F68" i="12"/>
  <c r="F71" i="12"/>
  <c r="F69" i="12"/>
  <c r="F77" i="12"/>
  <c r="F63" i="12"/>
  <c r="F70" i="12"/>
  <c r="F78" i="12"/>
  <c r="F86" i="12"/>
  <c r="F64" i="12"/>
  <c r="F72" i="12"/>
  <c r="F80" i="12"/>
  <c r="F76" i="12"/>
  <c r="F79" i="12"/>
  <c r="F65" i="12"/>
  <c r="F73" i="12"/>
  <c r="F81" i="12"/>
  <c r="F84" i="12"/>
  <c r="F66" i="12"/>
  <c r="F74" i="12"/>
  <c r="F82" i="12"/>
  <c r="F89" i="12"/>
  <c r="F61" i="12"/>
  <c r="H3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74" i="12"/>
  <c r="C66" i="12"/>
  <c r="C73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R7" i="93" l="1"/>
  <c r="D55" i="93"/>
  <c r="AG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M6" i="78"/>
  <c r="AA107" i="78"/>
  <c r="AB107" i="78"/>
  <c r="AL6" i="78"/>
  <c r="AL88" i="78" s="1"/>
  <c r="Z107" i="78"/>
  <c r="AJ6" i="78"/>
  <c r="AM97" i="78" s="1"/>
  <c r="X107" i="78"/>
  <c r="AI6" i="78"/>
  <c r="AH1" i="78" s="1"/>
  <c r="AK6" i="78"/>
  <c r="AB117" i="78"/>
  <c r="AL83" i="78"/>
  <c r="AX6" i="78"/>
  <c r="AM43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N33" i="79"/>
  <c r="O33" i="79"/>
  <c r="B46" i="78"/>
  <c r="AK93" i="78" l="1"/>
  <c r="AM93" i="78"/>
  <c r="AM106" i="78"/>
  <c r="AM104" i="78"/>
  <c r="AM84" i="78"/>
  <c r="AM89" i="78"/>
  <c r="AM100" i="78"/>
  <c r="AL100" i="78"/>
  <c r="AI96" i="78"/>
  <c r="AI103" i="78"/>
  <c r="AL99" i="78"/>
  <c r="AI101" i="78"/>
  <c r="AL84" i="78"/>
  <c r="AI86" i="78"/>
  <c r="AL98" i="78"/>
  <c r="AM101" i="78"/>
  <c r="AM96" i="78"/>
  <c r="AI105" i="78"/>
  <c r="AM99" i="78"/>
  <c r="AL94" i="78"/>
  <c r="AI90" i="78"/>
  <c r="AM94" i="78"/>
  <c r="AL103" i="78"/>
  <c r="AI43" i="78"/>
  <c r="AL80" i="78"/>
  <c r="AI82" i="78"/>
  <c r="AI107" i="78"/>
  <c r="AI102" i="78"/>
  <c r="AM102" i="78"/>
  <c r="AL96" i="78"/>
  <c r="AI106" i="78"/>
  <c r="AM88" i="78"/>
  <c r="AK87" i="78"/>
  <c r="AL117" i="78"/>
  <c r="AI98" i="78"/>
  <c r="AM85" i="78"/>
  <c r="AL102" i="78"/>
  <c r="AL105" i="78"/>
  <c r="AL106" i="78"/>
  <c r="AL86" i="78"/>
  <c r="AL91" i="78"/>
  <c r="AL82" i="78"/>
  <c r="AL97" i="78"/>
  <c r="AL101" i="78"/>
  <c r="AL95" i="78"/>
  <c r="M8" i="79"/>
  <c r="M33" i="79"/>
  <c r="AL89" i="78"/>
  <c r="AL85" i="78"/>
  <c r="AI95" i="78"/>
  <c r="AI85" i="78"/>
  <c r="AM91" i="78"/>
  <c r="AM87" i="78"/>
  <c r="AM83" i="78"/>
  <c r="AI100" i="78"/>
  <c r="AI99" i="78"/>
  <c r="AM82" i="78"/>
  <c r="AM98" i="78"/>
  <c r="AI92" i="78"/>
  <c r="AI93" i="78"/>
  <c r="AI109" i="78"/>
  <c r="AM109" i="78"/>
  <c r="AM103" i="78"/>
  <c r="AI94" i="78"/>
  <c r="AI83" i="78"/>
  <c r="AI89" i="78"/>
  <c r="AM105" i="78"/>
  <c r="AJ43" i="78"/>
  <c r="AK107" i="78"/>
  <c r="AW6" i="78"/>
  <c r="AW106" i="78" s="1"/>
  <c r="AL43" i="78"/>
  <c r="AI117" i="78"/>
  <c r="AI91" i="78"/>
  <c r="AT6" i="78"/>
  <c r="AS1" i="78" s="1"/>
  <c r="AM90" i="78"/>
  <c r="AM92" i="78"/>
  <c r="AM117" i="78"/>
  <c r="AJ107" i="78"/>
  <c r="AI88" i="78"/>
  <c r="AI87" i="78"/>
  <c r="AI97" i="78"/>
  <c r="AM86" i="78"/>
  <c r="AU6" i="78"/>
  <c r="AX107" i="78" s="1"/>
  <c r="AL104" i="78"/>
  <c r="AL90" i="78"/>
  <c r="AI84" i="78"/>
  <c r="AI80" i="78"/>
  <c r="AI104" i="78"/>
  <c r="AM95" i="78"/>
  <c r="AM80" i="78"/>
  <c r="AL93" i="78"/>
  <c r="AL109" i="78"/>
  <c r="AL87" i="78"/>
  <c r="AL92" i="78"/>
  <c r="AL107" i="78"/>
  <c r="AM10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Q146" i="78"/>
  <c r="S72" i="78"/>
  <c r="S109" i="78" s="1"/>
  <c r="AJ101" i="78"/>
  <c r="AJ88" i="78"/>
  <c r="AJ105" i="78"/>
  <c r="AJ94" i="78"/>
  <c r="AJ90" i="78"/>
  <c r="AK103" i="78"/>
  <c r="AK106" i="78"/>
  <c r="AK100" i="78"/>
  <c r="AK99" i="78"/>
  <c r="AE109" i="78"/>
  <c r="AE72" i="78"/>
  <c r="AF72" i="78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I6" i="78"/>
  <c r="AX43" i="78"/>
  <c r="BF6" i="78"/>
  <c r="AX109" i="78"/>
  <c r="AX88" i="78"/>
  <c r="AX91" i="78"/>
  <c r="AX97" i="78"/>
  <c r="AU43" i="78"/>
  <c r="AX103" i="78"/>
  <c r="AX94" i="78"/>
  <c r="AX106" i="78"/>
  <c r="AX80" i="78"/>
  <c r="AX89" i="78"/>
  <c r="AX95" i="78"/>
  <c r="AX100" i="78"/>
  <c r="AX98" i="78"/>
  <c r="AX99" i="78"/>
  <c r="AX90" i="78"/>
  <c r="AX85" i="78"/>
  <c r="AX83" i="78"/>
  <c r="AX105" i="78"/>
  <c r="AX86" i="78"/>
  <c r="AX101" i="78"/>
  <c r="AX96" i="78"/>
  <c r="AX102" i="78"/>
  <c r="AX84" i="78"/>
  <c r="AX82" i="78"/>
  <c r="AX104" i="78"/>
  <c r="AX92" i="78"/>
  <c r="AX93" i="78"/>
  <c r="AX87" i="78"/>
  <c r="AH38" i="78"/>
  <c r="AH75" i="78"/>
  <c r="AH112" i="78"/>
  <c r="BE6" i="78"/>
  <c r="BD1" i="78" s="1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V33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AW96" i="78" l="1"/>
  <c r="AW102" i="78"/>
  <c r="AW104" i="78"/>
  <c r="AW90" i="78"/>
  <c r="AW117" i="78"/>
  <c r="AV107" i="78"/>
  <c r="BH6" i="78"/>
  <c r="BH98" i="78" s="1"/>
  <c r="AW43" i="78"/>
  <c r="BI107" i="78"/>
  <c r="AW92" i="78"/>
  <c r="AW99" i="78"/>
  <c r="AX117" i="78"/>
  <c r="AU107" i="78"/>
  <c r="AW101" i="78"/>
  <c r="AW103" i="78"/>
  <c r="AW86" i="78"/>
  <c r="AW87" i="78"/>
  <c r="AW88" i="78"/>
  <c r="AW98" i="78"/>
  <c r="AW84" i="78"/>
  <c r="AW107" i="78"/>
  <c r="AW97" i="78"/>
  <c r="AW83" i="78"/>
  <c r="AW91" i="78"/>
  <c r="AW82" i="78"/>
  <c r="AW85" i="78"/>
  <c r="AW94" i="78"/>
  <c r="AW95" i="78"/>
  <c r="BE107" i="78"/>
  <c r="AW93" i="78"/>
  <c r="AW100" i="78"/>
  <c r="AW89" i="78"/>
  <c r="AW109" i="78"/>
  <c r="AW105" i="78"/>
  <c r="AW80" i="78"/>
  <c r="AT107" i="78"/>
  <c r="X22" i="76"/>
  <c r="W22" i="76"/>
  <c r="Y22" i="76"/>
  <c r="V22" i="76"/>
  <c r="AG22" i="76"/>
  <c r="AG49" i="76" s="1"/>
  <c r="AG82" i="76" s="1"/>
  <c r="T22" i="76"/>
  <c r="T49" i="76" s="1"/>
  <c r="AC22" i="76"/>
  <c r="Q22" i="76"/>
  <c r="R22" i="76"/>
  <c r="R49" i="76" s="1"/>
  <c r="R82" i="76" s="1"/>
  <c r="AB22" i="76"/>
  <c r="AB49" i="76" s="1"/>
  <c r="U22" i="76"/>
  <c r="U49" i="76" s="1"/>
  <c r="AD22" i="76"/>
  <c r="AA22" i="76"/>
  <c r="AA49" i="76" s="1"/>
  <c r="AA82" i="76" s="1"/>
  <c r="S22" i="76"/>
  <c r="Z22" i="76"/>
  <c r="AV95" i="78"/>
  <c r="AV91" i="78"/>
  <c r="BH101" i="78"/>
  <c r="BH87" i="78"/>
  <c r="AU104" i="78"/>
  <c r="AU101" i="78"/>
  <c r="AV117" i="78"/>
  <c r="AU88" i="78"/>
  <c r="AU96" i="78"/>
  <c r="BG6" i="78"/>
  <c r="AV96" i="78"/>
  <c r="AU103" i="78"/>
  <c r="AV94" i="78"/>
  <c r="AU105" i="78"/>
  <c r="AV97" i="78"/>
  <c r="BH99" i="78"/>
  <c r="AV103" i="78"/>
  <c r="BH100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BH109" i="78"/>
  <c r="BH86" i="78"/>
  <c r="AU117" i="78"/>
  <c r="AU91" i="78"/>
  <c r="AU83" i="78"/>
  <c r="AV82" i="78"/>
  <c r="AV109" i="78"/>
  <c r="AV102" i="78"/>
  <c r="BH93" i="78"/>
  <c r="BH95" i="78"/>
  <c r="BH103" i="78"/>
  <c r="AU94" i="78"/>
  <c r="AU97" i="78"/>
  <c r="AU99" i="78"/>
  <c r="AV93" i="78"/>
  <c r="AV85" i="78"/>
  <c r="AV99" i="78"/>
  <c r="BH83" i="78"/>
  <c r="BH90" i="78"/>
  <c r="BH80" i="78"/>
  <c r="BH106" i="78"/>
  <c r="AU82" i="78"/>
  <c r="AU102" i="78"/>
  <c r="AU109" i="78"/>
  <c r="AU84" i="78"/>
  <c r="AU93" i="78"/>
  <c r="AV106" i="78"/>
  <c r="AV89" i="78"/>
  <c r="AV87" i="78"/>
  <c r="AV104" i="78"/>
  <c r="BH96" i="78"/>
  <c r="BH117" i="78"/>
  <c r="BH88" i="78"/>
  <c r="BH84" i="78"/>
  <c r="AE49" i="76"/>
  <c r="AD72" i="78"/>
  <c r="AD109" i="78" s="1"/>
  <c r="BH91" i="78"/>
  <c r="BH82" i="78"/>
  <c r="BH89" i="78"/>
  <c r="BH97" i="78"/>
  <c r="V8" i="79"/>
  <c r="AD35" i="79"/>
  <c r="Z35" i="79"/>
  <c r="AE35" i="79"/>
  <c r="Y35" i="79"/>
  <c r="AF35" i="79"/>
  <c r="AG35" i="79"/>
  <c r="AB35" i="79"/>
  <c r="AC35" i="79"/>
  <c r="AA35" i="79"/>
  <c r="BH102" i="78"/>
  <c r="BH105" i="78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O1" i="78" s="1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W49" i="76"/>
  <c r="AF49" i="76"/>
  <c r="X49" i="76"/>
  <c r="X82" i="76" s="1"/>
  <c r="B20" i="52"/>
  <c r="Z49" i="76"/>
  <c r="Z82" i="76" s="1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180" i="71"/>
  <c r="E180" i="71"/>
  <c r="BH92" i="78" l="1"/>
  <c r="BH85" i="78"/>
  <c r="BH104" i="78"/>
  <c r="BH94" i="78"/>
  <c r="BH107" i="78"/>
  <c r="AE73" i="76"/>
  <c r="AE82" i="76"/>
  <c r="T73" i="76"/>
  <c r="T82" i="76"/>
  <c r="U73" i="76"/>
  <c r="U82" i="76"/>
  <c r="AF69" i="76"/>
  <c r="AF82" i="76"/>
  <c r="AB73" i="76"/>
  <c r="AB82" i="76"/>
  <c r="W73" i="76"/>
  <c r="W82" i="76"/>
  <c r="BP107" i="78"/>
  <c r="BT107" i="78"/>
  <c r="BG107" i="78"/>
  <c r="BH43" i="78"/>
  <c r="BS6" i="78"/>
  <c r="BI117" i="78"/>
  <c r="BF107" i="78"/>
  <c r="D180" i="71"/>
  <c r="H180" i="71" s="1"/>
  <c r="M7" i="75" s="1"/>
  <c r="M109" i="75"/>
  <c r="W56" i="76"/>
  <c r="AF73" i="76"/>
  <c r="AE56" i="76"/>
  <c r="AG65" i="76"/>
  <c r="AG70" i="76"/>
  <c r="AG80" i="76"/>
  <c r="AG60" i="76"/>
  <c r="AG75" i="76"/>
  <c r="AG74" i="76"/>
  <c r="AG54" i="76"/>
  <c r="AG59" i="76"/>
  <c r="AG64" i="76"/>
  <c r="AG53" i="76"/>
  <c r="AG58" i="76"/>
  <c r="AG63" i="76"/>
  <c r="AG67" i="76"/>
  <c r="AG77" i="76"/>
  <c r="AG89" i="76"/>
  <c r="AG94" i="76"/>
  <c r="AG57" i="76"/>
  <c r="AG66" i="76"/>
  <c r="AG81" i="76"/>
  <c r="AG85" i="76"/>
  <c r="AG71" i="76"/>
  <c r="AG93" i="76"/>
  <c r="AG86" i="76"/>
  <c r="AG96" i="76"/>
  <c r="AG76" i="76"/>
  <c r="AG90" i="76"/>
  <c r="AG79" i="76"/>
  <c r="AG88" i="76"/>
  <c r="AG84" i="76"/>
  <c r="AG92" i="76"/>
  <c r="AG62" i="76"/>
  <c r="AG52" i="76"/>
  <c r="AE60" i="76"/>
  <c r="AE65" i="76"/>
  <c r="AE70" i="76"/>
  <c r="AE75" i="76"/>
  <c r="AE80" i="76"/>
  <c r="AE86" i="76"/>
  <c r="AE54" i="76"/>
  <c r="AE59" i="76"/>
  <c r="AE64" i="76"/>
  <c r="AE74" i="76"/>
  <c r="AE53" i="76"/>
  <c r="AE58" i="76"/>
  <c r="AE63" i="76"/>
  <c r="AE67" i="76"/>
  <c r="AE77" i="76"/>
  <c r="AE89" i="76"/>
  <c r="AE94" i="76"/>
  <c r="AE66" i="76"/>
  <c r="AE71" i="76"/>
  <c r="AE57" i="76"/>
  <c r="AE76" i="76"/>
  <c r="AE81" i="76"/>
  <c r="AE85" i="76"/>
  <c r="AE93" i="76"/>
  <c r="AE96" i="76"/>
  <c r="AE90" i="76"/>
  <c r="AE62" i="76"/>
  <c r="AE88" i="76"/>
  <c r="AE84" i="76"/>
  <c r="AE79" i="76"/>
  <c r="AE52" i="76"/>
  <c r="AE92" i="76"/>
  <c r="AG56" i="76"/>
  <c r="U75" i="76"/>
  <c r="U60" i="76"/>
  <c r="U65" i="76"/>
  <c r="U70" i="76"/>
  <c r="U80" i="76"/>
  <c r="U74" i="76"/>
  <c r="U54" i="76"/>
  <c r="U59" i="76"/>
  <c r="U64" i="76"/>
  <c r="U53" i="76"/>
  <c r="U58" i="76"/>
  <c r="U63" i="76"/>
  <c r="U67" i="76"/>
  <c r="U77" i="76"/>
  <c r="U89" i="76"/>
  <c r="U94" i="76"/>
  <c r="U57" i="76"/>
  <c r="U66" i="76"/>
  <c r="U71" i="76"/>
  <c r="U86" i="76"/>
  <c r="U85" i="76"/>
  <c r="U96" i="76"/>
  <c r="U90" i="76"/>
  <c r="U76" i="76"/>
  <c r="U81" i="76"/>
  <c r="U93" i="76"/>
  <c r="U79" i="76"/>
  <c r="U52" i="76"/>
  <c r="U84" i="76"/>
  <c r="U62" i="76"/>
  <c r="U88" i="76"/>
  <c r="U92" i="76"/>
  <c r="U69" i="76"/>
  <c r="T69" i="76"/>
  <c r="AA67" i="76"/>
  <c r="AA53" i="76"/>
  <c r="AA58" i="76"/>
  <c r="AA63" i="76"/>
  <c r="AA77" i="76"/>
  <c r="AA76" i="76"/>
  <c r="AA81" i="76"/>
  <c r="AA57" i="76"/>
  <c r="AA66" i="76"/>
  <c r="AA71" i="76"/>
  <c r="AA60" i="76"/>
  <c r="AA65" i="76"/>
  <c r="AA70" i="76"/>
  <c r="AA75" i="76"/>
  <c r="AA80" i="76"/>
  <c r="AA86" i="76"/>
  <c r="AA54" i="76"/>
  <c r="AA59" i="76"/>
  <c r="AA64" i="76"/>
  <c r="AA93" i="76"/>
  <c r="AA96" i="76"/>
  <c r="AA74" i="76"/>
  <c r="AA90" i="76"/>
  <c r="AA85" i="76"/>
  <c r="AA94" i="76"/>
  <c r="AA89" i="76"/>
  <c r="AA88" i="76"/>
  <c r="AA84" i="76"/>
  <c r="AA92" i="76"/>
  <c r="AA79" i="76"/>
  <c r="AA52" i="76"/>
  <c r="AA62" i="76"/>
  <c r="R54" i="76"/>
  <c r="R59" i="76"/>
  <c r="R64" i="76"/>
  <c r="R74" i="76"/>
  <c r="R85" i="76"/>
  <c r="R53" i="76"/>
  <c r="R67" i="76"/>
  <c r="R58" i="76"/>
  <c r="R63" i="76"/>
  <c r="R77" i="76"/>
  <c r="R57" i="76"/>
  <c r="R66" i="76"/>
  <c r="R71" i="76"/>
  <c r="R76" i="76"/>
  <c r="R81" i="76"/>
  <c r="R93" i="76"/>
  <c r="R60" i="76"/>
  <c r="R65" i="76"/>
  <c r="R70" i="76"/>
  <c r="R86" i="76"/>
  <c r="R96" i="76"/>
  <c r="R90" i="76"/>
  <c r="R75" i="76"/>
  <c r="R89" i="76"/>
  <c r="R80" i="76"/>
  <c r="R94" i="76"/>
  <c r="R92" i="76"/>
  <c r="R84" i="76"/>
  <c r="R79" i="76"/>
  <c r="R52" i="76"/>
  <c r="R62" i="76"/>
  <c r="R88" i="76"/>
  <c r="AB69" i="76"/>
  <c r="AG73" i="76"/>
  <c r="U56" i="76"/>
  <c r="AG69" i="76"/>
  <c r="AB54" i="76"/>
  <c r="AB59" i="76"/>
  <c r="AB64" i="76"/>
  <c r="AB74" i="76"/>
  <c r="AB85" i="76"/>
  <c r="AB90" i="76"/>
  <c r="AB96" i="76"/>
  <c r="AB53" i="76"/>
  <c r="AB58" i="76"/>
  <c r="AB63" i="76"/>
  <c r="AB67" i="76"/>
  <c r="AB77" i="76"/>
  <c r="AB57" i="76"/>
  <c r="AB66" i="76"/>
  <c r="AB71" i="76"/>
  <c r="AB76" i="76"/>
  <c r="AB81" i="76"/>
  <c r="AB93" i="76"/>
  <c r="AB70" i="76"/>
  <c r="AB75" i="76"/>
  <c r="AB60" i="76"/>
  <c r="AB65" i="76"/>
  <c r="AB89" i="76"/>
  <c r="AB86" i="76"/>
  <c r="AB80" i="76"/>
  <c r="AB94" i="76"/>
  <c r="AB88" i="76"/>
  <c r="AB79" i="76"/>
  <c r="AB92" i="76"/>
  <c r="AB62" i="76"/>
  <c r="AB84" i="76"/>
  <c r="AB52" i="76"/>
  <c r="AC49" i="76"/>
  <c r="AC82" i="76" s="1"/>
  <c r="AA73" i="76"/>
  <c r="R73" i="76"/>
  <c r="AA56" i="76"/>
  <c r="W69" i="76"/>
  <c r="X71" i="76"/>
  <c r="X76" i="76"/>
  <c r="X81" i="76"/>
  <c r="X57" i="76"/>
  <c r="X66" i="76"/>
  <c r="X65" i="76"/>
  <c r="X70" i="76"/>
  <c r="X80" i="76"/>
  <c r="X60" i="76"/>
  <c r="X75" i="76"/>
  <c r="X54" i="76"/>
  <c r="X59" i="76"/>
  <c r="X64" i="76"/>
  <c r="X74" i="76"/>
  <c r="X85" i="76"/>
  <c r="X90" i="76"/>
  <c r="X96" i="76"/>
  <c r="X53" i="76"/>
  <c r="X58" i="76"/>
  <c r="X63" i="76"/>
  <c r="X67" i="76"/>
  <c r="X77" i="76"/>
  <c r="X93" i="76"/>
  <c r="X94" i="76"/>
  <c r="X86" i="76"/>
  <c r="X89" i="76"/>
  <c r="X62" i="76"/>
  <c r="X88" i="76"/>
  <c r="X92" i="76"/>
  <c r="X84" i="76"/>
  <c r="X52" i="76"/>
  <c r="X79" i="76"/>
  <c r="AD49" i="76"/>
  <c r="AA69" i="76"/>
  <c r="R69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57" i="76"/>
  <c r="T66" i="76"/>
  <c r="T71" i="76"/>
  <c r="T76" i="76"/>
  <c r="T81" i="76"/>
  <c r="T93" i="76"/>
  <c r="T62" i="76"/>
  <c r="T84" i="76"/>
  <c r="T88" i="76"/>
  <c r="T92" i="76"/>
  <c r="T79" i="76"/>
  <c r="T52" i="76"/>
  <c r="AF60" i="76"/>
  <c r="AF65" i="76"/>
  <c r="AF70" i="76"/>
  <c r="AF75" i="76"/>
  <c r="AF80" i="76"/>
  <c r="AF86" i="76"/>
  <c r="AF54" i="76"/>
  <c r="AF59" i="76"/>
  <c r="AF64" i="76"/>
  <c r="AF74" i="76"/>
  <c r="AF85" i="76"/>
  <c r="AF90" i="76"/>
  <c r="AF96" i="76"/>
  <c r="AF53" i="76"/>
  <c r="AF58" i="76"/>
  <c r="AF63" i="76"/>
  <c r="AF67" i="76"/>
  <c r="AF77" i="76"/>
  <c r="AF89" i="76"/>
  <c r="AF94" i="76"/>
  <c r="AF57" i="76"/>
  <c r="AF66" i="76"/>
  <c r="AF71" i="76"/>
  <c r="AF76" i="76"/>
  <c r="AF81" i="76"/>
  <c r="AF93" i="76"/>
  <c r="AF88" i="76"/>
  <c r="AF92" i="76"/>
  <c r="AF84" i="76"/>
  <c r="AF79" i="76"/>
  <c r="AF62" i="76"/>
  <c r="AF52" i="76"/>
  <c r="T56" i="76"/>
  <c r="X56" i="76"/>
  <c r="X73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54" i="76"/>
  <c r="Z59" i="76"/>
  <c r="Z64" i="76"/>
  <c r="Z74" i="76"/>
  <c r="Z85" i="76"/>
  <c r="Z90" i="76"/>
  <c r="Z96" i="76"/>
  <c r="Z62" i="76"/>
  <c r="Z52" i="76"/>
  <c r="Z88" i="76"/>
  <c r="Z84" i="76"/>
  <c r="Z79" i="76"/>
  <c r="Z92" i="76"/>
  <c r="AB56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53" i="76"/>
  <c r="W58" i="76"/>
  <c r="W63" i="76"/>
  <c r="W67" i="76"/>
  <c r="W77" i="76"/>
  <c r="W89" i="76"/>
  <c r="W94" i="76"/>
  <c r="W84" i="76"/>
  <c r="W52" i="76"/>
  <c r="W88" i="76"/>
  <c r="W79" i="76"/>
  <c r="W62" i="76"/>
  <c r="W92" i="76"/>
  <c r="Z73" i="76"/>
  <c r="AF56" i="76"/>
  <c r="Z56" i="76"/>
  <c r="X69" i="76"/>
  <c r="V49" i="76"/>
  <c r="V82" i="76" s="1"/>
  <c r="S49" i="76"/>
  <c r="S82" i="76" s="1"/>
  <c r="Y49" i="76"/>
  <c r="Y82" i="76" s="1"/>
  <c r="Z69" i="76"/>
  <c r="Q49" i="76"/>
  <c r="AE69" i="76"/>
  <c r="R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87" i="78"/>
  <c r="BS88" i="78"/>
  <c r="BS84" i="78"/>
  <c r="BS92" i="78"/>
  <c r="BS94" i="78"/>
  <c r="BS98" i="78"/>
  <c r="BS106" i="78"/>
  <c r="BS82" i="78"/>
  <c r="BS91" i="78"/>
  <c r="BS86" i="78"/>
  <c r="BS103" i="78"/>
  <c r="BS97" i="78"/>
  <c r="BS117" i="78"/>
  <c r="BS99" i="78"/>
  <c r="BS95" i="78"/>
  <c r="BS93" i="78"/>
  <c r="BS104" i="78"/>
  <c r="BS101" i="78"/>
  <c r="BS83" i="78"/>
  <c r="BS80" i="78"/>
  <c r="BS102" i="78"/>
  <c r="BS89" i="78"/>
  <c r="BS96" i="78"/>
  <c r="BS105" i="78"/>
  <c r="BS85" i="78"/>
  <c r="BS100" i="78"/>
  <c r="BS90" i="78"/>
  <c r="F109" i="71"/>
  <c r="F146" i="71"/>
  <c r="N109" i="75" s="1"/>
  <c r="B109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Q38" i="21"/>
  <c r="B8" i="52"/>
  <c r="C146" i="71"/>
  <c r="C109" i="71"/>
  <c r="P8" i="52"/>
  <c r="N8" i="52"/>
  <c r="L8" i="52"/>
  <c r="K8" i="52"/>
  <c r="J8" i="52"/>
  <c r="H8" i="52"/>
  <c r="G8" i="52"/>
  <c r="AD69" i="76" l="1"/>
  <c r="AD82" i="76"/>
  <c r="Q69" i="76"/>
  <c r="Q82" i="76"/>
  <c r="I180" i="71"/>
  <c r="N7" i="75" s="1"/>
  <c r="CA107" i="78"/>
  <c r="BR107" i="78"/>
  <c r="CD6" i="78"/>
  <c r="CD99" i="78" s="1"/>
  <c r="BS43" i="78"/>
  <c r="CE107" i="78"/>
  <c r="BS107" i="78"/>
  <c r="BR109" i="78"/>
  <c r="BQ107" i="78"/>
  <c r="BS109" i="78"/>
  <c r="BZ1" i="78"/>
  <c r="Y53" i="76"/>
  <c r="Y58" i="76"/>
  <c r="Y63" i="76"/>
  <c r="Y67" i="76"/>
  <c r="Y77" i="76"/>
  <c r="Y89" i="76"/>
  <c r="Y94" i="76"/>
  <c r="Y57" i="76"/>
  <c r="Y66" i="76"/>
  <c r="Y71" i="76"/>
  <c r="Y76" i="76"/>
  <c r="Y60" i="76"/>
  <c r="Y65" i="76"/>
  <c r="Y70" i="76"/>
  <c r="Y75" i="76"/>
  <c r="Y80" i="76"/>
  <c r="Y86" i="76"/>
  <c r="Y64" i="76"/>
  <c r="Y54" i="76"/>
  <c r="Y59" i="76"/>
  <c r="Y74" i="76"/>
  <c r="Y85" i="76"/>
  <c r="Y81" i="76"/>
  <c r="Y93" i="76"/>
  <c r="Y90" i="76"/>
  <c r="Y96" i="76"/>
  <c r="Y79" i="76"/>
  <c r="Y92" i="76"/>
  <c r="Y52" i="76"/>
  <c r="Y62" i="76"/>
  <c r="Y84" i="76"/>
  <c r="Y88" i="76"/>
  <c r="Y56" i="76"/>
  <c r="Y73" i="76"/>
  <c r="S60" i="76"/>
  <c r="S65" i="76"/>
  <c r="S70" i="76"/>
  <c r="S75" i="76"/>
  <c r="S80" i="76"/>
  <c r="S86" i="76"/>
  <c r="S54" i="76"/>
  <c r="S59" i="76"/>
  <c r="S64" i="76"/>
  <c r="S74" i="76"/>
  <c r="S53" i="76"/>
  <c r="S58" i="76"/>
  <c r="S63" i="76"/>
  <c r="S67" i="76"/>
  <c r="S77" i="76"/>
  <c r="S89" i="76"/>
  <c r="S94" i="76"/>
  <c r="S81" i="76"/>
  <c r="S57" i="76"/>
  <c r="S66" i="76"/>
  <c r="S71" i="76"/>
  <c r="S96" i="76"/>
  <c r="S85" i="76"/>
  <c r="S90" i="76"/>
  <c r="S76" i="76"/>
  <c r="S93" i="76"/>
  <c r="S84" i="76"/>
  <c r="S79" i="76"/>
  <c r="S52" i="76"/>
  <c r="S88" i="76"/>
  <c r="S92" i="76"/>
  <c r="S62" i="76"/>
  <c r="S73" i="76"/>
  <c r="S56" i="76"/>
  <c r="S69" i="76"/>
  <c r="V57" i="76"/>
  <c r="V66" i="76"/>
  <c r="V71" i="76"/>
  <c r="V76" i="76"/>
  <c r="V81" i="76"/>
  <c r="V93" i="76"/>
  <c r="V60" i="76"/>
  <c r="V65" i="76"/>
  <c r="V70" i="76"/>
  <c r="V75" i="76"/>
  <c r="V54" i="76"/>
  <c r="V59" i="76"/>
  <c r="V64" i="76"/>
  <c r="V74" i="76"/>
  <c r="V85" i="76"/>
  <c r="V90" i="76"/>
  <c r="V96" i="76"/>
  <c r="V53" i="76"/>
  <c r="V77" i="76"/>
  <c r="V58" i="76"/>
  <c r="V63" i="76"/>
  <c r="V67" i="76"/>
  <c r="V89" i="76"/>
  <c r="V86" i="76"/>
  <c r="V80" i="76"/>
  <c r="V94" i="76"/>
  <c r="V88" i="76"/>
  <c r="V84" i="76"/>
  <c r="V62" i="76"/>
  <c r="V92" i="76"/>
  <c r="V79" i="76"/>
  <c r="V52" i="76"/>
  <c r="V56" i="76"/>
  <c r="V73" i="76"/>
  <c r="V69" i="76"/>
  <c r="AD64" i="76"/>
  <c r="AD74" i="76"/>
  <c r="AD54" i="76"/>
  <c r="AD59" i="76"/>
  <c r="AD77" i="76"/>
  <c r="AD53" i="76"/>
  <c r="AD58" i="76"/>
  <c r="AD63" i="76"/>
  <c r="AD67" i="76"/>
  <c r="AD57" i="76"/>
  <c r="AD66" i="76"/>
  <c r="AD71" i="76"/>
  <c r="AD76" i="76"/>
  <c r="AD81" i="76"/>
  <c r="AD93" i="76"/>
  <c r="AD60" i="76"/>
  <c r="AD65" i="76"/>
  <c r="AD94" i="76"/>
  <c r="AD70" i="76"/>
  <c r="AD89" i="76"/>
  <c r="AD96" i="76"/>
  <c r="AD86" i="76"/>
  <c r="AD75" i="76"/>
  <c r="AD80" i="76"/>
  <c r="AD90" i="76"/>
  <c r="AD85" i="76"/>
  <c r="AD79" i="76"/>
  <c r="AD84" i="76"/>
  <c r="AD92" i="76"/>
  <c r="AD62" i="76"/>
  <c r="AD52" i="76"/>
  <c r="AD88" i="76"/>
  <c r="AD73" i="76"/>
  <c r="AD5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0" i="76"/>
  <c r="Q65" i="76"/>
  <c r="Q70" i="76"/>
  <c r="Q75" i="76"/>
  <c r="Q80" i="76"/>
  <c r="Q86" i="76"/>
  <c r="Q56" i="76"/>
  <c r="Q84" i="76"/>
  <c r="Q52" i="76"/>
  <c r="Q92" i="76"/>
  <c r="Q62" i="76"/>
  <c r="Q79" i="76"/>
  <c r="Q88" i="76"/>
  <c r="Q73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60" i="76"/>
  <c r="AC65" i="76"/>
  <c r="AC70" i="76"/>
  <c r="AC75" i="76"/>
  <c r="AC80" i="76"/>
  <c r="AC86" i="76"/>
  <c r="AC84" i="76"/>
  <c r="AC92" i="76"/>
  <c r="AC88" i="76"/>
  <c r="AC62" i="76"/>
  <c r="AC79" i="76"/>
  <c r="AC52" i="76"/>
  <c r="AC73" i="76"/>
  <c r="AC56" i="76"/>
  <c r="Y69" i="76"/>
  <c r="AC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91" i="78" l="1"/>
  <c r="CD83" i="78"/>
  <c r="CD84" i="78"/>
  <c r="CD87" i="78"/>
  <c r="CD85" i="78"/>
  <c r="CD109" i="78"/>
  <c r="CD90" i="78"/>
  <c r="CD97" i="78"/>
  <c r="CD105" i="78"/>
  <c r="CD117" i="78"/>
  <c r="CD94" i="78"/>
  <c r="CD98" i="78"/>
  <c r="CD93" i="78"/>
  <c r="CD86" i="78"/>
  <c r="CD82" i="78"/>
  <c r="CD96" i="78"/>
  <c r="CD95" i="78"/>
  <c r="CD89" i="78"/>
  <c r="CD88" i="78"/>
  <c r="CD101" i="78"/>
  <c r="CD106" i="78"/>
  <c r="CD107" i="78"/>
  <c r="CL107" i="78"/>
  <c r="CD92" i="78"/>
  <c r="CD102" i="78"/>
  <c r="CD104" i="78"/>
  <c r="CD80" i="78"/>
  <c r="CD103" i="78"/>
  <c r="CD100" i="78"/>
  <c r="CP43" i="78"/>
  <c r="CP107" i="78"/>
  <c r="CC80" i="78"/>
  <c r="CB107" i="78"/>
  <c r="CC107" i="78"/>
  <c r="CO6" i="78"/>
  <c r="CO83" i="78" s="1"/>
  <c r="CD43" i="78"/>
  <c r="CE117" i="78"/>
  <c r="CB87" i="78"/>
  <c r="CK1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4" i="78" l="1"/>
  <c r="CO97" i="78"/>
  <c r="CO106" i="78"/>
  <c r="CO85" i="78"/>
  <c r="CO98" i="78"/>
  <c r="CO104" i="78"/>
  <c r="CO103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91" i="78"/>
  <c r="CO87" i="78"/>
  <c r="CO95" i="78"/>
  <c r="CO117" i="78"/>
  <c r="CO109" i="78"/>
  <c r="CN107" i="78"/>
  <c r="CO43" i="78"/>
  <c r="CP117" i="78"/>
  <c r="CM107" i="78"/>
  <c r="CO107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H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5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5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H46" i="16" s="1"/>
  <c r="B6" i="16"/>
  <c r="A479" i="76" l="1"/>
  <c r="L1" i="16"/>
  <c r="A1" i="16"/>
  <c r="B46" i="16"/>
  <c r="H80" i="16"/>
  <c r="M51" i="75" s="1"/>
  <c r="L39" i="16"/>
  <c r="I46" i="16"/>
  <c r="M152" i="75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40" i="80"/>
  <c r="E40" i="80"/>
  <c r="B41" i="80"/>
  <c r="B40" i="80"/>
  <c r="M163" i="75" l="1"/>
  <c r="H36" i="16"/>
  <c r="H27" i="11"/>
  <c r="J27" i="11"/>
  <c r="I27" i="11"/>
  <c r="AB14" i="106"/>
  <c r="Y14" i="106"/>
  <c r="C51" i="18"/>
  <c r="I60" i="18" s="1"/>
  <c r="X14" i="106"/>
  <c r="AC14" i="106"/>
  <c r="AA14" i="106"/>
  <c r="E51" i="18"/>
  <c r="K61" i="18" s="1"/>
  <c r="Z14" i="106"/>
  <c r="F52" i="11"/>
  <c r="F41" i="11"/>
  <c r="D33" i="16"/>
  <c r="H56" i="16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1" i="18" l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F80" i="49" s="1"/>
  <c r="D74" i="49"/>
  <c r="D75" i="49"/>
  <c r="D69" i="49"/>
  <c r="D58" i="49"/>
  <c r="D59" i="49"/>
  <c r="D54" i="49"/>
  <c r="D55" i="49"/>
  <c r="D51" i="49"/>
  <c r="F51" i="49" s="1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C33" i="49" l="1"/>
  <c r="D25" i="49"/>
  <c r="D26" i="49"/>
  <c r="D30" i="49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34" i="16" l="1"/>
  <c r="W54" i="16"/>
  <c r="W72" i="16"/>
  <c r="L54" i="16"/>
  <c r="W34" i="16"/>
  <c r="L72" i="16"/>
  <c r="L50" i="16"/>
  <c r="W30" i="16"/>
  <c r="L68" i="16"/>
  <c r="L30" i="16"/>
  <c r="W50" i="16"/>
  <c r="W68" i="16"/>
  <c r="W46" i="16"/>
  <c r="L46" i="16"/>
  <c r="W26" i="16"/>
  <c r="W64" i="16"/>
  <c r="L64" i="16"/>
  <c r="L26" i="16"/>
  <c r="L33" i="16"/>
  <c r="L71" i="16"/>
  <c r="W53" i="16"/>
  <c r="W71" i="16"/>
  <c r="L53" i="16"/>
  <c r="W33" i="16"/>
  <c r="L70" i="16"/>
  <c r="L32" i="16"/>
  <c r="W32" i="16"/>
  <c r="W52" i="16"/>
  <c r="W70" i="16"/>
  <c r="L52" i="16"/>
  <c r="W31" i="16"/>
  <c r="L69" i="16"/>
  <c r="L31" i="16"/>
  <c r="L51" i="16"/>
  <c r="W69" i="16"/>
  <c r="W51" i="16"/>
  <c r="W67" i="16"/>
  <c r="L49" i="16"/>
  <c r="W29" i="16"/>
  <c r="L67" i="16"/>
  <c r="L29" i="16"/>
  <c r="W49" i="16"/>
  <c r="W66" i="16"/>
  <c r="L48" i="16"/>
  <c r="L66" i="16"/>
  <c r="W28" i="16"/>
  <c r="L28" i="16"/>
  <c r="W48" i="16"/>
  <c r="W47" i="16"/>
  <c r="W65" i="16"/>
  <c r="L47" i="16"/>
  <c r="W27" i="16"/>
  <c r="L65" i="16"/>
  <c r="L27" i="16"/>
  <c r="A51" i="18"/>
  <c r="W56" i="16"/>
  <c r="W74" i="16"/>
  <c r="L56" i="16"/>
  <c r="W36" i="16"/>
  <c r="L74" i="16"/>
  <c r="L36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23" i="76" l="1"/>
  <c r="L70" i="76"/>
  <c r="L49" i="76"/>
  <c r="L96" i="76"/>
  <c r="L23" i="75"/>
  <c r="A87" i="18"/>
  <c r="A96" i="18"/>
  <c r="L18" i="75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9" i="79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109" i="78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339" i="76" l="1"/>
  <c r="A199" i="76"/>
  <c r="A1" i="76"/>
  <c r="A164" i="76"/>
  <c r="A234" i="76"/>
  <c r="A118" i="76"/>
  <c r="A444" i="76"/>
  <c r="A374" i="76"/>
  <c r="A409" i="76"/>
  <c r="A59" i="76"/>
  <c r="A304" i="76"/>
  <c r="A269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72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72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X94" i="60" s="1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X77" i="60" l="1"/>
  <c r="CR77" i="60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F50" i="49" s="1"/>
  <c r="D52" i="49"/>
  <c r="D53" i="49"/>
  <c r="D56" i="49"/>
  <c r="D57" i="49"/>
  <c r="D60" i="49"/>
  <c r="F60" i="49" s="1"/>
  <c r="C93" i="49"/>
  <c r="C180" i="49" s="1"/>
  <c r="C267" i="49" s="1"/>
  <c r="D93" i="49"/>
  <c r="D180" i="49" s="1"/>
  <c r="D267" i="49" s="1"/>
  <c r="E93" i="49"/>
  <c r="E180" i="49" s="1"/>
  <c r="E267" i="49" s="1"/>
  <c r="F93" i="49"/>
  <c r="F180" i="49" s="1"/>
  <c r="F267" i="49" s="1"/>
  <c r="B93" i="49"/>
  <c r="B180" i="49" s="1"/>
  <c r="B267" i="49" s="1"/>
  <c r="C64" i="49"/>
  <c r="C151" i="49" s="1"/>
  <c r="C238" i="49" s="1"/>
  <c r="D64" i="49"/>
  <c r="D151" i="49" s="1"/>
  <c r="D238" i="49" s="1"/>
  <c r="E64" i="49"/>
  <c r="E151" i="49" s="1"/>
  <c r="E238" i="49" s="1"/>
  <c r="F64" i="49"/>
  <c r="F151" i="49" s="1"/>
  <c r="F238" i="49" s="1"/>
  <c r="B64" i="49"/>
  <c r="B151" i="49" s="1"/>
  <c r="B238" i="49" s="1"/>
  <c r="C35" i="49"/>
  <c r="D35" i="49"/>
  <c r="E35" i="49"/>
  <c r="F35" i="49"/>
  <c r="B35" i="49"/>
  <c r="A33" i="49"/>
  <c r="L41" i="49" l="1" a="1"/>
  <c r="L42" i="49" s="1"/>
  <c r="L19" i="49" a="1"/>
  <c r="L30" i="49" a="1"/>
  <c r="D7" i="49"/>
  <c r="D91" i="49"/>
  <c r="D62" i="49"/>
  <c r="D120" i="49"/>
  <c r="F122" i="49"/>
  <c r="F209" i="49" s="1"/>
  <c r="U35" i="49"/>
  <c r="D122" i="49"/>
  <c r="D209" i="49" s="1"/>
  <c r="S35" i="49"/>
  <c r="E122" i="49"/>
  <c r="E209" i="49" s="1"/>
  <c r="T35" i="49"/>
  <c r="D13" i="49"/>
  <c r="D12" i="49"/>
  <c r="D31" i="49"/>
  <c r="C122" i="49"/>
  <c r="C209" i="49" s="1"/>
  <c r="R35" i="49"/>
  <c r="B122" i="49"/>
  <c r="B209" i="49" s="1"/>
  <c r="Q35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36" i="49"/>
  <c r="N19" i="49" l="1" a="1"/>
  <c r="N27" i="49" s="1"/>
  <c r="N30" i="49" a="1"/>
  <c r="N37" i="49" s="1"/>
  <c r="L46" i="49"/>
  <c r="L43" i="49"/>
  <c r="N41" i="49" a="1"/>
  <c r="N49" i="49" s="1"/>
  <c r="L44" i="49"/>
  <c r="L47" i="49"/>
  <c r="L41" i="49"/>
  <c r="L49" i="49"/>
  <c r="L48" i="49"/>
  <c r="L45" i="49"/>
  <c r="L8" i="49" a="1"/>
  <c r="L30" i="49"/>
  <c r="L35" i="49"/>
  <c r="L37" i="49"/>
  <c r="L33" i="49"/>
  <c r="L34" i="49"/>
  <c r="L32" i="49"/>
  <c r="L31" i="49"/>
  <c r="L38" i="49"/>
  <c r="L36" i="49"/>
  <c r="L19" i="49"/>
  <c r="L26" i="49"/>
  <c r="L20" i="49"/>
  <c r="L27" i="49"/>
  <c r="L25" i="49"/>
  <c r="L24" i="49"/>
  <c r="L23" i="49"/>
  <c r="L22" i="49"/>
  <c r="L21" i="49"/>
  <c r="F91" i="49"/>
  <c r="F120" i="49"/>
  <c r="F62" i="49"/>
  <c r="D33" i="49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19" i="49" l="1"/>
  <c r="N20" i="49"/>
  <c r="N21" i="49"/>
  <c r="N45" i="49"/>
  <c r="N38" i="49"/>
  <c r="N26" i="49"/>
  <c r="N24" i="49"/>
  <c r="N22" i="49"/>
  <c r="N30" i="49"/>
  <c r="N33" i="49"/>
  <c r="N31" i="49"/>
  <c r="N34" i="49"/>
  <c r="N23" i="49"/>
  <c r="N36" i="49"/>
  <c r="N32" i="49"/>
  <c r="N25" i="49"/>
  <c r="N35" i="49"/>
  <c r="N48" i="49"/>
  <c r="N42" i="49"/>
  <c r="N47" i="49"/>
  <c r="N43" i="49"/>
  <c r="N44" i="49"/>
  <c r="N41" i="49"/>
  <c r="N46" i="49"/>
  <c r="L8" i="49"/>
  <c r="L15" i="49"/>
  <c r="L16" i="49"/>
  <c r="L13" i="49"/>
  <c r="L14" i="49"/>
  <c r="L12" i="49"/>
  <c r="L11" i="49"/>
  <c r="L10" i="49"/>
  <c r="L9" i="49"/>
  <c r="N8" i="49" a="1"/>
  <c r="F33" i="49"/>
  <c r="N8" i="49" l="1"/>
  <c r="N15" i="49"/>
  <c r="N10" i="49"/>
  <c r="N9" i="49"/>
  <c r="N11" i="49"/>
  <c r="N14" i="49"/>
  <c r="N16" i="49"/>
  <c r="N13" i="49"/>
  <c r="N12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43" i="18"/>
  <c r="B39" i="18"/>
  <c r="B34" i="18"/>
  <c r="H89" i="18" s="1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7" i="76"/>
  <c r="K7" i="15"/>
  <c r="L7" i="15"/>
  <c r="A51" i="51"/>
  <c r="L9" i="15"/>
  <c r="E3" i="44"/>
  <c r="D89" i="18"/>
  <c r="C89" i="18"/>
  <c r="F3" i="44"/>
  <c r="F10" i="44" s="1"/>
  <c r="E89" i="18"/>
  <c r="F89" i="18"/>
  <c r="B89" i="18"/>
  <c r="B59" i="18"/>
  <c r="L41" i="76"/>
  <c r="L88" i="76"/>
  <c r="A1" i="51"/>
  <c r="L37" i="76"/>
  <c r="L84" i="76"/>
  <c r="L32" i="76"/>
  <c r="L79" i="76"/>
  <c r="L26" i="76"/>
  <c r="L73" i="76"/>
  <c r="L22" i="76"/>
  <c r="L69" i="76"/>
  <c r="L15" i="76"/>
  <c r="L62" i="76"/>
  <c r="L45" i="76"/>
  <c r="L92" i="76"/>
  <c r="L9" i="76"/>
  <c r="L56" i="76"/>
  <c r="N230" i="21"/>
  <c r="H17" i="11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L15" i="15"/>
  <c r="B3" i="44"/>
  <c r="F12" i="44"/>
  <c r="F11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59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A53" i="18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4" i="18"/>
  <c r="H96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E46" i="44" l="1"/>
  <c r="B5" i="44"/>
  <c r="B7" i="44"/>
  <c r="B9" i="44"/>
  <c r="B11" i="44"/>
  <c r="B13" i="44"/>
  <c r="B10" i="44"/>
  <c r="B12" i="44"/>
  <c r="B6" i="44"/>
  <c r="B8" i="44"/>
  <c r="E7" i="44"/>
  <c r="E9" i="44"/>
  <c r="E11" i="44"/>
  <c r="E13" i="44"/>
  <c r="E5" i="44"/>
  <c r="E8" i="44"/>
  <c r="E10" i="44"/>
  <c r="E38" i="44" s="1"/>
  <c r="E12" i="44"/>
  <c r="E54" i="44" s="1"/>
  <c r="E6" i="44"/>
  <c r="C7" i="44"/>
  <c r="C9" i="44"/>
  <c r="C11" i="44"/>
  <c r="C13" i="44"/>
  <c r="C5" i="44"/>
  <c r="C6" i="44"/>
  <c r="C8" i="44"/>
  <c r="C10" i="44"/>
  <c r="C12" i="44"/>
  <c r="D7" i="44"/>
  <c r="D9" i="44"/>
  <c r="D11" i="44"/>
  <c r="D13" i="44"/>
  <c r="D5" i="44"/>
  <c r="D8" i="44"/>
  <c r="D10" i="44"/>
  <c r="F52" i="44" s="1"/>
  <c r="D12" i="44"/>
  <c r="F40" i="44" s="1"/>
  <c r="D6" i="44"/>
  <c r="F5" i="44"/>
  <c r="E33" i="44" s="1"/>
  <c r="F13" i="44"/>
  <c r="F6" i="44"/>
  <c r="A1" i="44"/>
  <c r="F7" i="44"/>
  <c r="F8" i="44"/>
  <c r="F18" i="44"/>
  <c r="F9" i="44"/>
  <c r="E32" i="44"/>
  <c r="E18" i="44"/>
  <c r="C18" i="44"/>
  <c r="C32" i="44"/>
  <c r="B18" i="44"/>
  <c r="L234" i="21"/>
  <c r="L264" i="21" s="1"/>
  <c r="L235" i="21"/>
  <c r="L265" i="21" s="1"/>
  <c r="L233" i="21"/>
  <c r="L263" i="21" s="1"/>
  <c r="L232" i="21"/>
  <c r="L262" i="21" s="1"/>
  <c r="L236" i="21"/>
  <c r="L266" i="21" s="1"/>
  <c r="L231" i="21"/>
  <c r="L261" i="21" s="1"/>
  <c r="B32" i="44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55" i="44" l="1"/>
  <c r="E50" i="44"/>
  <c r="F33" i="44"/>
  <c r="E49" i="44"/>
  <c r="E40" i="44"/>
  <c r="E52" i="44"/>
  <c r="E36" i="44"/>
  <c r="D48" i="44"/>
  <c r="E35" i="44"/>
  <c r="E51" i="44"/>
  <c r="F50" i="44"/>
  <c r="F49" i="44"/>
  <c r="E48" i="44"/>
  <c r="E47" i="44"/>
  <c r="E34" i="44"/>
  <c r="E15" i="44"/>
  <c r="E24" i="44" s="1"/>
  <c r="E39" i="44"/>
  <c r="E41" i="44"/>
  <c r="E53" i="44"/>
  <c r="D53" i="44"/>
  <c r="F15" i="44"/>
  <c r="F19" i="44" s="1"/>
  <c r="E37" i="44"/>
  <c r="B41" i="44"/>
  <c r="B52" i="44"/>
  <c r="B47" i="44"/>
  <c r="B35" i="44"/>
  <c r="B40" i="44"/>
  <c r="B33" i="44"/>
  <c r="B34" i="44"/>
  <c r="B38" i="44"/>
  <c r="B36" i="44"/>
  <c r="B54" i="44"/>
  <c r="B50" i="44"/>
  <c r="B15" i="44"/>
  <c r="B21" i="44" s="1"/>
  <c r="B48" i="44"/>
  <c r="B53" i="44"/>
  <c r="B39" i="44"/>
  <c r="B55" i="44"/>
  <c r="C41" i="44"/>
  <c r="B37" i="44"/>
  <c r="B51" i="44"/>
  <c r="C15" i="44"/>
  <c r="C20" i="44" s="1"/>
  <c r="B49" i="44"/>
  <c r="C37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E20" i="44" l="1"/>
  <c r="E21" i="44"/>
  <c r="E26" i="44"/>
  <c r="E22" i="44"/>
  <c r="F24" i="44"/>
  <c r="E19" i="44"/>
  <c r="E27" i="44"/>
  <c r="E23" i="44"/>
  <c r="F20" i="44"/>
  <c r="F23" i="44"/>
  <c r="F29" i="44"/>
  <c r="E25" i="44"/>
  <c r="F26" i="44"/>
  <c r="E43" i="44"/>
  <c r="E29" i="44"/>
  <c r="E57" i="44"/>
  <c r="F22" i="44"/>
  <c r="F25" i="44"/>
  <c r="F27" i="44"/>
  <c r="F21" i="44"/>
  <c r="B25" i="44"/>
  <c r="B24" i="44"/>
  <c r="C24" i="44"/>
  <c r="B22" i="44"/>
  <c r="B26" i="44"/>
  <c r="B19" i="44"/>
  <c r="B29" i="44"/>
  <c r="B27" i="44"/>
  <c r="B20" i="44"/>
  <c r="B23" i="44"/>
  <c r="C27" i="44"/>
  <c r="C26" i="44"/>
  <c r="C25" i="44"/>
  <c r="C21" i="44"/>
  <c r="B43" i="44"/>
  <c r="C29" i="44"/>
  <c r="B57" i="44"/>
  <c r="C23" i="44"/>
  <c r="C19" i="44"/>
  <c r="C22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72" i="78"/>
  <c r="U109" i="78" s="1"/>
  <c r="J21" i="71"/>
  <c r="J14" i="71"/>
  <c r="J29" i="71"/>
  <c r="J22" i="71"/>
  <c r="J20" i="71"/>
  <c r="J10" i="71"/>
  <c r="J25" i="71"/>
  <c r="J13" i="71"/>
  <c r="J15" i="71"/>
  <c r="J35" i="71" l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72" i="71" l="1"/>
  <c r="Q64" i="31"/>
  <c r="J109" i="7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26" i="16" l="1"/>
  <c r="J46" i="16" s="1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89" i="15" s="1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M40" i="19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<sst xmlns="http://schemas.openxmlformats.org/spreadsheetml/2006/main" count="3243" uniqueCount="547">
  <si>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</si>
  <si>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</si>
  <si>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</si>
  <si>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</si>
  <si>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</si>
  <si>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</si>
  <si>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</si>
  <si>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</si>
  <si>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</si>
  <si>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</si>
  <si>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</si>
  <si>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</si>
  <si>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</si>
  <si>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</si>
  <si>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</si>
  <si>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</si>
  <si>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</si>
  <si>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</si>
  <si>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</si>
  <si>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</si>
  <si>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</si>
  <si>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</si>
  <si>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</si>
  <si>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</si>
  <si>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</si>
  <si>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</si>
  <si>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</si>
  <si>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</si>
  <si>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</si>
  <si>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</si>
  <si>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</si>
  <si>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</si>
  <si>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</si>
  <si>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</si>
  <si>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</si>
  <si>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</si>
  <si>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% per annum</t>
  </si>
  <si>
    <t>All qualifications</t>
  </si>
  <si>
    <t>Qualification</t>
  </si>
  <si>
    <t>Total Requirement</t>
  </si>
  <si>
    <t>Net Change</t>
  </si>
  <si>
    <t>Growth % per annum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</si>
  <si>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</si>
  <si>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</si>
  <si>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</si>
  <si>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</si>
  <si>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</si>
  <si>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</si>
  <si>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</si>
  <si>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</si>
  <si>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</si>
  <si>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</si>
  <si>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</si>
  <si>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</si>
  <si>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</si>
  <si>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</si>
  <si>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</si>
  <si>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</si>
  <si>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</si>
  <si>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</si>
  <si>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</si>
  <si>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</si>
  <si>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</si>
  <si>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</si>
  <si>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</si>
  <si>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</si>
  <si>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</si>
  <si>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</si>
  <si>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</si>
  <si>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</si>
  <si>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</si>
  <si>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</si>
  <si>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</si>
  <si>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</si>
  <si>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</si>
  <si>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</si>
  <si>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</si>
  <si>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</si>
  <si>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</si>
  <si>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</si>
  <si>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</si>
  <si>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</si>
  <si>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</si>
  <si>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</si>
  <si>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</si>
  <si>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</si>
  <si>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</si>
  <si>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</si>
  <si>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</si>
  <si>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</si>
  <si>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</si>
  <si>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</si>
  <si>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</si>
  <si>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</si>
  <si>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</si>
  <si>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</si>
  <si>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</si>
  <si>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</si>
  <si>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</si>
  <si>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</si>
  <si>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</si>
  <si>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</si>
  <si>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</si>
  <si>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</si>
  <si>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</si>
  <si>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</si>
  <si>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</si>
  <si>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</si>
  <si>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</si>
  <si>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</si>
  <si>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</si>
  <si>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</si>
  <si>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</si>
  <si>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</si>
  <si>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</si>
  <si>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</si>
  <si>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</si>
  <si>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</si>
  <si>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</si>
  <si>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</si>
  <si>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</si>
  <si>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</si>
  <si>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</si>
  <si>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</si>
  <si>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</si>
  <si>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</si>
  <si>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</si>
  <si>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</si>
  <si>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</si>
  <si>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</si>
  <si>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</si>
  <si>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</si>
  <si>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</si>
  <si>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</si>
  <si>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</si>
  <si>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</si>
  <si>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</si>
  <si>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</si>
  <si>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</si>
  <si>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</si>
  <si>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</si>
  <si>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</si>
  <si>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</si>
  <si>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</si>
  <si>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</si>
  <si>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</si>
  <si>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</si>
  <si>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</si>
  <si>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</si>
  <si>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</si>
  <si>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</si>
  <si>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</si>
  <si>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</si>
  <si>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</si>
  <si>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</si>
  <si>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</si>
  <si>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</si>
  <si>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</si>
  <si>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</si>
  <si>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</si>
  <si>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</si>
  <si>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</si>
  <si>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</si>
  <si>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</si>
  <si>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</si>
  <si>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</si>
  <si>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</si>
  <si>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</si>
  <si>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</si>
  <si>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</si>
  <si>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</si>
  <si>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</si>
  <si>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</si>
  <si>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</si>
  <si>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</si>
  <si>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</si>
  <si>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</si>
  <si>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</si>
  <si>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</si>
  <si>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</si>
  <si>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</si>
  <si>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</si>
  <si>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</si>
  <si>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</si>
  <si>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</si>
  <si>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</si>
  <si>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</si>
  <si>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</si>
  <si>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</si>
  <si>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</si>
  <si>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</si>
  <si>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</si>
  <si>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</si>
  <si>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</si>
  <si>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</si>
  <si>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</si>
  <si>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</si>
  <si>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</si>
  <si>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</si>
  <si>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</si>
  <si>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</si>
  <si>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</si>
  <si>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</si>
  <si>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</si>
  <si>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</si>
  <si>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</si>
  <si>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</si>
  <si>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</si>
  <si>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</si>
  <si>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</si>
  <si>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</si>
  <si>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</si>
  <si>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</si>
  <si>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</si>
  <si>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</si>
  <si>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</si>
  <si>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</si>
  <si>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</si>
  <si>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</si>
  <si>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</si>
  <si>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</si>
  <si>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</si>
  <si>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</si>
  <si>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</si>
  <si>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</si>
  <si>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</si>
  <si>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</si>
  <si>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</si>
  <si>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</si>
  <si>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</si>
  <si>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</si>
  <si>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</si>
  <si>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</si>
  <si>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</si>
  <si>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</si>
  <si>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</si>
  <si>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</si>
  <si>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</si>
  <si>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</si>
  <si>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</si>
  <si>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</si>
  <si>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</si>
  <si>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</si>
  <si>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</si>
  <si>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</si>
  <si>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</si>
  <si>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</si>
  <si>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</si>
  <si>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</si>
  <si>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</si>
  <si>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</si>
  <si>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</si>
  <si>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</si>
  <si>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</si>
  <si>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</si>
  <si>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</si>
  <si>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</si>
  <si>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</si>
  <si>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</si>
  <si>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</si>
  <si>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</si>
  <si>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</si>
  <si>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</si>
  <si>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</si>
  <si>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</si>
  <si>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</si>
  <si>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</si>
  <si>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</si>
  <si>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</si>
  <si>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</si>
  <si>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</si>
  <si>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</si>
  <si>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</si>
  <si>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</si>
  <si>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</si>
  <si>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</si>
  <si>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</si>
  <si>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</si>
  <si>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</si>
  <si>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</si>
  <si>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</si>
  <si>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</si>
  <si>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</si>
  <si>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</si>
  <si>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</si>
  <si>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</si>
  <si>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</si>
  <si>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</si>
  <si>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</si>
  <si>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</si>
  <si>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</si>
  <si>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</si>
  <si>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</si>
  <si>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</si>
  <si>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</si>
  <si>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</si>
  <si>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</si>
  <si>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</si>
  <si>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</si>
  <si>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</si>
  <si>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</si>
  <si>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</si>
  <si>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</si>
  <si>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</si>
  <si>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</si>
  <si>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</si>
  <si>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</si>
  <si>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</si>
  <si>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</si>
  <si>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</si>
  <si>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</si>
  <si>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</si>
  <si>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</si>
  <si>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</si>
  <si>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</si>
  <si>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</si>
  <si>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</si>
  <si>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</si>
  <si>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</si>
  <si>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</si>
  <si>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</si>
  <si>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</si>
  <si>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</si>
  <si>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</si>
  <si>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</si>
  <si>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</si>
  <si>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</si>
  <si>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</si>
  <si>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</si>
  <si>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</si>
  <si>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</si>
  <si>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</si>
  <si>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</si>
  <si>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</si>
  <si>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</si>
  <si>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</si>
  <si>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</si>
  <si>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</si>
  <si>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</si>
  <si>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</si>
  <si>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</si>
  <si>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</si>
  <si>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</si>
  <si>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</si>
  <si>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</si>
  <si>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</si>
  <si>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</si>
  <si>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</si>
  <si>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</si>
  <si>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</si>
  <si>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</si>
  <si>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Aggregation of 9-Qualifications to 6-Qualification groups</t>
  </si>
  <si>
    <t>Female</t>
  </si>
  <si>
    <t>Male</t>
  </si>
  <si>
    <t>Total employment</t>
  </si>
  <si>
    <t>Male employment</t>
  </si>
  <si>
    <t>Female employment</t>
  </si>
  <si>
    <t>Industry 22 Total</t>
  </si>
  <si>
    <t>Industry 21 Total</t>
  </si>
  <si>
    <t>Industry 20 Total</t>
  </si>
  <si>
    <t>Industry 17 Total</t>
  </si>
  <si>
    <t>Industry 16 Total</t>
  </si>
  <si>
    <t>Industry 14 Total</t>
  </si>
  <si>
    <t>Industry 13 Total</t>
  </si>
  <si>
    <t>Industry 12 Total</t>
  </si>
  <si>
    <t>Industry 11 Total</t>
  </si>
  <si>
    <t>Industry 10 Total</t>
  </si>
  <si>
    <t>Industry 9 Total</t>
  </si>
  <si>
    <t>Industry 8 Total</t>
  </si>
  <si>
    <t>Industry 7 Total</t>
  </si>
  <si>
    <t>Industry 5 Total</t>
  </si>
  <si>
    <t>Industry 4 Total</t>
  </si>
  <si>
    <t>Industry 3 Total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</si>
  <si>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</si>
  <si>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</si>
  <si>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</si>
  <si>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</si>
  <si>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</si>
  <si>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</si>
  <si>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</si>
  <si>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</si>
  <si>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</si>
  <si>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</si>
  <si>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</si>
  <si>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</si>
  <si>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</si>
  <si>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Ind T3</t>
  </si>
  <si>
    <t>Occ T3</t>
  </si>
  <si>
    <t>Employment by Industry (75 industries)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</si>
  <si>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</si>
  <si>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</si>
  <si>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</si>
  <si>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</si>
  <si>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</si>
  <si>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</si>
  <si>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Employment Status by Industry and Gender (75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</si>
  <si>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</si>
  <si>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</si>
  <si>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</si>
  <si>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</si>
  <si>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</si>
  <si>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</si>
  <si>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Occupation Composition by Gender (9 occupations by 75 industries)</t>
  </si>
  <si>
    <t>Occupation Composition by Employment Status (9 occupations by 75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</si>
  <si>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</si>
  <si>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</si>
  <si>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</si>
  <si>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</si>
  <si>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</si>
  <si>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</si>
  <si>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</si>
  <si>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</si>
  <si>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</si>
  <si>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</si>
  <si>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</si>
  <si>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</si>
  <si>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</si>
  <si>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</si>
  <si>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</si>
  <si>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</si>
  <si>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</si>
  <si>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</si>
  <si>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</si>
  <si>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</si>
  <si>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</si>
  <si>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</si>
  <si>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</si>
  <si>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</si>
  <si>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</si>
  <si>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</si>
  <si>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</si>
  <si>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</si>
  <si>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</si>
  <si>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</si>
  <si>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</si>
  <si>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</si>
  <si>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</si>
  <si>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</si>
  <si>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</si>
  <si>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</si>
  <si>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</si>
  <si>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</si>
  <si>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axis bounds</t>
  </si>
  <si>
    <t>major unit</t>
  </si>
  <si>
    <t>max</t>
  </si>
  <si>
    <t>min</t>
  </si>
  <si>
    <t>Scenario</t>
  </si>
  <si>
    <t>.Main</t>
  </si>
  <si>
    <t>MDM version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</si>
  <si>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</si>
  <si>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</si>
  <si>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RQF7 Other higher degree</t>
  </si>
  <si>
    <t>RQF6 First degree</t>
  </si>
  <si>
    <t>RQF5 Foundation degree;Nursing;Teaching</t>
  </si>
  <si>
    <t>RQF4 HE below degree level</t>
  </si>
  <si>
    <t>RQF3 A level &amp; equivalent</t>
  </si>
  <si>
    <t>RQF2 GCSE(A-C) &amp; equivalent</t>
  </si>
  <si>
    <t>RQF1 GCSE(below grade C) &amp; equivalent</t>
  </si>
  <si>
    <t>RQF 7-8</t>
  </si>
  <si>
    <t>RQF 4-6</t>
  </si>
  <si>
    <t>6-Qualification groups (RQF)</t>
  </si>
  <si>
    <t>6-Qualifications (RQF)</t>
  </si>
  <si>
    <t>Non-marketed services</t>
  </si>
  <si>
    <t>Shares (%)</t>
  </si>
  <si>
    <t>Shares of all occupations (%)</t>
  </si>
  <si>
    <t>Shares of all qualifications (%)</t>
  </si>
  <si>
    <t>Qualification levels (000s)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</si>
  <si>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</si>
  <si>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</si>
  <si>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</si>
  <si>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</si>
  <si>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</si>
  <si>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</si>
  <si>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</si>
  <si>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26-Occupation</t>
  </si>
  <si>
    <t>11 Corporate managers and directors</t>
  </si>
  <si>
    <t>12 Other managers and proprietors</t>
  </si>
  <si>
    <t>21 Science, research, engineering and technology professionals</t>
  </si>
  <si>
    <t>Associate professional occupations</t>
  </si>
  <si>
    <t>22 Health professionals</t>
  </si>
  <si>
    <t>Administrative and secretarial occupations</t>
  </si>
  <si>
    <t>23 Teaching and other educational professionals</t>
  </si>
  <si>
    <t>24 Business, media and public service professionals</t>
  </si>
  <si>
    <t>Caring, leisure and other service occupations</t>
  </si>
  <si>
    <t>31 Science, engineering and technology associate professionals</t>
  </si>
  <si>
    <t>Sales and customer service occupations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</si>
  <si>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</si>
  <si>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</si>
  <si>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</si>
  <si>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</si>
  <si>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</si>
  <si>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</si>
  <si>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</si>
  <si>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</si>
  <si>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</si>
  <si>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</si>
  <si>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</si>
  <si>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</si>
  <si>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</si>
  <si>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</si>
  <si>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</si>
  <si>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</si>
  <si>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</si>
  <si>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</si>
  <si>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</si>
  <si>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Aggregation of 26-Sub major occupation groups to 9-Major occupation groups</t>
  </si>
  <si>
    <t>9-Occupation (SOC2020)</t>
  </si>
  <si>
    <t>SOC2020 Sub-Major Groups</t>
  </si>
  <si>
    <t>Aggregation 26 occupations to 9 Major group names: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</si>
  <si>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</si>
  <si>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</si>
  <si>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</si>
  <si>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</si>
  <si>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</si>
  <si>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</si>
  <si>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</si>
  <si>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</si>
  <si>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</si>
  <si>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</si>
  <si>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Nuffield - Rev 13547</t>
  </si>
  <si>
    <t>Date database created</t>
  </si>
  <si>
    <t>26-Occupation (SOC2020)</t>
  </si>
  <si>
    <t>Copyright:  Warwick Institute for Employment Research / Cambridge Econometrics, 2023</t>
  </si>
  <si>
    <t>M:\IE\Projects\Nuffield via NFER AI and automation\Data\Results\Workbooks\GB\v2 Main\GB_Database.Main.xlsx</t>
  </si>
  <si>
    <t>M:\IE\Projects\Nuffield via NFER AI and automation\Data\Results\Workbooks\UK\v2 Main\UK_Database.Main.xlsx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</si>
  <si>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</si>
  <si>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</si>
  <si>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</si>
  <si>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</si>
  <si>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</si>
  <si>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</si>
  <si>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75 Industries</t>
  </si>
  <si>
    <t>6 + 22 Industries</t>
  </si>
  <si>
    <t>9 Occupations by 75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</si>
  <si>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</si>
  <si>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</si>
  <si>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</si>
  <si>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</si>
  <si>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</si>
  <si>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</si>
  <si>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</si>
  <si>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automation/Data/Results/Workbooks/UK/UK_Database.Main.xlsx</t>
  </si>
  <si>
    <t>Country</t>
  </si>
  <si>
    <t>Sum of the workbooks for United Kingdom</t>
  </si>
  <si>
    <t>Country name</t>
  </si>
  <si>
    <t>United Kingdom</t>
  </si>
  <si>
    <t>02 10 2023 04:55:55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</si>
</sst>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9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0" fontId="5" fillId="0" borderId="1" xfId="0" applyFont="1" applyBorder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Alignment="1">
      <alignment horizontal="right" wrapText="1"/>
    </xf>
    <xf numFmtId="167" fontId="3" fillId="0" borderId="10" xfId="10" applyNumberFormat="1" applyFont="1" applyBorder="1" applyAlignment="1">
      <alignment wrapText="1"/>
    </xf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168" fontId="0" fillId="0" borderId="10" xfId="1" applyNumberFormat="1" applyFont="1" applyBorder="1" applyAlignment="1"/>
    <xf numFmtId="168" fontId="3" fillId="0" borderId="10" xfId="1" applyNumberFormat="1" applyFont="1" applyBorder="1" applyAlignment="1">
      <alignment wrapText="1"/>
    </xf>
    <xf numFmtId="4" fontId="5" fillId="0" borderId="0" xfId="0" applyNumberFormat="1" applyFont="1"/>
    <xf numFmtId="0" fontId="1" fillId="0" borderId="0" xfId="7" applyFont="1" applyAlignment="1">
      <alignment horizontal="center" vertical="center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22" fontId="0" fillId="0" borderId="0" xfId="0" applyNumberFormat="1"/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D000000}"/>
    <cellStyle name="Normal_WarningSheet" xfId="13" xr:uid="{00000000-0005-0000-0000-00000E000000}"/>
    <cellStyle name="Per cent" xfId="11" builtinId="5"/>
    <cellStyle name="Percent 2" xfId="10" xr:uid="{00000000-0005-0000-0000-000010000000}"/>
  </cellStyles>
  <dxfs count="15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0.77179721851199368</c:v>
                </c:pt>
                <c:pt idx="2">
                  <c:v>0.91208903251582818</c:v>
                </c:pt>
                <c:pt idx="3">
                  <c:v>1.2585055677361012E-3</c:v>
                </c:pt>
                <c:pt idx="4">
                  <c:v>1.0604495905914835</c:v>
                </c:pt>
                <c:pt idx="5">
                  <c:v>0.62308983153576136</c:v>
                </c:pt>
                <c:pt idx="7">
                  <c:v>0.77862381600848352</c:v>
                </c:pt>
                <c:pt idx="8">
                  <c:v>0.3649840571615659</c:v>
                </c:pt>
                <c:pt idx="9">
                  <c:v>-6.1914794420347974E-2</c:v>
                </c:pt>
                <c:pt idx="10">
                  <c:v>1.6395356888000867</c:v>
                </c:pt>
                <c:pt idx="11">
                  <c:v>2.5127532210172498</c:v>
                </c:pt>
                <c:pt idx="12">
                  <c:v>0.65757455805504073</c:v>
                </c:pt>
                <c:pt idx="13">
                  <c:v>1.6844782660904611</c:v>
                </c:pt>
                <c:pt idx="14">
                  <c:v>0.69158913819420409</c:v>
                </c:pt>
                <c:pt idx="15">
                  <c:v>0.92571949449997692</c:v>
                </c:pt>
                <c:pt idx="17">
                  <c:v>1.489315430163729</c:v>
                </c:pt>
                <c:pt idx="18">
                  <c:v>2.1332984294132107</c:v>
                </c:pt>
                <c:pt idx="19">
                  <c:v>3.7407457083959983E-2</c:v>
                </c:pt>
                <c:pt idx="20">
                  <c:v>0.80419231929085289</c:v>
                </c:pt>
                <c:pt idx="22">
                  <c:v>1.7922339231661422</c:v>
                </c:pt>
                <c:pt idx="24">
                  <c:v>-0.28415597406286075</c:v>
                </c:pt>
                <c:pt idx="25">
                  <c:v>-0.5446252560898257</c:v>
                </c:pt>
                <c:pt idx="26">
                  <c:v>1.1653798604115195</c:v>
                </c:pt>
                <c:pt idx="27">
                  <c:v>-8.2301413019525427E-2</c:v>
                </c:pt>
                <c:pt idx="29">
                  <c:v>0.98270049308539775</c:v>
                </c:pt>
                <c:pt idx="30">
                  <c:v>1.882288294458756</c:v>
                </c:pt>
                <c:pt idx="31">
                  <c:v>-3.4801119390548196</c:v>
                </c:pt>
                <c:pt idx="32">
                  <c:v>-0.78672638330883338</c:v>
                </c:pt>
                <c:pt idx="33">
                  <c:v>-0.10040761242606777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0.47791580152367619</c:v>
                </c:pt>
                <c:pt idx="2">
                  <c:v>0.92684860036267303</c:v>
                </c:pt>
                <c:pt idx="3">
                  <c:v>0.31836132035545361</c:v>
                </c:pt>
                <c:pt idx="4">
                  <c:v>0.22568981458614967</c:v>
                </c:pt>
                <c:pt idx="5">
                  <c:v>0.61712582916333414</c:v>
                </c:pt>
                <c:pt idx="7">
                  <c:v>-5.2445538322776208E-2</c:v>
                </c:pt>
                <c:pt idx="8">
                  <c:v>0.75098996150659847</c:v>
                </c:pt>
                <c:pt idx="9">
                  <c:v>0.83522099971713448</c:v>
                </c:pt>
                <c:pt idx="10">
                  <c:v>0.76192505191492454</c:v>
                </c:pt>
                <c:pt idx="11">
                  <c:v>0.296662997538788</c:v>
                </c:pt>
                <c:pt idx="12">
                  <c:v>-8.0949708329636216E-2</c:v>
                </c:pt>
                <c:pt idx="13">
                  <c:v>1.0093186658386211</c:v>
                </c:pt>
                <c:pt idx="14">
                  <c:v>0.14352907986494579</c:v>
                </c:pt>
                <c:pt idx="15">
                  <c:v>0.60779140694950939</c:v>
                </c:pt>
                <c:pt idx="17">
                  <c:v>1.1297360591954853</c:v>
                </c:pt>
                <c:pt idx="18">
                  <c:v>0.54730300792840136</c:v>
                </c:pt>
                <c:pt idx="19">
                  <c:v>0.10488652769067297</c:v>
                </c:pt>
                <c:pt idx="20">
                  <c:v>0.47386948066163725</c:v>
                </c:pt>
                <c:pt idx="22">
                  <c:v>0.7215055190288755</c:v>
                </c:pt>
                <c:pt idx="24">
                  <c:v>-0.98769474749706987</c:v>
                </c:pt>
                <c:pt idx="25">
                  <c:v>-0.63003041533075121</c:v>
                </c:pt>
                <c:pt idx="26">
                  <c:v>-4.9938859494125243E-2</c:v>
                </c:pt>
                <c:pt idx="27">
                  <c:v>-0.76498622594640686</c:v>
                </c:pt>
                <c:pt idx="29">
                  <c:v>0.82292603377598361</c:v>
                </c:pt>
                <c:pt idx="30">
                  <c:v>-0.34843338980957705</c:v>
                </c:pt>
                <c:pt idx="31">
                  <c:v>-1.84279599743844</c:v>
                </c:pt>
                <c:pt idx="32">
                  <c:v>0.23231165635502204</c:v>
                </c:pt>
                <c:pt idx="33">
                  <c:v>0.15119388613791251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415.15199999962249</c:v>
                </c:pt>
                <c:pt idx="1">
                  <c:v>402.91300000106474</c:v>
                </c:pt>
                <c:pt idx="2">
                  <c:v>422.08799999945427</c:v>
                </c:pt>
                <c:pt idx="3">
                  <c:v>375.98499999834547</c:v>
                </c:pt>
                <c:pt idx="4">
                  <c:v>435.04599999920998</c:v>
                </c:pt>
                <c:pt idx="5">
                  <c:v>386.98700000151018</c:v>
                </c:pt>
                <c:pt idx="6">
                  <c:v>382.02299999804802</c:v>
                </c:pt>
                <c:pt idx="7">
                  <c:v>405.05000000134294</c:v>
                </c:pt>
                <c:pt idx="8">
                  <c:v>407.91200000333401</c:v>
                </c:pt>
                <c:pt idx="9">
                  <c:v>395.90500000286579</c:v>
                </c:pt>
                <c:pt idx="10">
                  <c:v>372.00199999699367</c:v>
                </c:pt>
                <c:pt idx="11">
                  <c:v>374.24699999695906</c:v>
                </c:pt>
                <c:pt idx="12">
                  <c:v>376.5559999975427</c:v>
                </c:pt>
                <c:pt idx="13">
                  <c:v>379.27799999747202</c:v>
                </c:pt>
                <c:pt idx="14">
                  <c:v>381.08999999619527</c:v>
                </c:pt>
                <c:pt idx="15">
                  <c:v>381.17099999725599</c:v>
                </c:pt>
                <c:pt idx="16">
                  <c:v>381.56899999708219</c:v>
                </c:pt>
                <c:pt idx="17">
                  <c:v>381.90799999838043</c:v>
                </c:pt>
                <c:pt idx="18">
                  <c:v>382.15099999727175</c:v>
                </c:pt>
                <c:pt idx="19">
                  <c:v>382.37899999878471</c:v>
                </c:pt>
                <c:pt idx="20">
                  <c:v>382.91799999804482</c:v>
                </c:pt>
                <c:pt idx="21">
                  <c:v>383.42499999930266</c:v>
                </c:pt>
                <c:pt idx="22">
                  <c:v>383.90799999922149</c:v>
                </c:pt>
                <c:pt idx="23">
                  <c:v>384.36099999953672</c:v>
                </c:pt>
                <c:pt idx="24" formatCode="#,##0.00">
                  <c:v>384.76999999713496</c:v>
                </c:pt>
                <c:pt idx="25">
                  <c:v>385.17799999710059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60.003999999983428</c:v>
                </c:pt>
                <c:pt idx="1">
                  <c:v>61.00299999974159</c:v>
                </c:pt>
                <c:pt idx="2">
                  <c:v>77.009999999606038</c:v>
                </c:pt>
                <c:pt idx="3">
                  <c:v>69.992999999807807</c:v>
                </c:pt>
                <c:pt idx="4">
                  <c:v>65.994999999662696</c:v>
                </c:pt>
                <c:pt idx="5">
                  <c:v>74.000999999618358</c:v>
                </c:pt>
                <c:pt idx="6">
                  <c:v>61.998999999805555</c:v>
                </c:pt>
                <c:pt idx="7">
                  <c:v>58.99500000010076</c:v>
                </c:pt>
                <c:pt idx="8">
                  <c:v>63.003000000080071</c:v>
                </c:pt>
                <c:pt idx="9">
                  <c:v>60.993999999880636</c:v>
                </c:pt>
                <c:pt idx="10">
                  <c:v>61.989999999907816</c:v>
                </c:pt>
                <c:pt idx="11">
                  <c:v>60.056999999841779</c:v>
                </c:pt>
                <c:pt idx="12">
                  <c:v>59.450000000063731</c:v>
                </c:pt>
                <c:pt idx="13">
                  <c:v>57.553000000056009</c:v>
                </c:pt>
                <c:pt idx="14">
                  <c:v>55.537000000027945</c:v>
                </c:pt>
                <c:pt idx="15">
                  <c:v>54.095000000151984</c:v>
                </c:pt>
                <c:pt idx="16">
                  <c:v>53.095000000151117</c:v>
                </c:pt>
                <c:pt idx="17">
                  <c:v>52.099000000228585</c:v>
                </c:pt>
                <c:pt idx="18">
                  <c:v>51.235000000171311</c:v>
                </c:pt>
                <c:pt idx="19">
                  <c:v>50.468000000193818</c:v>
                </c:pt>
                <c:pt idx="20">
                  <c:v>49.851000000171872</c:v>
                </c:pt>
                <c:pt idx="21">
                  <c:v>49.103000000233152</c:v>
                </c:pt>
                <c:pt idx="22">
                  <c:v>48.449000000238527</c:v>
                </c:pt>
                <c:pt idx="23">
                  <c:v>47.86100000024895</c:v>
                </c:pt>
                <c:pt idx="24" formatCode="#,##0.00">
                  <c:v>47.346000000162128</c:v>
                </c:pt>
                <c:pt idx="25">
                  <c:v>46.898000000171301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132.00599999998795</c:v>
                </c:pt>
                <c:pt idx="1">
                  <c:v>118.99699999947715</c:v>
                </c:pt>
                <c:pt idx="2">
                  <c:v>121.9979999993497</c:v>
                </c:pt>
                <c:pt idx="3">
                  <c:v>121.98999999972703</c:v>
                </c:pt>
                <c:pt idx="4">
                  <c:v>113.99799999967465</c:v>
                </c:pt>
                <c:pt idx="5">
                  <c:v>132.99599999935342</c:v>
                </c:pt>
                <c:pt idx="6">
                  <c:v>140.99499999941619</c:v>
                </c:pt>
                <c:pt idx="7">
                  <c:v>146.00399999993292</c:v>
                </c:pt>
                <c:pt idx="8">
                  <c:v>149.99399999990746</c:v>
                </c:pt>
                <c:pt idx="9">
                  <c:v>143.9939999993542</c:v>
                </c:pt>
                <c:pt idx="10">
                  <c:v>145.99299999949051</c:v>
                </c:pt>
                <c:pt idx="11">
                  <c:v>144.0349999990722</c:v>
                </c:pt>
                <c:pt idx="12">
                  <c:v>141.28200000016514</c:v>
                </c:pt>
                <c:pt idx="13">
                  <c:v>140.54500000013127</c:v>
                </c:pt>
                <c:pt idx="14">
                  <c:v>140.27000000007078</c:v>
                </c:pt>
                <c:pt idx="15">
                  <c:v>140.01800000093294</c:v>
                </c:pt>
                <c:pt idx="16">
                  <c:v>139.7140000006265</c:v>
                </c:pt>
                <c:pt idx="17">
                  <c:v>139.48800000046225</c:v>
                </c:pt>
                <c:pt idx="18">
                  <c:v>139.23800000038003</c:v>
                </c:pt>
                <c:pt idx="19">
                  <c:v>139.04600000050914</c:v>
                </c:pt>
                <c:pt idx="20">
                  <c:v>138.92300000056252</c:v>
                </c:pt>
                <c:pt idx="21">
                  <c:v>138.82200000045015</c:v>
                </c:pt>
                <c:pt idx="22">
                  <c:v>138.73200000065782</c:v>
                </c:pt>
                <c:pt idx="23">
                  <c:v>138.66200000059868</c:v>
                </c:pt>
                <c:pt idx="24" formatCode="#,##0.00">
                  <c:v>138.59800000053346</c:v>
                </c:pt>
                <c:pt idx="25">
                  <c:v>138.5459999994923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177.00500000050087</c:v>
                </c:pt>
                <c:pt idx="1">
                  <c:v>188.99599999959062</c:v>
                </c:pt>
                <c:pt idx="2">
                  <c:v>193.98999999989397</c:v>
                </c:pt>
                <c:pt idx="3">
                  <c:v>188.98299999909722</c:v>
                </c:pt>
                <c:pt idx="4">
                  <c:v>196.9939999993276</c:v>
                </c:pt>
                <c:pt idx="5">
                  <c:v>199.97900000007024</c:v>
                </c:pt>
                <c:pt idx="6">
                  <c:v>198.99199999965751</c:v>
                </c:pt>
                <c:pt idx="7">
                  <c:v>216.00600000074192</c:v>
                </c:pt>
                <c:pt idx="8">
                  <c:v>226.98500000108655</c:v>
                </c:pt>
                <c:pt idx="9">
                  <c:v>222.98400000015624</c:v>
                </c:pt>
                <c:pt idx="10">
                  <c:v>209.99999999959704</c:v>
                </c:pt>
                <c:pt idx="11">
                  <c:v>205.70099999984424</c:v>
                </c:pt>
                <c:pt idx="12">
                  <c:v>204.38700000031872</c:v>
                </c:pt>
                <c:pt idx="13">
                  <c:v>207.21800000050828</c:v>
                </c:pt>
                <c:pt idx="14">
                  <c:v>215.77000000017463</c:v>
                </c:pt>
                <c:pt idx="15">
                  <c:v>220.58700000123022</c:v>
                </c:pt>
                <c:pt idx="16">
                  <c:v>224.10100000136637</c:v>
                </c:pt>
                <c:pt idx="17">
                  <c:v>226.67500000143929</c:v>
                </c:pt>
                <c:pt idx="18">
                  <c:v>228.65500000128463</c:v>
                </c:pt>
                <c:pt idx="19">
                  <c:v>230.27700000119546</c:v>
                </c:pt>
                <c:pt idx="20">
                  <c:v>231.68300000142435</c:v>
                </c:pt>
                <c:pt idx="21">
                  <c:v>232.97200000128214</c:v>
                </c:pt>
                <c:pt idx="22">
                  <c:v>234.15500000145053</c:v>
                </c:pt>
                <c:pt idx="23">
                  <c:v>235.29000000194085</c:v>
                </c:pt>
                <c:pt idx="24" formatCode="#,##0.00">
                  <c:v>236.3920000018301</c:v>
                </c:pt>
                <c:pt idx="25">
                  <c:v>237.47000000105308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08868519262555"/>
          <c:y val="0.9404955394969049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410.94399999843347</c:v>
                </c:pt>
                <c:pt idx="1">
                  <c:v>394.85299999912797</c:v>
                </c:pt>
                <c:pt idx="2">
                  <c:v>403.13499999993928</c:v>
                </c:pt>
                <c:pt idx="3">
                  <c:v>414.09599999668683</c:v>
                </c:pt>
                <c:pt idx="4">
                  <c:v>415.14199999895703</c:v>
                </c:pt>
                <c:pt idx="5">
                  <c:v>426.8060000017868</c:v>
                </c:pt>
                <c:pt idx="6">
                  <c:v>441.44099999926368</c:v>
                </c:pt>
                <c:pt idx="7">
                  <c:v>451.06900000296861</c:v>
                </c:pt>
                <c:pt idx="8">
                  <c:v>442.06100000297988</c:v>
                </c:pt>
                <c:pt idx="9">
                  <c:v>452.71200000046275</c:v>
                </c:pt>
                <c:pt idx="10">
                  <c:v>452.26199999991479</c:v>
                </c:pt>
                <c:pt idx="11">
                  <c:v>454.4589999977394</c:v>
                </c:pt>
                <c:pt idx="12">
                  <c:v>457.49500000192319</c:v>
                </c:pt>
                <c:pt idx="13">
                  <c:v>460.20700000266555</c:v>
                </c:pt>
                <c:pt idx="14">
                  <c:v>460.52800000100547</c:v>
                </c:pt>
                <c:pt idx="15">
                  <c:v>459.38400000572176</c:v>
                </c:pt>
                <c:pt idx="16">
                  <c:v>458.49500000530401</c:v>
                </c:pt>
                <c:pt idx="17">
                  <c:v>457.42600000520304</c:v>
                </c:pt>
                <c:pt idx="18">
                  <c:v>456.26900000444738</c:v>
                </c:pt>
                <c:pt idx="19">
                  <c:v>455.07200000465861</c:v>
                </c:pt>
                <c:pt idx="20">
                  <c:v>454.11800000497129</c:v>
                </c:pt>
                <c:pt idx="21">
                  <c:v>453.16500000460229</c:v>
                </c:pt>
                <c:pt idx="22">
                  <c:v>452.18500000532856</c:v>
                </c:pt>
                <c:pt idx="23">
                  <c:v>451.13800000641618</c:v>
                </c:pt>
                <c:pt idx="24" formatCode="#,##0.00">
                  <c:v>450.03800000600722</c:v>
                </c:pt>
                <c:pt idx="25">
                  <c:v>448.88600000038093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391.02799999984529</c:v>
                </c:pt>
                <c:pt idx="1">
                  <c:v>422.83899999876394</c:v>
                </c:pt>
                <c:pt idx="2">
                  <c:v>422.08899999877559</c:v>
                </c:pt>
                <c:pt idx="3">
                  <c:v>423.09899999861852</c:v>
                </c:pt>
                <c:pt idx="4">
                  <c:v>395.1089999988601</c:v>
                </c:pt>
                <c:pt idx="5">
                  <c:v>394.82099999887174</c:v>
                </c:pt>
                <c:pt idx="6">
                  <c:v>386.3909999987095</c:v>
                </c:pt>
                <c:pt idx="7">
                  <c:v>403.09200000045104</c:v>
                </c:pt>
                <c:pt idx="8">
                  <c:v>398.00500000051318</c:v>
                </c:pt>
                <c:pt idx="9">
                  <c:v>402.64999999893888</c:v>
                </c:pt>
                <c:pt idx="10">
                  <c:v>384.18599999891455</c:v>
                </c:pt>
                <c:pt idx="11">
                  <c:v>395.41399999838831</c:v>
                </c:pt>
                <c:pt idx="12">
                  <c:v>393.4660000003517</c:v>
                </c:pt>
                <c:pt idx="13">
                  <c:v>394.92400000025532</c:v>
                </c:pt>
                <c:pt idx="14">
                  <c:v>394.92400000008371</c:v>
                </c:pt>
                <c:pt idx="15">
                  <c:v>393.4140000017203</c:v>
                </c:pt>
                <c:pt idx="16">
                  <c:v>388.6310000015896</c:v>
                </c:pt>
                <c:pt idx="17">
                  <c:v>383.85800000184378</c:v>
                </c:pt>
                <c:pt idx="18">
                  <c:v>379.13400000157986</c:v>
                </c:pt>
                <c:pt idx="19">
                  <c:v>374.51800000154185</c:v>
                </c:pt>
                <c:pt idx="20">
                  <c:v>370.42600000203481</c:v>
                </c:pt>
                <c:pt idx="21">
                  <c:v>366.18400000157811</c:v>
                </c:pt>
                <c:pt idx="22">
                  <c:v>361.9630000018974</c:v>
                </c:pt>
                <c:pt idx="23">
                  <c:v>357.76600000233833</c:v>
                </c:pt>
                <c:pt idx="24" formatCode="#,##0.00">
                  <c:v>353.58000000194738</c:v>
                </c:pt>
                <c:pt idx="25">
                  <c:v>349.43700000037808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1765.1830000000691</c:v>
                </c:pt>
                <c:pt idx="1">
                  <c:v>1742.3429999964817</c:v>
                </c:pt>
                <c:pt idx="2">
                  <c:v>1774.7569999965754</c:v>
                </c:pt>
                <c:pt idx="3">
                  <c:v>1721.6139999904246</c:v>
                </c:pt>
                <c:pt idx="4">
                  <c:v>1801.7939999946207</c:v>
                </c:pt>
                <c:pt idx="5">
                  <c:v>1816.2019999991048</c:v>
                </c:pt>
                <c:pt idx="6">
                  <c:v>1823.1239999948266</c:v>
                </c:pt>
                <c:pt idx="7">
                  <c:v>1820.9700000069683</c:v>
                </c:pt>
                <c:pt idx="8">
                  <c:v>1875.7500000071564</c:v>
                </c:pt>
                <c:pt idx="9">
                  <c:v>1831.4049999971767</c:v>
                </c:pt>
                <c:pt idx="10">
                  <c:v>1790.5439999959799</c:v>
                </c:pt>
                <c:pt idx="11">
                  <c:v>1777.4109999922177</c:v>
                </c:pt>
                <c:pt idx="12">
                  <c:v>1753.3210000022295</c:v>
                </c:pt>
                <c:pt idx="13">
                  <c:v>1726.9700000020202</c:v>
                </c:pt>
                <c:pt idx="14">
                  <c:v>1709.1590000002998</c:v>
                </c:pt>
                <c:pt idx="15">
                  <c:v>1687.8220000079953</c:v>
                </c:pt>
                <c:pt idx="16">
                  <c:v>1670.9450000078593</c:v>
                </c:pt>
                <c:pt idx="17">
                  <c:v>1653.7650000093774</c:v>
                </c:pt>
                <c:pt idx="18">
                  <c:v>1637.4190000072008</c:v>
                </c:pt>
                <c:pt idx="19">
                  <c:v>1621.8260000067812</c:v>
                </c:pt>
                <c:pt idx="20">
                  <c:v>1608.1180000085546</c:v>
                </c:pt>
                <c:pt idx="21">
                  <c:v>1593.7990000077377</c:v>
                </c:pt>
                <c:pt idx="22">
                  <c:v>1580.0820000091396</c:v>
                </c:pt>
                <c:pt idx="23">
                  <c:v>1566.9540000121569</c:v>
                </c:pt>
                <c:pt idx="24" formatCode="#,##0.00">
                  <c:v>1554.4080000101242</c:v>
                </c:pt>
                <c:pt idx="25">
                  <c:v>1542.846000001781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2097.6090000068534</c:v>
                </c:pt>
                <c:pt idx="1">
                  <c:v>2057.642999987544</c:v>
                </c:pt>
                <c:pt idx="2">
                  <c:v>2056.3379999923327</c:v>
                </c:pt>
                <c:pt idx="3">
                  <c:v>2039.9179999815094</c:v>
                </c:pt>
                <c:pt idx="4">
                  <c:v>2117.1799999730288</c:v>
                </c:pt>
                <c:pt idx="5">
                  <c:v>2121.909999979634</c:v>
                </c:pt>
                <c:pt idx="6">
                  <c:v>2235.1399999722307</c:v>
                </c:pt>
                <c:pt idx="7">
                  <c:v>2318.2290000064759</c:v>
                </c:pt>
                <c:pt idx="8">
                  <c:v>2304.5680000210627</c:v>
                </c:pt>
                <c:pt idx="9">
                  <c:v>2333.5340000224637</c:v>
                </c:pt>
                <c:pt idx="10">
                  <c:v>2318.9969999678442</c:v>
                </c:pt>
                <c:pt idx="11">
                  <c:v>2291.3399999582948</c:v>
                </c:pt>
                <c:pt idx="12">
                  <c:v>2313.1219999327873</c:v>
                </c:pt>
                <c:pt idx="13">
                  <c:v>2360.909999933785</c:v>
                </c:pt>
                <c:pt idx="14">
                  <c:v>2399.655999920094</c:v>
                </c:pt>
                <c:pt idx="15">
                  <c:v>2419.1419999278801</c:v>
                </c:pt>
                <c:pt idx="16">
                  <c:v>2436.2689999326103</c:v>
                </c:pt>
                <c:pt idx="17">
                  <c:v>2448.3909999338975</c:v>
                </c:pt>
                <c:pt idx="18">
                  <c:v>2463.1599999194609</c:v>
                </c:pt>
                <c:pt idx="19">
                  <c:v>2476.7569999318162</c:v>
                </c:pt>
                <c:pt idx="20">
                  <c:v>2493.1969999222756</c:v>
                </c:pt>
                <c:pt idx="21">
                  <c:v>2510.1889999392115</c:v>
                </c:pt>
                <c:pt idx="22">
                  <c:v>2527.8019999290768</c:v>
                </c:pt>
                <c:pt idx="23">
                  <c:v>2545.8879999456663</c:v>
                </c:pt>
                <c:pt idx="24" formatCode="#,##0.00">
                  <c:v>2564.3269999320351</c:v>
                </c:pt>
                <c:pt idx="25">
                  <c:v>2583.0529999460769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4791.2889999567533</c:v>
                </c:pt>
                <c:pt idx="1">
                  <c:v>4767.9769999739774</c:v>
                </c:pt>
                <c:pt idx="2">
                  <c:v>4841.0259999745986</c:v>
                </c:pt>
                <c:pt idx="3">
                  <c:v>4797.6889999684299</c:v>
                </c:pt>
                <c:pt idx="4">
                  <c:v>4890.0830000637588</c:v>
                </c:pt>
                <c:pt idx="5">
                  <c:v>4970.689000089862</c:v>
                </c:pt>
                <c:pt idx="6">
                  <c:v>4993.9200000576584</c:v>
                </c:pt>
                <c:pt idx="7">
                  <c:v>4989.2390000868736</c:v>
                </c:pt>
                <c:pt idx="8">
                  <c:v>4965.6940000781842</c:v>
                </c:pt>
                <c:pt idx="9">
                  <c:v>4991.5540000616611</c:v>
                </c:pt>
                <c:pt idx="10">
                  <c:v>4979.9930000385002</c:v>
                </c:pt>
                <c:pt idx="11">
                  <c:v>4990.8359999583772</c:v>
                </c:pt>
                <c:pt idx="12">
                  <c:v>4991.109000080779</c:v>
                </c:pt>
                <c:pt idx="13">
                  <c:v>4991.5750001043825</c:v>
                </c:pt>
                <c:pt idx="14">
                  <c:v>4997.9600000764412</c:v>
                </c:pt>
                <c:pt idx="15">
                  <c:v>5007.1890001147076</c:v>
                </c:pt>
                <c:pt idx="16">
                  <c:v>5012.2700000952073</c:v>
                </c:pt>
                <c:pt idx="17">
                  <c:v>5016.2350000891092</c:v>
                </c:pt>
                <c:pt idx="18">
                  <c:v>5019.7060000831707</c:v>
                </c:pt>
                <c:pt idx="19">
                  <c:v>5023.0600000858803</c:v>
                </c:pt>
                <c:pt idx="20">
                  <c:v>5027.4730000774171</c:v>
                </c:pt>
                <c:pt idx="21">
                  <c:v>5032.5360000798291</c:v>
                </c:pt>
                <c:pt idx="22">
                  <c:v>5037.6420000839325</c:v>
                </c:pt>
                <c:pt idx="23">
                  <c:v>5044.9160000881111</c:v>
                </c:pt>
                <c:pt idx="24" formatCode="#,##0.00">
                  <c:v>5051.8970000981062</c:v>
                </c:pt>
                <c:pt idx="25">
                  <c:v>5058.9209999896593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1461.1809999881661</c:v>
                </c:pt>
                <c:pt idx="1">
                  <c:v>1489.9229999852744</c:v>
                </c:pt>
                <c:pt idx="2">
                  <c:v>1508.0809999876997</c:v>
                </c:pt>
                <c:pt idx="3">
                  <c:v>1484.90599999139</c:v>
                </c:pt>
                <c:pt idx="4">
                  <c:v>1508.058999989202</c:v>
                </c:pt>
                <c:pt idx="5">
                  <c:v>1608.9080000134998</c:v>
                </c:pt>
                <c:pt idx="6">
                  <c:v>1712.0190000073594</c:v>
                </c:pt>
                <c:pt idx="7">
                  <c:v>1722.1139999984364</c:v>
                </c:pt>
                <c:pt idx="8">
                  <c:v>1724.8230000037634</c:v>
                </c:pt>
                <c:pt idx="9">
                  <c:v>1811.763999990661</c:v>
                </c:pt>
                <c:pt idx="10">
                  <c:v>1788.0020000024331</c:v>
                </c:pt>
                <c:pt idx="11">
                  <c:v>1866.9750000057447</c:v>
                </c:pt>
                <c:pt idx="12">
                  <c:v>1876.1580000200829</c:v>
                </c:pt>
                <c:pt idx="13">
                  <c:v>1885.8540000245239</c:v>
                </c:pt>
                <c:pt idx="14">
                  <c:v>1897.5960000163768</c:v>
                </c:pt>
                <c:pt idx="15">
                  <c:v>1904.4200000279936</c:v>
                </c:pt>
                <c:pt idx="16">
                  <c:v>1908.528000029245</c:v>
                </c:pt>
                <c:pt idx="17">
                  <c:v>1912.3750000266307</c:v>
                </c:pt>
                <c:pt idx="18">
                  <c:v>1915.9950000287522</c:v>
                </c:pt>
                <c:pt idx="19">
                  <c:v>1919.6750000218487</c:v>
                </c:pt>
                <c:pt idx="20">
                  <c:v>1923.789000028966</c:v>
                </c:pt>
                <c:pt idx="21">
                  <c:v>1927.3740000220096</c:v>
                </c:pt>
                <c:pt idx="22">
                  <c:v>1930.8630000247772</c:v>
                </c:pt>
                <c:pt idx="23">
                  <c:v>1934.2040000294317</c:v>
                </c:pt>
                <c:pt idx="24" formatCode="#,##0.00">
                  <c:v>1937.3760000307336</c:v>
                </c:pt>
                <c:pt idx="25">
                  <c:v>1940.5480000121872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1958.113999989755</c:v>
                </c:pt>
                <c:pt idx="1">
                  <c:v>2000.9929999946532</c:v>
                </c:pt>
                <c:pt idx="2">
                  <c:v>2054.0110000044651</c:v>
                </c:pt>
                <c:pt idx="3">
                  <c:v>2094.8600000000674</c:v>
                </c:pt>
                <c:pt idx="4">
                  <c:v>2201.0330000192312</c:v>
                </c:pt>
                <c:pt idx="5">
                  <c:v>2243.8540000371245</c:v>
                </c:pt>
                <c:pt idx="6">
                  <c:v>2348.958000023878</c:v>
                </c:pt>
                <c:pt idx="7">
                  <c:v>2413.1120000337551</c:v>
                </c:pt>
                <c:pt idx="8">
                  <c:v>2447.8570000359073</c:v>
                </c:pt>
                <c:pt idx="9">
                  <c:v>2524.7740000321319</c:v>
                </c:pt>
                <c:pt idx="10">
                  <c:v>2415.9960000104807</c:v>
                </c:pt>
                <c:pt idx="11">
                  <c:v>2298.2249999820506</c:v>
                </c:pt>
                <c:pt idx="12">
                  <c:v>2341.4240000307782</c:v>
                </c:pt>
                <c:pt idx="13">
                  <c:v>2402.1660000435013</c:v>
                </c:pt>
                <c:pt idx="14">
                  <c:v>2464.4780000312949</c:v>
                </c:pt>
                <c:pt idx="15">
                  <c:v>2513.7760000489998</c:v>
                </c:pt>
                <c:pt idx="16">
                  <c:v>2556.343000039496</c:v>
                </c:pt>
                <c:pt idx="17">
                  <c:v>2595.1760000392496</c:v>
                </c:pt>
                <c:pt idx="18">
                  <c:v>2631.9220000371879</c:v>
                </c:pt>
                <c:pt idx="19">
                  <c:v>2667.1870000416243</c:v>
                </c:pt>
                <c:pt idx="20">
                  <c:v>2701.8830000382568</c:v>
                </c:pt>
                <c:pt idx="21">
                  <c:v>2735.4820000425566</c:v>
                </c:pt>
                <c:pt idx="22">
                  <c:v>2768.1260000448628</c:v>
                </c:pt>
                <c:pt idx="23">
                  <c:v>2799.6550000462903</c:v>
                </c:pt>
                <c:pt idx="24" formatCode="#,##0.00">
                  <c:v>2830.0360000544683</c:v>
                </c:pt>
                <c:pt idx="25">
                  <c:v>2859.4289999882239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328.79699999883667</c:v>
                </c:pt>
                <c:pt idx="1">
                  <c:v>351.96200000123736</c:v>
                </c:pt>
                <c:pt idx="2">
                  <c:v>373.52799999841324</c:v>
                </c:pt>
                <c:pt idx="3">
                  <c:v>340.9879999981768</c:v>
                </c:pt>
                <c:pt idx="4">
                  <c:v>377.54300000022249</c:v>
                </c:pt>
                <c:pt idx="5">
                  <c:v>364.73499999974388</c:v>
                </c:pt>
                <c:pt idx="6">
                  <c:v>359.80399999895087</c:v>
                </c:pt>
                <c:pt idx="7">
                  <c:v>385.03399999939779</c:v>
                </c:pt>
                <c:pt idx="8">
                  <c:v>367.50499999944577</c:v>
                </c:pt>
                <c:pt idx="9">
                  <c:v>379.56299999890012</c:v>
                </c:pt>
                <c:pt idx="10">
                  <c:v>377.52300000078952</c:v>
                </c:pt>
                <c:pt idx="11">
                  <c:v>378.16599999970998</c:v>
                </c:pt>
                <c:pt idx="12">
                  <c:v>379.10700000390699</c:v>
                </c:pt>
                <c:pt idx="13">
                  <c:v>379.91200000363176</c:v>
                </c:pt>
                <c:pt idx="14">
                  <c:v>380.87300000452694</c:v>
                </c:pt>
                <c:pt idx="15">
                  <c:v>381.39600000564667</c:v>
                </c:pt>
                <c:pt idx="16">
                  <c:v>381.87200000551599</c:v>
                </c:pt>
                <c:pt idx="17">
                  <c:v>382.30400000739138</c:v>
                </c:pt>
                <c:pt idx="18">
                  <c:v>382.74400000769612</c:v>
                </c:pt>
                <c:pt idx="19">
                  <c:v>383.14600000790267</c:v>
                </c:pt>
                <c:pt idx="20">
                  <c:v>383.51300000792634</c:v>
                </c:pt>
                <c:pt idx="21">
                  <c:v>383.88700000708747</c:v>
                </c:pt>
                <c:pt idx="22">
                  <c:v>384.300000008219</c:v>
                </c:pt>
                <c:pt idx="23">
                  <c:v>384.74000000780495</c:v>
                </c:pt>
                <c:pt idx="24" formatCode="#,##0.00">
                  <c:v>385.22800000669019</c:v>
                </c:pt>
                <c:pt idx="25">
                  <c:v>385.7330000034936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842.31499999829157</c:v>
                </c:pt>
                <c:pt idx="1">
                  <c:v>876.98899999799994</c:v>
                </c:pt>
                <c:pt idx="2">
                  <c:v>849.51099999525388</c:v>
                </c:pt>
                <c:pt idx="3">
                  <c:v>928.94199999523198</c:v>
                </c:pt>
                <c:pt idx="4">
                  <c:v>979.50999999897272</c:v>
                </c:pt>
                <c:pt idx="5">
                  <c:v>1025.1799999874218</c:v>
                </c:pt>
                <c:pt idx="6">
                  <c:v>1069.1919999912018</c:v>
                </c:pt>
                <c:pt idx="7">
                  <c:v>1124.0609999935587</c:v>
                </c:pt>
                <c:pt idx="8">
                  <c:v>1114.3579999895367</c:v>
                </c:pt>
                <c:pt idx="9">
                  <c:v>1117.2739999872433</c:v>
                </c:pt>
                <c:pt idx="10">
                  <c:v>1114.4829999960457</c:v>
                </c:pt>
                <c:pt idx="11">
                  <c:v>1140.34499999318</c:v>
                </c:pt>
                <c:pt idx="12">
                  <c:v>1149.9450000009854</c:v>
                </c:pt>
                <c:pt idx="13">
                  <c:v>1170.0029999976291</c:v>
                </c:pt>
                <c:pt idx="14">
                  <c:v>1185.5990000037182</c:v>
                </c:pt>
                <c:pt idx="15">
                  <c:v>1198.4030000068365</c:v>
                </c:pt>
                <c:pt idx="16">
                  <c:v>1210.2650000038095</c:v>
                </c:pt>
                <c:pt idx="17">
                  <c:v>1220.5110000067932</c:v>
                </c:pt>
                <c:pt idx="18">
                  <c:v>1230.1850000050742</c:v>
                </c:pt>
                <c:pt idx="19">
                  <c:v>1239.7790000082205</c:v>
                </c:pt>
                <c:pt idx="20">
                  <c:v>1249.8970000084532</c:v>
                </c:pt>
                <c:pt idx="21">
                  <c:v>1259.8100000088439</c:v>
                </c:pt>
                <c:pt idx="22">
                  <c:v>1269.4840000110921</c:v>
                </c:pt>
                <c:pt idx="23">
                  <c:v>1278.7360000075557</c:v>
                </c:pt>
                <c:pt idx="24" formatCode="#,##0.00">
                  <c:v>1287.4550000074528</c:v>
                </c:pt>
                <c:pt idx="25">
                  <c:v>1295.6719999975307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1124.0509999950896</c:v>
                </c:pt>
                <c:pt idx="1">
                  <c:v>1132.0079999988266</c:v>
                </c:pt>
                <c:pt idx="2">
                  <c:v>1144.9949999928192</c:v>
                </c:pt>
                <c:pt idx="3">
                  <c:v>1113.9179999935943</c:v>
                </c:pt>
                <c:pt idx="4">
                  <c:v>1133.0169999983091</c:v>
                </c:pt>
                <c:pt idx="5">
                  <c:v>1112.9259999897026</c:v>
                </c:pt>
                <c:pt idx="6">
                  <c:v>1119.9879999915479</c:v>
                </c:pt>
                <c:pt idx="7">
                  <c:v>1119.0489999974832</c:v>
                </c:pt>
                <c:pt idx="8">
                  <c:v>1110.9379999921136</c:v>
                </c:pt>
                <c:pt idx="9">
                  <c:v>1134.9019999887487</c:v>
                </c:pt>
                <c:pt idx="10">
                  <c:v>1150.001999996904</c:v>
                </c:pt>
                <c:pt idx="11">
                  <c:v>1170.8819999938585</c:v>
                </c:pt>
                <c:pt idx="12">
                  <c:v>1168.3530000060243</c:v>
                </c:pt>
                <c:pt idx="13">
                  <c:v>1165.1490000034589</c:v>
                </c:pt>
                <c:pt idx="14">
                  <c:v>1159.9080000074139</c:v>
                </c:pt>
                <c:pt idx="15">
                  <c:v>1156.948000015336</c:v>
                </c:pt>
                <c:pt idx="16">
                  <c:v>1155.3050000136216</c:v>
                </c:pt>
                <c:pt idx="17">
                  <c:v>1153.5270000169542</c:v>
                </c:pt>
                <c:pt idx="18">
                  <c:v>1151.6560000152183</c:v>
                </c:pt>
                <c:pt idx="19">
                  <c:v>1149.7210000194596</c:v>
                </c:pt>
                <c:pt idx="20">
                  <c:v>1148.0580000188343</c:v>
                </c:pt>
                <c:pt idx="21">
                  <c:v>1145.638000017372</c:v>
                </c:pt>
                <c:pt idx="22">
                  <c:v>1143.2460000202682</c:v>
                </c:pt>
                <c:pt idx="23">
                  <c:v>1140.8700000186641</c:v>
                </c:pt>
                <c:pt idx="24" formatCode="#,##0.00">
                  <c:v>1138.4650000184356</c:v>
                </c:pt>
                <c:pt idx="25">
                  <c:v>1136.1170000037719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485.04199999871031</c:v>
                </c:pt>
                <c:pt idx="1">
                  <c:v>466.98599999857066</c:v>
                </c:pt>
                <c:pt idx="2">
                  <c:v>494.0089999977555</c:v>
                </c:pt>
                <c:pt idx="3">
                  <c:v>538.96599999752266</c:v>
                </c:pt>
                <c:pt idx="4">
                  <c:v>549.01699999907441</c:v>
                </c:pt>
                <c:pt idx="5">
                  <c:v>567.9639999983068</c:v>
                </c:pt>
                <c:pt idx="6">
                  <c:v>579.00399999752801</c:v>
                </c:pt>
                <c:pt idx="7">
                  <c:v>554.03499999985763</c:v>
                </c:pt>
                <c:pt idx="8">
                  <c:v>564.95499999937556</c:v>
                </c:pt>
                <c:pt idx="9">
                  <c:v>589.93499999883011</c:v>
                </c:pt>
                <c:pt idx="10">
                  <c:v>642.99899999800766</c:v>
                </c:pt>
                <c:pt idx="11">
                  <c:v>633.13399999734077</c:v>
                </c:pt>
                <c:pt idx="12">
                  <c:v>622.77300000172147</c:v>
                </c:pt>
                <c:pt idx="13">
                  <c:v>617.175000001434</c:v>
                </c:pt>
                <c:pt idx="14">
                  <c:v>616.18400000189308</c:v>
                </c:pt>
                <c:pt idx="15">
                  <c:v>618.73400000524055</c:v>
                </c:pt>
                <c:pt idx="16">
                  <c:v>622.89000000422516</c:v>
                </c:pt>
                <c:pt idx="17">
                  <c:v>627.8190000060066</c:v>
                </c:pt>
                <c:pt idx="18">
                  <c:v>633.15600000511893</c:v>
                </c:pt>
                <c:pt idx="19">
                  <c:v>638.69200000656554</c:v>
                </c:pt>
                <c:pt idx="20">
                  <c:v>644.29000000667122</c:v>
                </c:pt>
                <c:pt idx="21">
                  <c:v>649.94700000618138</c:v>
                </c:pt>
                <c:pt idx="22">
                  <c:v>655.61100000738656</c:v>
                </c:pt>
                <c:pt idx="23">
                  <c:v>661.23100000724321</c:v>
                </c:pt>
                <c:pt idx="24" formatCode="#,##0.00">
                  <c:v>666.77100000687517</c:v>
                </c:pt>
                <c:pt idx="25">
                  <c:v>672.2139999999257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2417.3529999969037</c:v>
                </c:pt>
                <c:pt idx="1">
                  <c:v>2426.8359999963818</c:v>
                </c:pt>
                <c:pt idx="2">
                  <c:v>2529.1669999815003</c:v>
                </c:pt>
                <c:pt idx="3">
                  <c:v>2627.8439999847283</c:v>
                </c:pt>
                <c:pt idx="4">
                  <c:v>2822.1089999949268</c:v>
                </c:pt>
                <c:pt idx="5">
                  <c:v>2905.8439999622501</c:v>
                </c:pt>
                <c:pt idx="6">
                  <c:v>3021.0269999720244</c:v>
                </c:pt>
                <c:pt idx="7">
                  <c:v>2986.1979999777527</c:v>
                </c:pt>
                <c:pt idx="8">
                  <c:v>3027.7049999661394</c:v>
                </c:pt>
                <c:pt idx="9">
                  <c:v>3211.5779999596048</c:v>
                </c:pt>
                <c:pt idx="10">
                  <c:v>3151.9959999898483</c:v>
                </c:pt>
                <c:pt idx="11">
                  <c:v>3214.4729999815513</c:v>
                </c:pt>
                <c:pt idx="12">
                  <c:v>3236.110000009945</c:v>
                </c:pt>
                <c:pt idx="13">
                  <c:v>3262.6900000025066</c:v>
                </c:pt>
                <c:pt idx="14">
                  <c:v>3290.5190000197822</c:v>
                </c:pt>
                <c:pt idx="15">
                  <c:v>3312.1770000340834</c:v>
                </c:pt>
                <c:pt idx="16">
                  <c:v>3332.0400000314321</c:v>
                </c:pt>
                <c:pt idx="17">
                  <c:v>3352.749000041526</c:v>
                </c:pt>
                <c:pt idx="18">
                  <c:v>3374.1700000441874</c:v>
                </c:pt>
                <c:pt idx="19">
                  <c:v>3396.43800005311</c:v>
                </c:pt>
                <c:pt idx="20">
                  <c:v>3419.5010000550792</c:v>
                </c:pt>
                <c:pt idx="21">
                  <c:v>3441.9460000491308</c:v>
                </c:pt>
                <c:pt idx="22">
                  <c:v>3464.4720000553884</c:v>
                </c:pt>
                <c:pt idx="23">
                  <c:v>3487.0090000515097</c:v>
                </c:pt>
                <c:pt idx="24" formatCode="#,##0.00">
                  <c:v>3509.5510000502095</c:v>
                </c:pt>
                <c:pt idx="25">
                  <c:v>3532.0960000137479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2423.1969999969592</c:v>
                </c:pt>
                <c:pt idx="1">
                  <c:v>2436.9559999981684</c:v>
                </c:pt>
                <c:pt idx="2">
                  <c:v>2614.0640000074454</c:v>
                </c:pt>
                <c:pt idx="3">
                  <c:v>2587.8290000006627</c:v>
                </c:pt>
                <c:pt idx="4">
                  <c:v>2808.0780000028553</c:v>
                </c:pt>
                <c:pt idx="5">
                  <c:v>2845.8150000202299</c:v>
                </c:pt>
                <c:pt idx="6">
                  <c:v>2948.9870000074102</c:v>
                </c:pt>
                <c:pt idx="7">
                  <c:v>2974.167000012586</c:v>
                </c:pt>
                <c:pt idx="8">
                  <c:v>2997.7610000181703</c:v>
                </c:pt>
                <c:pt idx="9">
                  <c:v>3011.6740000154059</c:v>
                </c:pt>
                <c:pt idx="10">
                  <c:v>2837.0159999997272</c:v>
                </c:pt>
                <c:pt idx="11">
                  <c:v>2879.5169999983882</c:v>
                </c:pt>
                <c:pt idx="12">
                  <c:v>2932.0430000113856</c:v>
                </c:pt>
                <c:pt idx="13">
                  <c:v>2961.617000015367</c:v>
                </c:pt>
                <c:pt idx="14">
                  <c:v>2985.6380000087888</c:v>
                </c:pt>
                <c:pt idx="15">
                  <c:v>3004.622000018921</c:v>
                </c:pt>
                <c:pt idx="16">
                  <c:v>3025.9550000165291</c:v>
                </c:pt>
                <c:pt idx="17">
                  <c:v>3046.9750000212475</c:v>
                </c:pt>
                <c:pt idx="18">
                  <c:v>3067.8210000196714</c:v>
                </c:pt>
                <c:pt idx="19">
                  <c:v>3088.6720000196292</c:v>
                </c:pt>
                <c:pt idx="20">
                  <c:v>3110.1260000213451</c:v>
                </c:pt>
                <c:pt idx="21">
                  <c:v>3130.8390000183799</c:v>
                </c:pt>
                <c:pt idx="22">
                  <c:v>3151.5680000212174</c:v>
                </c:pt>
                <c:pt idx="23">
                  <c:v>3172.3310000236625</c:v>
                </c:pt>
                <c:pt idx="24" formatCode="#,##0.00">
                  <c:v>3193.120000020313</c:v>
                </c:pt>
                <c:pt idx="25">
                  <c:v>3213.9980000022347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859.14399999906607</c:v>
                </c:pt>
                <c:pt idx="1">
                  <c:v>877.92699999954311</c:v>
                </c:pt>
                <c:pt idx="2">
                  <c:v>901.08499999996229</c:v>
                </c:pt>
                <c:pt idx="3">
                  <c:v>912.94499999823495</c:v>
                </c:pt>
                <c:pt idx="4">
                  <c:v>941.0500000019706</c:v>
                </c:pt>
                <c:pt idx="5">
                  <c:v>981.94500000564778</c:v>
                </c:pt>
                <c:pt idx="6">
                  <c:v>967.02200000060759</c:v>
                </c:pt>
                <c:pt idx="7">
                  <c:v>992.0830000000625</c:v>
                </c:pt>
                <c:pt idx="8">
                  <c:v>1008.8650000025332</c:v>
                </c:pt>
                <c:pt idx="9">
                  <c:v>1028.8340000018818</c:v>
                </c:pt>
                <c:pt idx="10">
                  <c:v>999.99600000192049</c:v>
                </c:pt>
                <c:pt idx="11">
                  <c:v>1009.8289999995932</c:v>
                </c:pt>
                <c:pt idx="12">
                  <c:v>1001.4050000103338</c:v>
                </c:pt>
                <c:pt idx="13">
                  <c:v>1008.8800000112932</c:v>
                </c:pt>
                <c:pt idx="14">
                  <c:v>1023.179000012962</c:v>
                </c:pt>
                <c:pt idx="15">
                  <c:v>1030.7410000150874</c:v>
                </c:pt>
                <c:pt idx="16">
                  <c:v>1040.3640000144783</c:v>
                </c:pt>
                <c:pt idx="17">
                  <c:v>1049.5220000214406</c:v>
                </c:pt>
                <c:pt idx="18">
                  <c:v>1057.552000024695</c:v>
                </c:pt>
                <c:pt idx="19">
                  <c:v>1065.0410000235788</c:v>
                </c:pt>
                <c:pt idx="20">
                  <c:v>1073.3000000248296</c:v>
                </c:pt>
                <c:pt idx="21">
                  <c:v>1082.1370000223144</c:v>
                </c:pt>
                <c:pt idx="22">
                  <c:v>1091.3210000251722</c:v>
                </c:pt>
                <c:pt idx="23">
                  <c:v>1100.5340000253545</c:v>
                </c:pt>
                <c:pt idx="24" formatCode="#,##0.00">
                  <c:v>1109.681000019644</c:v>
                </c:pt>
                <c:pt idx="25">
                  <c:v>1118.7630000101731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900.19099999511013</c:v>
                </c:pt>
                <c:pt idx="1">
                  <c:v>905.88499999743328</c:v>
                </c:pt>
                <c:pt idx="2">
                  <c:v>883.10299999708002</c:v>
                </c:pt>
                <c:pt idx="3">
                  <c:v>901.95899999512847</c:v>
                </c:pt>
                <c:pt idx="4">
                  <c:v>986.07799999800977</c:v>
                </c:pt>
                <c:pt idx="5">
                  <c:v>961.96000000324341</c:v>
                </c:pt>
                <c:pt idx="6">
                  <c:v>990.04599999748666</c:v>
                </c:pt>
                <c:pt idx="7">
                  <c:v>966.09099999725072</c:v>
                </c:pt>
                <c:pt idx="8">
                  <c:v>989.83300000338841</c:v>
                </c:pt>
                <c:pt idx="9">
                  <c:v>1004.7960000032627</c:v>
                </c:pt>
                <c:pt idx="10">
                  <c:v>999.99799999674599</c:v>
                </c:pt>
                <c:pt idx="11">
                  <c:v>990.09399999541915</c:v>
                </c:pt>
                <c:pt idx="12">
                  <c:v>983.30300000560544</c:v>
                </c:pt>
                <c:pt idx="13">
                  <c:v>984.89600000577673</c:v>
                </c:pt>
                <c:pt idx="14">
                  <c:v>987.27900000650345</c:v>
                </c:pt>
                <c:pt idx="15">
                  <c:v>986.72500000890125</c:v>
                </c:pt>
                <c:pt idx="16">
                  <c:v>985.69100000720539</c:v>
                </c:pt>
                <c:pt idx="17">
                  <c:v>984.81700001716615</c:v>
                </c:pt>
                <c:pt idx="18">
                  <c:v>984.28500001765042</c:v>
                </c:pt>
                <c:pt idx="19">
                  <c:v>984.17500001785015</c:v>
                </c:pt>
                <c:pt idx="20">
                  <c:v>984.73100001836428</c:v>
                </c:pt>
                <c:pt idx="21">
                  <c:v>985.67700001724324</c:v>
                </c:pt>
                <c:pt idx="22">
                  <c:v>986.92900001874739</c:v>
                </c:pt>
                <c:pt idx="23">
                  <c:v>988.40600001936343</c:v>
                </c:pt>
                <c:pt idx="24" formatCode="#,##0.00">
                  <c:v>990.12700001164831</c:v>
                </c:pt>
                <c:pt idx="25">
                  <c:v>992.16000000444592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1541.0250000019494</c:v>
                </c:pt>
                <c:pt idx="1">
                  <c:v>1442.0379999978088</c:v>
                </c:pt>
                <c:pt idx="2">
                  <c:v>1389.9659999955409</c:v>
                </c:pt>
                <c:pt idx="3">
                  <c:v>1380.898999998715</c:v>
                </c:pt>
                <c:pt idx="4">
                  <c:v>1375.0059999940336</c:v>
                </c:pt>
                <c:pt idx="5">
                  <c:v>1330.9139999902939</c:v>
                </c:pt>
                <c:pt idx="6">
                  <c:v>1319.9669999941514</c:v>
                </c:pt>
                <c:pt idx="7">
                  <c:v>1327.0549999939658</c:v>
                </c:pt>
                <c:pt idx="8">
                  <c:v>1337.9339999926199</c:v>
                </c:pt>
                <c:pt idx="9">
                  <c:v>1358.8989999937271</c:v>
                </c:pt>
                <c:pt idx="10">
                  <c:v>1402.9949999971047</c:v>
                </c:pt>
                <c:pt idx="11">
                  <c:v>1402.6219999982404</c:v>
                </c:pt>
                <c:pt idx="12">
                  <c:v>1410.9419999989534</c:v>
                </c:pt>
                <c:pt idx="13">
                  <c:v>1415.833999997034</c:v>
                </c:pt>
                <c:pt idx="14">
                  <c:v>1421.7840000006411</c:v>
                </c:pt>
                <c:pt idx="15">
                  <c:v>1426.146000000607</c:v>
                </c:pt>
                <c:pt idx="16">
                  <c:v>1428.8150000006842</c:v>
                </c:pt>
                <c:pt idx="17">
                  <c:v>1431.448000002956</c:v>
                </c:pt>
                <c:pt idx="18">
                  <c:v>1434.0500000030181</c:v>
                </c:pt>
                <c:pt idx="19">
                  <c:v>1436.6230000043518</c:v>
                </c:pt>
                <c:pt idx="20">
                  <c:v>1439.2130000052568</c:v>
                </c:pt>
                <c:pt idx="21">
                  <c:v>1441.6770000040979</c:v>
                </c:pt>
                <c:pt idx="22">
                  <c:v>1444.1200000037811</c:v>
                </c:pt>
                <c:pt idx="23">
                  <c:v>1446.5250000026347</c:v>
                </c:pt>
                <c:pt idx="24" formatCode="#,##0.00">
                  <c:v>1448.8960000030972</c:v>
                </c:pt>
                <c:pt idx="25">
                  <c:v>1451.2490000022112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2758.166000040696</c:v>
                </c:pt>
                <c:pt idx="1">
                  <c:v>2742.9760000517376</c:v>
                </c:pt>
                <c:pt idx="2">
                  <c:v>2765.017000050038</c:v>
                </c:pt>
                <c:pt idx="3">
                  <c:v>2813.8150000699466</c:v>
                </c:pt>
                <c:pt idx="4">
                  <c:v>2889.0589999941963</c:v>
                </c:pt>
                <c:pt idx="5">
                  <c:v>2955.812999982074</c:v>
                </c:pt>
                <c:pt idx="6">
                  <c:v>2963.9740000056377</c:v>
                </c:pt>
                <c:pt idx="7">
                  <c:v>2928.1409999184289</c:v>
                </c:pt>
                <c:pt idx="8">
                  <c:v>2942.7869999387553</c:v>
                </c:pt>
                <c:pt idx="9">
                  <c:v>2945.7029999933557</c:v>
                </c:pt>
                <c:pt idx="10">
                  <c:v>2955.9990000195403</c:v>
                </c:pt>
                <c:pt idx="11">
                  <c:v>2958.5470001141657</c:v>
                </c:pt>
                <c:pt idx="12">
                  <c:v>2963.568999914783</c:v>
                </c:pt>
                <c:pt idx="13">
                  <c:v>2972.3199998969744</c:v>
                </c:pt>
                <c:pt idx="14">
                  <c:v>2983.7939999263258</c:v>
                </c:pt>
                <c:pt idx="15">
                  <c:v>2996.5779997995442</c:v>
                </c:pt>
                <c:pt idx="16">
                  <c:v>3004.1619998274646</c:v>
                </c:pt>
                <c:pt idx="17">
                  <c:v>3012.0409998324517</c:v>
                </c:pt>
                <c:pt idx="18">
                  <c:v>3020.3719998599836</c:v>
                </c:pt>
                <c:pt idx="19">
                  <c:v>3029.4819998363314</c:v>
                </c:pt>
                <c:pt idx="20">
                  <c:v>3041.1779998357988</c:v>
                </c:pt>
                <c:pt idx="21">
                  <c:v>3052.9189998488332</c:v>
                </c:pt>
                <c:pt idx="22">
                  <c:v>3064.7139998298476</c:v>
                </c:pt>
                <c:pt idx="23">
                  <c:v>3076.540999818495</c:v>
                </c:pt>
                <c:pt idx="24" formatCode="#,##0.00">
                  <c:v>3088.4209998072351</c:v>
                </c:pt>
                <c:pt idx="25">
                  <c:v>3100.350000033804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3922.2210000382793</c:v>
                </c:pt>
                <c:pt idx="1">
                  <c:v>3984.982000026705</c:v>
                </c:pt>
                <c:pt idx="2">
                  <c:v>3982.0000000312739</c:v>
                </c:pt>
                <c:pt idx="3">
                  <c:v>4090.7220000435095</c:v>
                </c:pt>
                <c:pt idx="4">
                  <c:v>4191.0839999818409</c:v>
                </c:pt>
                <c:pt idx="5">
                  <c:v>4225.7359999406981</c:v>
                </c:pt>
                <c:pt idx="6">
                  <c:v>4279.9379999921812</c:v>
                </c:pt>
                <c:pt idx="7">
                  <c:v>4354.2089999717145</c:v>
                </c:pt>
                <c:pt idx="8">
                  <c:v>4325.7149999438543</c:v>
                </c:pt>
                <c:pt idx="9">
                  <c:v>4409.5759999534857</c:v>
                </c:pt>
                <c:pt idx="10">
                  <c:v>4421.9959999931389</c:v>
                </c:pt>
                <c:pt idx="11">
                  <c:v>4503.3290000402221</c:v>
                </c:pt>
                <c:pt idx="12">
                  <c:v>4565.0039999692981</c:v>
                </c:pt>
                <c:pt idx="13">
                  <c:v>4618.2789999554489</c:v>
                </c:pt>
                <c:pt idx="14">
                  <c:v>4681.5059999654086</c:v>
                </c:pt>
                <c:pt idx="15">
                  <c:v>4728.8359999550248</c:v>
                </c:pt>
                <c:pt idx="16">
                  <c:v>4767.0609999649441</c:v>
                </c:pt>
                <c:pt idx="17">
                  <c:v>4802.6959999205828</c:v>
                </c:pt>
                <c:pt idx="18">
                  <c:v>4837.4999999164747</c:v>
                </c:pt>
                <c:pt idx="19">
                  <c:v>4872.0379999080251</c:v>
                </c:pt>
                <c:pt idx="20">
                  <c:v>4906.3599999147673</c:v>
                </c:pt>
                <c:pt idx="21">
                  <c:v>4940.4399999019934</c:v>
                </c:pt>
                <c:pt idx="22">
                  <c:v>4974.4159998980522</c:v>
                </c:pt>
                <c:pt idx="23">
                  <c:v>5008.6429998848153</c:v>
                </c:pt>
                <c:pt idx="24" formatCode="#,##0.00">
                  <c:v>5043.2659999152183</c:v>
                </c:pt>
                <c:pt idx="25">
                  <c:v>5078.3079999922593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784.16700000009473</c:v>
                </c:pt>
                <c:pt idx="1">
                  <c:v>771.90899999987403</c:v>
                </c:pt>
                <c:pt idx="2">
                  <c:v>815.08599999830392</c:v>
                </c:pt>
                <c:pt idx="3">
                  <c:v>756.95099999697754</c:v>
                </c:pt>
                <c:pt idx="4">
                  <c:v>812.03299999787487</c:v>
                </c:pt>
                <c:pt idx="5">
                  <c:v>793.96300000055226</c:v>
                </c:pt>
                <c:pt idx="6">
                  <c:v>784.00899999692729</c:v>
                </c:pt>
                <c:pt idx="7">
                  <c:v>826.0550000021185</c:v>
                </c:pt>
                <c:pt idx="8">
                  <c:v>847.8940000044081</c:v>
                </c:pt>
                <c:pt idx="9">
                  <c:v>823.87700000225686</c:v>
                </c:pt>
                <c:pt idx="10">
                  <c:v>789.98499999598903</c:v>
                </c:pt>
                <c:pt idx="11">
                  <c:v>784.03999999571727</c:v>
                </c:pt>
                <c:pt idx="12">
                  <c:v>781.67499999809024</c:v>
                </c:pt>
                <c:pt idx="13">
                  <c:v>784.59399999816753</c:v>
                </c:pt>
                <c:pt idx="14">
                  <c:v>792.66699999646858</c:v>
                </c:pt>
                <c:pt idx="15">
                  <c:v>795.87099999957115</c:v>
                </c:pt>
                <c:pt idx="16">
                  <c:v>798.47899999922618</c:v>
                </c:pt>
                <c:pt idx="17">
                  <c:v>800.17000000051053</c:v>
                </c:pt>
                <c:pt idx="18">
                  <c:v>801.27899999910767</c:v>
                </c:pt>
                <c:pt idx="19">
                  <c:v>802.1700000006831</c:v>
                </c:pt>
                <c:pt idx="20">
                  <c:v>803.37500000020361</c:v>
                </c:pt>
                <c:pt idx="21">
                  <c:v>804.32200000126818</c:v>
                </c:pt>
                <c:pt idx="22">
                  <c:v>805.24400000156834</c:v>
                </c:pt>
                <c:pt idx="23">
                  <c:v>806.17400000232522</c:v>
                </c:pt>
                <c:pt idx="24">
                  <c:v>807.10599999966064</c:v>
                </c:pt>
                <c:pt idx="25">
                  <c:v>808.09199999781731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2567.1549999983481</c:v>
                </c:pt>
                <c:pt idx="1">
                  <c:v>2560.0349999943737</c:v>
                </c:pt>
                <c:pt idx="2">
                  <c:v>2599.9809999952904</c:v>
                </c:pt>
                <c:pt idx="3">
                  <c:v>2558.8089999857302</c:v>
                </c:pt>
                <c:pt idx="4">
                  <c:v>2612.0449999924376</c:v>
                </c:pt>
                <c:pt idx="5">
                  <c:v>2637.8289999997633</c:v>
                </c:pt>
                <c:pt idx="6">
                  <c:v>2650.9559999927997</c:v>
                </c:pt>
                <c:pt idx="7">
                  <c:v>2675.1310000103881</c:v>
                </c:pt>
                <c:pt idx="8">
                  <c:v>2715.8160000106495</c:v>
                </c:pt>
                <c:pt idx="9">
                  <c:v>2686.7669999965783</c:v>
                </c:pt>
                <c:pt idx="10">
                  <c:v>2626.9919999948092</c:v>
                </c:pt>
                <c:pt idx="11">
                  <c:v>2627.2839999883454</c:v>
                </c:pt>
                <c:pt idx="12">
                  <c:v>2604.2820000045044</c:v>
                </c:pt>
                <c:pt idx="13">
                  <c:v>2582.1010000049409</c:v>
                </c:pt>
                <c:pt idx="14">
                  <c:v>2564.6110000013887</c:v>
                </c:pt>
                <c:pt idx="15">
                  <c:v>2540.6200000154372</c:v>
                </c:pt>
                <c:pt idx="16">
                  <c:v>2518.0710000147528</c:v>
                </c:pt>
                <c:pt idx="17">
                  <c:v>2495.0490000164245</c:v>
                </c:pt>
                <c:pt idx="18">
                  <c:v>2472.8220000132278</c:v>
                </c:pt>
                <c:pt idx="19">
                  <c:v>2451.4160000129814</c:v>
                </c:pt>
                <c:pt idx="20">
                  <c:v>2432.6620000155608</c:v>
                </c:pt>
                <c:pt idx="21">
                  <c:v>2413.1480000139181</c:v>
                </c:pt>
                <c:pt idx="22">
                  <c:v>2394.2300000163655</c:v>
                </c:pt>
                <c:pt idx="23">
                  <c:v>2375.8580000209113</c:v>
                </c:pt>
                <c:pt idx="24">
                  <c:v>2358.0260000180788</c:v>
                </c:pt>
                <c:pt idx="25">
                  <c:v>2341.1690000025401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2097.6090000068534</c:v>
                </c:pt>
                <c:pt idx="1">
                  <c:v>2057.642999987544</c:v>
                </c:pt>
                <c:pt idx="2">
                  <c:v>2056.3379999923327</c:v>
                </c:pt>
                <c:pt idx="3">
                  <c:v>2039.9179999815094</c:v>
                </c:pt>
                <c:pt idx="4">
                  <c:v>2117.1799999730288</c:v>
                </c:pt>
                <c:pt idx="5">
                  <c:v>2121.909999979634</c:v>
                </c:pt>
                <c:pt idx="6">
                  <c:v>2235.1399999722307</c:v>
                </c:pt>
                <c:pt idx="7">
                  <c:v>2318.2290000064759</c:v>
                </c:pt>
                <c:pt idx="8">
                  <c:v>2304.5680000210627</c:v>
                </c:pt>
                <c:pt idx="9">
                  <c:v>2333.5340000224637</c:v>
                </c:pt>
                <c:pt idx="10">
                  <c:v>2318.9969999678442</c:v>
                </c:pt>
                <c:pt idx="11">
                  <c:v>2291.3399999582948</c:v>
                </c:pt>
                <c:pt idx="12">
                  <c:v>2313.1219999327873</c:v>
                </c:pt>
                <c:pt idx="13">
                  <c:v>2360.909999933785</c:v>
                </c:pt>
                <c:pt idx="14">
                  <c:v>2399.655999920094</c:v>
                </c:pt>
                <c:pt idx="15">
                  <c:v>2419.1419999278801</c:v>
                </c:pt>
                <c:pt idx="16">
                  <c:v>2436.2689999326103</c:v>
                </c:pt>
                <c:pt idx="17">
                  <c:v>2448.3909999338975</c:v>
                </c:pt>
                <c:pt idx="18">
                  <c:v>2463.1599999194609</c:v>
                </c:pt>
                <c:pt idx="19">
                  <c:v>2476.7569999318162</c:v>
                </c:pt>
                <c:pt idx="20">
                  <c:v>2493.1969999222756</c:v>
                </c:pt>
                <c:pt idx="21">
                  <c:v>2510.1889999392115</c:v>
                </c:pt>
                <c:pt idx="22">
                  <c:v>2527.8019999290768</c:v>
                </c:pt>
                <c:pt idx="23">
                  <c:v>2545.8879999456663</c:v>
                </c:pt>
                <c:pt idx="24" formatCode="#,##0.00">
                  <c:v>2564.3269999320351</c:v>
                </c:pt>
                <c:pt idx="25">
                  <c:v>2583.0529999460769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8210.5839999346754</c:v>
                </c:pt>
                <c:pt idx="1">
                  <c:v>8258.892999953905</c:v>
                </c:pt>
                <c:pt idx="2">
                  <c:v>8403.117999966762</c:v>
                </c:pt>
                <c:pt idx="3">
                  <c:v>8377.4549999598876</c:v>
                </c:pt>
                <c:pt idx="4">
                  <c:v>8599.1750000721913</c:v>
                </c:pt>
                <c:pt idx="5">
                  <c:v>8823.4510001404869</c:v>
                </c:pt>
                <c:pt idx="6">
                  <c:v>9054.8970000888967</c:v>
                </c:pt>
                <c:pt idx="7">
                  <c:v>9124.4650001190639</c:v>
                </c:pt>
                <c:pt idx="8">
                  <c:v>9138.3740001178539</c:v>
                </c:pt>
                <c:pt idx="9">
                  <c:v>9328.0920000844544</c:v>
                </c:pt>
                <c:pt idx="10">
                  <c:v>9183.9910000514137</c:v>
                </c:pt>
                <c:pt idx="11">
                  <c:v>9156.0359999461725</c:v>
                </c:pt>
                <c:pt idx="12">
                  <c:v>9208.6910001316392</c:v>
                </c:pt>
                <c:pt idx="13">
                  <c:v>9279.5950001724086</c:v>
                </c:pt>
                <c:pt idx="14">
                  <c:v>9360.0340001241129</c:v>
                </c:pt>
                <c:pt idx="15">
                  <c:v>9425.3850001917017</c:v>
                </c:pt>
                <c:pt idx="16">
                  <c:v>9477.1410001639488</c:v>
                </c:pt>
                <c:pt idx="17">
                  <c:v>9523.7860001549889</c:v>
                </c:pt>
                <c:pt idx="18">
                  <c:v>9567.6230001491112</c:v>
                </c:pt>
                <c:pt idx="19">
                  <c:v>9609.9220001493541</c:v>
                </c:pt>
                <c:pt idx="20">
                  <c:v>9653.1450001446392</c:v>
                </c:pt>
                <c:pt idx="21">
                  <c:v>9695.3920001443948</c:v>
                </c:pt>
                <c:pt idx="22">
                  <c:v>9736.6310001535712</c:v>
                </c:pt>
                <c:pt idx="23">
                  <c:v>9778.7750001638342</c:v>
                </c:pt>
                <c:pt idx="24">
                  <c:v>9819.3090001833079</c:v>
                </c:pt>
                <c:pt idx="25">
                  <c:v>9858.8979999900694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9380.0899999789654</c:v>
                </c:pt>
                <c:pt idx="1">
                  <c:v>9475.5489999881611</c:v>
                </c:pt>
                <c:pt idx="2">
                  <c:v>9789.46199997023</c:v>
                </c:pt>
                <c:pt idx="3">
                  <c:v>9953.3909999632797</c:v>
                </c:pt>
                <c:pt idx="4">
                  <c:v>10596.401999994341</c:v>
                </c:pt>
                <c:pt idx="5">
                  <c:v>10766.368999966548</c:v>
                </c:pt>
                <c:pt idx="6">
                  <c:v>11055.069999956757</c:v>
                </c:pt>
                <c:pt idx="7">
                  <c:v>11100.717999977949</c:v>
                </c:pt>
                <c:pt idx="8">
                  <c:v>11181.919999970705</c:v>
                </c:pt>
                <c:pt idx="9">
                  <c:v>11478.555999953878</c:v>
                </c:pt>
                <c:pt idx="10">
                  <c:v>11274.012999979988</c:v>
                </c:pt>
                <c:pt idx="11">
                  <c:v>11416.439999959041</c:v>
                </c:pt>
                <c:pt idx="12">
                  <c:v>11473.03900004991</c:v>
                </c:pt>
                <c:pt idx="13">
                  <c:v>11550.322000041097</c:v>
                </c:pt>
                <c:pt idx="14">
                  <c:v>11629.179000065587</c:v>
                </c:pt>
                <c:pt idx="15">
                  <c:v>11689.746000110052</c:v>
                </c:pt>
                <c:pt idx="16">
                  <c:v>11754.382000096817</c:v>
                </c:pt>
                <c:pt idx="17">
                  <c:v>11818.224000138527</c:v>
                </c:pt>
                <c:pt idx="18">
                  <c:v>11881.569000139312</c:v>
                </c:pt>
                <c:pt idx="19">
                  <c:v>11945.664000156317</c:v>
                </c:pt>
                <c:pt idx="20">
                  <c:v>12013.416000161504</c:v>
                </c:pt>
                <c:pt idx="21">
                  <c:v>12079.881000146554</c:v>
                </c:pt>
                <c:pt idx="22">
                  <c:v>12146.931000167491</c:v>
                </c:pt>
                <c:pt idx="23">
                  <c:v>12213.857000161157</c:v>
                </c:pt>
                <c:pt idx="24">
                  <c:v>12280.398000141267</c:v>
                </c:pt>
                <c:pt idx="25">
                  <c:v>12346.753000035324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8221.4120000809235</c:v>
                </c:pt>
                <c:pt idx="1">
                  <c:v>8169.9960000762512</c:v>
                </c:pt>
                <c:pt idx="2">
                  <c:v>8136.9830000768525</c:v>
                </c:pt>
                <c:pt idx="3">
                  <c:v>8285.4360001121713</c:v>
                </c:pt>
                <c:pt idx="4">
                  <c:v>8455.1489999700716</c:v>
                </c:pt>
                <c:pt idx="5">
                  <c:v>8512.4629999130666</c:v>
                </c:pt>
                <c:pt idx="6">
                  <c:v>8563.87899999197</c:v>
                </c:pt>
                <c:pt idx="7">
                  <c:v>8609.4049998841092</c:v>
                </c:pt>
                <c:pt idx="8">
                  <c:v>8606.4359998752298</c:v>
                </c:pt>
                <c:pt idx="9">
                  <c:v>8714.177999940568</c:v>
                </c:pt>
                <c:pt idx="10">
                  <c:v>8780.9900000097841</c:v>
                </c:pt>
                <c:pt idx="11">
                  <c:v>8864.4980001526274</c:v>
                </c:pt>
                <c:pt idx="12">
                  <c:v>8939.5149998830348</c:v>
                </c:pt>
                <c:pt idx="13">
                  <c:v>9006.4329998494577</c:v>
                </c:pt>
                <c:pt idx="14">
                  <c:v>9087.0839998923766</c:v>
                </c:pt>
                <c:pt idx="15">
                  <c:v>9151.5599997551762</c:v>
                </c:pt>
                <c:pt idx="16">
                  <c:v>9200.0379997930941</c:v>
                </c:pt>
                <c:pt idx="17">
                  <c:v>9246.1849997559912</c:v>
                </c:pt>
                <c:pt idx="18">
                  <c:v>9291.9219997794753</c:v>
                </c:pt>
                <c:pt idx="19">
                  <c:v>9338.1429997487085</c:v>
                </c:pt>
                <c:pt idx="20">
                  <c:v>9386.7509997558227</c:v>
                </c:pt>
                <c:pt idx="21">
                  <c:v>9435.035999754924</c:v>
                </c:pt>
                <c:pt idx="22">
                  <c:v>9483.2499997316809</c:v>
                </c:pt>
                <c:pt idx="23">
                  <c:v>9531.7089997059447</c:v>
                </c:pt>
                <c:pt idx="24">
                  <c:v>9580.5829997255496</c:v>
                </c:pt>
                <c:pt idx="25">
                  <c:v>9629.9070000282736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25.292568320056763</c:v>
                </c:pt>
                <c:pt idx="1">
                  <c:v>25.106499025273809</c:v>
                </c:pt>
                <c:pt idx="2">
                  <c:v>25.633357673355167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31.9894633895473</c:v>
                </c:pt>
                <c:pt idx="1">
                  <c:v>32.234519842820283</c:v>
                </c:pt>
                <c:pt idx="2">
                  <c:v>32.86519129972357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26.216588223878979</c:v>
                </c:pt>
                <c:pt idx="1">
                  <c:v>26.258754547113405</c:v>
                </c:pt>
                <c:pt idx="2">
                  <c:v>26.242897122280556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6.3047033090240303</c:v>
                </c:pt>
                <c:pt idx="1">
                  <c:v>6.6304478104679179</c:v>
                </c:pt>
                <c:pt idx="2">
                  <c:v>6.8756968719071168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7.8376223426524572</c:v>
                </c:pt>
                <c:pt idx="1">
                  <c:v>7.5110633410581604</c:v>
                </c:pt>
                <c:pt idx="2">
                  <c:v>6.2318382047365715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2.3590544148404846</c:v>
                </c:pt>
                <c:pt idx="1">
                  <c:v>2.2587154332664237</c:v>
                </c:pt>
                <c:pt idx="2">
                  <c:v>2.1510188279970048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268.52700009671753</c:v>
                </c:pt>
                <c:pt idx="1">
                  <c:v>507.64400001344075</c:v>
                </c:pt>
                <c:pt idx="2">
                  <c:v>360.53999991092678</c:v>
                </c:pt>
                <c:pt idx="3">
                  <c:v>197.08699998820975</c:v>
                </c:pt>
                <c:pt idx="4">
                  <c:v>-10.837000004954007</c:v>
                </c:pt>
                <c:pt idx="5">
                  <c:v>-3.9780000045632278</c:v>
                </c:pt>
                <c:pt idx="7">
                  <c:v>1318.9829999997819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848.91700001848949</c:v>
                </c:pt>
                <c:pt idx="1">
                  <c:v>1072.7400000553371</c:v>
                </c:pt>
                <c:pt idx="2">
                  <c:v>674.90699993865746</c:v>
                </c:pt>
                <c:pt idx="3">
                  <c:v>264.0559999782331</c:v>
                </c:pt>
                <c:pt idx="4">
                  <c:v>-285.82299999226962</c:v>
                </c:pt>
                <c:pt idx="5">
                  <c:v>18.107000001828283</c:v>
                </c:pt>
                <c:pt idx="7">
                  <c:v>2592.904000000276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0.47791580152365398</c:v>
                </c:pt>
                <c:pt idx="2">
                  <c:v>-0.10273631651783743</c:v>
                </c:pt>
                <c:pt idx="3">
                  <c:v>-1.5403630899259446</c:v>
                </c:pt>
                <c:pt idx="4">
                  <c:v>-0.27286308388154712</c:v>
                </c:pt>
                <c:pt idx="6">
                  <c:v>0.4332948412486326</c:v>
                </c:pt>
                <c:pt idx="7">
                  <c:v>1.1396795632297341</c:v>
                </c:pt>
                <c:pt idx="8">
                  <c:v>0.71772122545064043</c:v>
                </c:pt>
                <c:pt idx="10">
                  <c:v>2.6048394906809325</c:v>
                </c:pt>
                <c:pt idx="11">
                  <c:v>-0.8259949304987968</c:v>
                </c:pt>
                <c:pt idx="12">
                  <c:v>6.9837417461338092E-2</c:v>
                </c:pt>
                <c:pt idx="14">
                  <c:v>-0.88655273075052277</c:v>
                </c:pt>
                <c:pt idx="15">
                  <c:v>0.3638621043261292</c:v>
                </c:pt>
                <c:pt idx="16">
                  <c:v>1.2051245215293882</c:v>
                </c:pt>
                <c:pt idx="17">
                  <c:v>0.99510442309873604</c:v>
                </c:pt>
                <c:pt idx="19">
                  <c:v>-2.7309333392233626E-3</c:v>
                </c:pt>
                <c:pt idx="20">
                  <c:v>-0.10279212158672557</c:v>
                </c:pt>
                <c:pt idx="21">
                  <c:v>-0.44825705159887708</c:v>
                </c:pt>
                <c:pt idx="22">
                  <c:v>0.7877333388565777</c:v>
                </c:pt>
                <c:pt idx="23">
                  <c:v>-8.608149376250207E-2</c:v>
                </c:pt>
                <c:pt idx="25">
                  <c:v>-1.1243573359091985</c:v>
                </c:pt>
                <c:pt idx="26">
                  <c:v>-0.88159560569440742</c:v>
                </c:pt>
                <c:pt idx="27">
                  <c:v>-0.92483531760759741</c:v>
                </c:pt>
                <c:pt idx="29">
                  <c:v>7.7646220584459691E-2</c:v>
                </c:pt>
                <c:pt idx="30">
                  <c:v>0.66388041453961932</c:v>
                </c:pt>
                <c:pt idx="31">
                  <c:v>2.0822056987987558</c:v>
                </c:pt>
                <c:pt idx="32">
                  <c:v>0.75448760189016362</c:v>
                </c:pt>
                <c:pt idx="33">
                  <c:v>-0.33429715990578313</c:v>
                </c:pt>
                <c:pt idx="34">
                  <c:v>0.40171768100338845</c:v>
                </c:pt>
                <c:pt idx="36">
                  <c:v>1.5597624086441053</c:v>
                </c:pt>
                <c:pt idx="37">
                  <c:v>0.92148061686943006</c:v>
                </c:pt>
                <c:pt idx="38">
                  <c:v>1.1529751203581684</c:v>
                </c:pt>
                <c:pt idx="39">
                  <c:v>1.1205041449081854</c:v>
                </c:pt>
                <c:pt idx="40">
                  <c:v>1.2244859106324002</c:v>
                </c:pt>
                <c:pt idx="42">
                  <c:v>2.4238434770714523</c:v>
                </c:pt>
                <c:pt idx="43">
                  <c:v>0.19614226132442791</c:v>
                </c:pt>
                <c:pt idx="44">
                  <c:v>0.95124311787460059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0.77179721851199368</c:v>
                </c:pt>
                <c:pt idx="2">
                  <c:v>-1.5361142495457836</c:v>
                </c:pt>
                <c:pt idx="3">
                  <c:v>-4.5388005312857587</c:v>
                </c:pt>
                <c:pt idx="4">
                  <c:v>-1.956709325865269</c:v>
                </c:pt>
                <c:pt idx="6">
                  <c:v>-0.27090445824272669</c:v>
                </c:pt>
                <c:pt idx="7">
                  <c:v>-3.2935917585062868</c:v>
                </c:pt>
                <c:pt idx="8">
                  <c:v>-1.5196409962947133</c:v>
                </c:pt>
                <c:pt idx="10">
                  <c:v>2.0990917076667115</c:v>
                </c:pt>
                <c:pt idx="11">
                  <c:v>-1.4037082644851373</c:v>
                </c:pt>
                <c:pt idx="12">
                  <c:v>-0.70373757038674212</c:v>
                </c:pt>
                <c:pt idx="14">
                  <c:v>1.7988492443667958</c:v>
                </c:pt>
                <c:pt idx="15">
                  <c:v>-0.16185724750072961</c:v>
                </c:pt>
                <c:pt idx="16">
                  <c:v>-0.1045872903383982</c:v>
                </c:pt>
                <c:pt idx="17">
                  <c:v>-9.5853147940982986E-2</c:v>
                </c:pt>
                <c:pt idx="19">
                  <c:v>-3.0276622829639499</c:v>
                </c:pt>
                <c:pt idx="20">
                  <c:v>-3.6282606773357928</c:v>
                </c:pt>
                <c:pt idx="21">
                  <c:v>-2.3797206803339854</c:v>
                </c:pt>
                <c:pt idx="22">
                  <c:v>-1.4384354784026443</c:v>
                </c:pt>
                <c:pt idx="23">
                  <c:v>-2.7890048831156644</c:v>
                </c:pt>
                <c:pt idx="25">
                  <c:v>-2.1194696646936184</c:v>
                </c:pt>
                <c:pt idx="26">
                  <c:v>0.5473725868278434</c:v>
                </c:pt>
                <c:pt idx="27">
                  <c:v>3.2801508413538016E-2</c:v>
                </c:pt>
                <c:pt idx="29">
                  <c:v>2.1431053674808798</c:v>
                </c:pt>
                <c:pt idx="30">
                  <c:v>1.7253485179053119</c:v>
                </c:pt>
                <c:pt idx="31">
                  <c:v>1.7849191764324424</c:v>
                </c:pt>
                <c:pt idx="32">
                  <c:v>2.8393574654617559</c:v>
                </c:pt>
                <c:pt idx="33">
                  <c:v>5.0293140272285264</c:v>
                </c:pt>
                <c:pt idx="34">
                  <c:v>2.5342460254586419</c:v>
                </c:pt>
                <c:pt idx="36">
                  <c:v>5.0692497406297443</c:v>
                </c:pt>
                <c:pt idx="37">
                  <c:v>1.9550569832339271</c:v>
                </c:pt>
                <c:pt idx="38">
                  <c:v>2.9123652027058577</c:v>
                </c:pt>
                <c:pt idx="39">
                  <c:v>3.7439448814437615</c:v>
                </c:pt>
                <c:pt idx="40">
                  <c:v>3.5550901103721833</c:v>
                </c:pt>
                <c:pt idx="42">
                  <c:v>1.5670238762415689</c:v>
                </c:pt>
                <c:pt idx="43">
                  <c:v>3.9225168006375544</c:v>
                </c:pt>
                <c:pt idx="44">
                  <c:v>3.169040667837919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455.64363974341268</c:v>
                </c:pt>
                <c:pt idx="1">
                  <c:v>85.490423975140857</c:v>
                </c:pt>
                <c:pt idx="2">
                  <c:v>364.04496511958359</c:v>
                </c:pt>
                <c:pt idx="3">
                  <c:v>220.98473395005453</c:v>
                </c:pt>
                <c:pt idx="4">
                  <c:v>167.41630188470003</c:v>
                </c:pt>
                <c:pt idx="5">
                  <c:v>561.65186371234245</c:v>
                </c:pt>
                <c:pt idx="6">
                  <c:v>151.02611290685104</c:v>
                </c:pt>
                <c:pt idx="7">
                  <c:v>89.398158899895293</c:v>
                </c:pt>
                <c:pt idx="8">
                  <c:v>33.605674126994813</c:v>
                </c:pt>
                <c:pt idx="9">
                  <c:v>61.703039079497216</c:v>
                </c:pt>
                <c:pt idx="10">
                  <c:v>226.72046921062747</c:v>
                </c:pt>
                <c:pt idx="11">
                  <c:v>82.547515370232759</c:v>
                </c:pt>
                <c:pt idx="12">
                  <c:v>-76.416808386127514</c:v>
                </c:pt>
                <c:pt idx="13">
                  <c:v>-28.28521331278364</c:v>
                </c:pt>
                <c:pt idx="14">
                  <c:v>-141.02639950255639</c:v>
                </c:pt>
                <c:pt idx="15">
                  <c:v>-183.19427962504653</c:v>
                </c:pt>
                <c:pt idx="16">
                  <c:v>-107.65480994820746</c:v>
                </c:pt>
                <c:pt idx="17">
                  <c:v>-12.411987734347349</c:v>
                </c:pt>
                <c:pt idx="18">
                  <c:v>-5.9285707084662818</c:v>
                </c:pt>
                <c:pt idx="19">
                  <c:v>3.2792887261672519</c:v>
                </c:pt>
                <c:pt idx="20">
                  <c:v>-159.83580396348498</c:v>
                </c:pt>
                <c:pt idx="21">
                  <c:v>59.661989970594504</c:v>
                </c:pt>
                <c:pt idx="22">
                  <c:v>-139.46472215261883</c:v>
                </c:pt>
                <c:pt idx="23">
                  <c:v>-16.280668574519495</c:v>
                </c:pt>
                <c:pt idx="24">
                  <c:v>-121.51817377539646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77.662571129064418</c:v>
                </c:pt>
                <c:pt idx="1">
                  <c:v>494.02709716998766</c:v>
                </c:pt>
                <c:pt idx="2">
                  <c:v>394.49342473640354</c:v>
                </c:pt>
                <c:pt idx="3">
                  <c:v>310.08849002296597</c:v>
                </c:pt>
                <c:pt idx="4">
                  <c:v>267.63048611281374</c:v>
                </c:pt>
                <c:pt idx="5">
                  <c:v>670.02496938123477</c:v>
                </c:pt>
                <c:pt idx="6">
                  <c:v>-34.005507283322231</c:v>
                </c:pt>
                <c:pt idx="7">
                  <c:v>81.67691549298695</c:v>
                </c:pt>
                <c:pt idx="8">
                  <c:v>143.78836715345722</c:v>
                </c:pt>
                <c:pt idx="9">
                  <c:v>78.540641046799237</c:v>
                </c:pt>
                <c:pt idx="10">
                  <c:v>26.392632976261666</c:v>
                </c:pt>
                <c:pt idx="11">
                  <c:v>-381.33685102277741</c:v>
                </c:pt>
                <c:pt idx="12">
                  <c:v>-105.44362101248066</c:v>
                </c:pt>
                <c:pt idx="13">
                  <c:v>47.022360809173676</c:v>
                </c:pt>
                <c:pt idx="14">
                  <c:v>-71.814964068100608</c:v>
                </c:pt>
                <c:pt idx="15">
                  <c:v>-13.817463961423869</c:v>
                </c:pt>
                <c:pt idx="16">
                  <c:v>-0.26534353950773948</c:v>
                </c:pt>
                <c:pt idx="17">
                  <c:v>465.74779123614371</c:v>
                </c:pt>
                <c:pt idx="18">
                  <c:v>40.818712343178163</c:v>
                </c:pt>
                <c:pt idx="19">
                  <c:v>-4.8078481757824605</c:v>
                </c:pt>
                <c:pt idx="20">
                  <c:v>-255.30221897759748</c:v>
                </c:pt>
                <c:pt idx="21">
                  <c:v>284.64182497857678</c:v>
                </c:pt>
                <c:pt idx="22">
                  <c:v>141.75840459628296</c:v>
                </c:pt>
                <c:pt idx="23">
                  <c:v>79.88091753084791</c:v>
                </c:pt>
                <c:pt idx="24">
                  <c:v>-96.554495947058058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541.13406371855399</c:v>
                </c:pt>
                <c:pt idx="1">
                  <c:v>1314.0978646666808</c:v>
                </c:pt>
                <c:pt idx="2">
                  <c:v>562.45345422386526</c:v>
                </c:pt>
                <c:pt idx="3">
                  <c:v>6.1307069841050179</c:v>
                </c:pt>
                <c:pt idx="4">
                  <c:v>-460.16070238859402</c:v>
                </c:pt>
                <c:pt idx="5">
                  <c:v>-15.061269716646621</c:v>
                </c:pt>
                <c:pt idx="6">
                  <c:v>-100.17381399289025</c:v>
                </c:pt>
                <c:pt idx="7">
                  <c:v>-155.74539072713833</c:v>
                </c:pt>
                <c:pt idx="8">
                  <c:v>-373.691912768169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571.68966829905185</c:v>
                </c:pt>
                <c:pt idx="1">
                  <c:v>1642.2373702534169</c:v>
                </c:pt>
                <c:pt idx="2">
                  <c:v>296.39304938618352</c:v>
                </c:pt>
                <c:pt idx="3">
                  <c:v>-486.78047203525784</c:v>
                </c:pt>
                <c:pt idx="4">
                  <c:v>-38.875410759858369</c:v>
                </c:pt>
                <c:pt idx="5">
                  <c:v>501.75865540353971</c:v>
                </c:pt>
                <c:pt idx="6">
                  <c:v>29.339606000979074</c:v>
                </c:pt>
                <c:pt idx="7">
                  <c:v>221.63932212713098</c:v>
                </c:pt>
                <c:pt idx="8">
                  <c:v>-144.49778867492932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1771.5607192840441</c:v>
                </c:pt>
                <c:pt idx="1">
                  <c:v>1935.290397818593</c:v>
                </c:pt>
                <c:pt idx="2">
                  <c:v>2007.559634020771</c:v>
                </c:pt>
                <c:pt idx="3">
                  <c:v>2045.5963408144069</c:v>
                </c:pt>
                <c:pt idx="4">
                  <c:v>2019.416164098659</c:v>
                </c:pt>
                <c:pt idx="5">
                  <c:v>2147.9713237433616</c:v>
                </c:pt>
                <c:pt idx="6">
                  <c:v>2311.5072694497844</c:v>
                </c:pt>
                <c:pt idx="7">
                  <c:v>2384.9396019564433</c:v>
                </c:pt>
                <c:pt idx="8">
                  <c:v>2427.1351578736248</c:v>
                </c:pt>
                <c:pt idx="9">
                  <c:v>2544.407261426617</c:v>
                </c:pt>
                <c:pt idx="10">
                  <c:v>2603.6149634867743</c:v>
                </c:pt>
                <c:pt idx="11">
                  <c:v>2339.5445673139357</c:v>
                </c:pt>
                <c:pt idx="12">
                  <c:v>2363.4523602901581</c:v>
                </c:pt>
                <c:pt idx="13">
                  <c:v>2391.8459120667212</c:v>
                </c:pt>
                <c:pt idx="14">
                  <c:v>2421.881451572141</c:v>
                </c:pt>
                <c:pt idx="15">
                  <c:v>2446.5731602475962</c:v>
                </c:pt>
                <c:pt idx="16">
                  <c:v>2469.7806955856622</c:v>
                </c:pt>
                <c:pt idx="17">
                  <c:v>2492.1121776033438</c:v>
                </c:pt>
                <c:pt idx="18">
                  <c:v>2514.6182122243363</c:v>
                </c:pt>
                <c:pt idx="19">
                  <c:v>2537.2262397274521</c:v>
                </c:pt>
                <c:pt idx="20">
                  <c:v>2560.9507280126177</c:v>
                </c:pt>
                <c:pt idx="21">
                  <c:v>2584.5860481028549</c:v>
                </c:pt>
                <c:pt idx="22">
                  <c:v>2608.4361183326428</c:v>
                </c:pt>
                <c:pt idx="23">
                  <c:v>2632.5693440454115</c:v>
                </c:pt>
                <c:pt idx="24">
                  <c:v>2656.8161656103184</c:v>
                </c:pt>
                <c:pt idx="25">
                  <c:v>2681.2775346158387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845.85231655646839</c:v>
                </c:pt>
                <c:pt idx="1">
                  <c:v>935.21092091175501</c:v>
                </c:pt>
                <c:pt idx="2">
                  <c:v>974.4320445988343</c:v>
                </c:pt>
                <c:pt idx="3">
                  <c:v>978.9808903298217</c:v>
                </c:pt>
                <c:pt idx="4">
                  <c:v>1085.1792851569005</c:v>
                </c:pt>
                <c:pt idx="5">
                  <c:v>1057.4538145928157</c:v>
                </c:pt>
                <c:pt idx="6">
                  <c:v>996.99357995758055</c:v>
                </c:pt>
                <c:pt idx="7">
                  <c:v>1075.5149559049871</c:v>
                </c:pt>
                <c:pt idx="8">
                  <c:v>1085.5268753209314</c:v>
                </c:pt>
                <c:pt idx="9">
                  <c:v>1133.3182745645383</c:v>
                </c:pt>
                <c:pt idx="10">
                  <c:v>1142.9442385679565</c:v>
                </c:pt>
                <c:pt idx="11">
                  <c:v>1322.1218951827229</c:v>
                </c:pt>
                <c:pt idx="12">
                  <c:v>1343.4427428120127</c:v>
                </c:pt>
                <c:pt idx="13">
                  <c:v>1367.9110318036282</c:v>
                </c:pt>
                <c:pt idx="14">
                  <c:v>1393.5558615371006</c:v>
                </c:pt>
                <c:pt idx="15">
                  <c:v>1416.071102295296</c:v>
                </c:pt>
                <c:pt idx="16">
                  <c:v>1437.7509616904003</c:v>
                </c:pt>
                <c:pt idx="17">
                  <c:v>1459.0117095983026</c:v>
                </c:pt>
                <c:pt idx="18">
                  <c:v>1480.3727394595221</c:v>
                </c:pt>
                <c:pt idx="19">
                  <c:v>1501.8352869654857</c:v>
                </c:pt>
                <c:pt idx="20">
                  <c:v>1524.0118379675591</c:v>
                </c:pt>
                <c:pt idx="21">
                  <c:v>1546.2200236703191</c:v>
                </c:pt>
                <c:pt idx="22">
                  <c:v>1568.6249965344994</c:v>
                </c:pt>
                <c:pt idx="23">
                  <c:v>1591.260951669027</c:v>
                </c:pt>
                <c:pt idx="24">
                  <c:v>1614.0237318436505</c:v>
                </c:pt>
                <c:pt idx="25">
                  <c:v>1636.9713357379442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1628.6350757377811</c:v>
                </c:pt>
                <c:pt idx="1">
                  <c:v>1572.0398840956225</c:v>
                </c:pt>
                <c:pt idx="2">
                  <c:v>1618.011615036663</c:v>
                </c:pt>
                <c:pt idx="3">
                  <c:v>1624.5909384176098</c:v>
                </c:pt>
                <c:pt idx="4">
                  <c:v>1737.1338357507677</c:v>
                </c:pt>
                <c:pt idx="5">
                  <c:v>1804.4444333480956</c:v>
                </c:pt>
                <c:pt idx="6">
                  <c:v>1907.9300083833491</c:v>
                </c:pt>
                <c:pt idx="7">
                  <c:v>1871.4014833227138</c:v>
                </c:pt>
                <c:pt idx="8">
                  <c:v>1994.7532093567465</c:v>
                </c:pt>
                <c:pt idx="9">
                  <c:v>2078.6035464296092</c:v>
                </c:pt>
                <c:pt idx="10">
                  <c:v>2168.4893984676792</c:v>
                </c:pt>
                <c:pt idx="11">
                  <c:v>2192.2235840630915</c:v>
                </c:pt>
                <c:pt idx="12">
                  <c:v>2218.2926131718614</c:v>
                </c:pt>
                <c:pt idx="13">
                  <c:v>2248.4848980753773</c:v>
                </c:pt>
                <c:pt idx="14">
                  <c:v>2280.0905508133769</c:v>
                </c:pt>
                <c:pt idx="15">
                  <c:v>2306.7300778658928</c:v>
                </c:pt>
                <c:pt idx="16">
                  <c:v>2332.0855338616252</c:v>
                </c:pt>
                <c:pt idx="17">
                  <c:v>2356.5750811812909</c:v>
                </c:pt>
                <c:pt idx="18">
                  <c:v>2381.2819976581386</c:v>
                </c:pt>
                <c:pt idx="19">
                  <c:v>2406.0930314800157</c:v>
                </c:pt>
                <c:pt idx="20">
                  <c:v>2432.0098485412232</c:v>
                </c:pt>
                <c:pt idx="21">
                  <c:v>2457.8067309227586</c:v>
                </c:pt>
                <c:pt idx="22">
                  <c:v>2483.8027843435862</c:v>
                </c:pt>
                <c:pt idx="23">
                  <c:v>2510.0548124896995</c:v>
                </c:pt>
                <c:pt idx="24">
                  <c:v>2536.4132443798462</c:v>
                </c:pt>
                <c:pt idx="25">
                  <c:v>2562.9828232040827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1234.4440430848842</c:v>
                </c:pt>
                <c:pt idx="1">
                  <c:v>1308.8501238651204</c:v>
                </c:pt>
                <c:pt idx="2">
                  <c:v>1348.6947926405883</c:v>
                </c:pt>
                <c:pt idx="3">
                  <c:v>1388.8183137476224</c:v>
                </c:pt>
                <c:pt idx="4">
                  <c:v>1426.5906456040682</c:v>
                </c:pt>
                <c:pt idx="5">
                  <c:v>1431.704750253356</c:v>
                </c:pt>
                <c:pt idx="6">
                  <c:v>1497.1205449948934</c:v>
                </c:pt>
                <c:pt idx="7">
                  <c:v>1559.772992621514</c:v>
                </c:pt>
                <c:pt idx="8">
                  <c:v>1569.3343837078958</c:v>
                </c:pt>
                <c:pt idx="9">
                  <c:v>1645.5227101580754</c:v>
                </c:pt>
                <c:pt idx="10">
                  <c:v>1652.6894842034105</c:v>
                </c:pt>
                <c:pt idx="11">
                  <c:v>1709.9791675589881</c:v>
                </c:pt>
                <c:pt idx="12">
                  <c:v>1728.2683641508579</c:v>
                </c:pt>
                <c:pt idx="13">
                  <c:v>1749.0756761230807</c:v>
                </c:pt>
                <c:pt idx="14">
                  <c:v>1771.4402282264894</c:v>
                </c:pt>
                <c:pt idx="15">
                  <c:v>1790.2133863705644</c:v>
                </c:pt>
                <c:pt idx="16">
                  <c:v>1807.5814238244254</c:v>
                </c:pt>
                <c:pt idx="17">
                  <c:v>1824.3600137164926</c:v>
                </c:pt>
                <c:pt idx="18">
                  <c:v>1841.0969599099535</c:v>
                </c:pt>
                <c:pt idx="19">
                  <c:v>1857.8548276309418</c:v>
                </c:pt>
                <c:pt idx="20">
                  <c:v>1875.2461839184571</c:v>
                </c:pt>
                <c:pt idx="21">
                  <c:v>1892.5556245746161</c:v>
                </c:pt>
                <c:pt idx="22">
                  <c:v>1909.9471806531574</c:v>
                </c:pt>
                <c:pt idx="23">
                  <c:v>1927.5121797950296</c:v>
                </c:pt>
                <c:pt idx="24">
                  <c:v>1945.1019634097602</c:v>
                </c:pt>
                <c:pt idx="25">
                  <c:v>1962.7779742263765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1568.8005791843532</c:v>
                </c:pt>
                <c:pt idx="1">
                  <c:v>1572.1271857461288</c:v>
                </c:pt>
                <c:pt idx="2">
                  <c:v>1580.2709263827867</c:v>
                </c:pt>
                <c:pt idx="3">
                  <c:v>1597.959773380426</c:v>
                </c:pt>
                <c:pt idx="4">
                  <c:v>1635.7171325015024</c:v>
                </c:pt>
                <c:pt idx="5">
                  <c:v>1646.9786897581305</c:v>
                </c:pt>
                <c:pt idx="6">
                  <c:v>1703.0193808246067</c:v>
                </c:pt>
                <c:pt idx="7">
                  <c:v>1659.0970557777123</c:v>
                </c:pt>
                <c:pt idx="8">
                  <c:v>1676.129881568894</c:v>
                </c:pt>
                <c:pt idx="9">
                  <c:v>1740.7273501948343</c:v>
                </c:pt>
                <c:pt idx="10">
                  <c:v>1814.3949916428305</c:v>
                </c:pt>
                <c:pt idx="11">
                  <c:v>1828.7963954215725</c:v>
                </c:pt>
                <c:pt idx="12">
                  <c:v>1847.249537731685</c:v>
                </c:pt>
                <c:pt idx="13">
                  <c:v>1868.3017869156618</c:v>
                </c:pt>
                <c:pt idx="14">
                  <c:v>1890.9397988969317</c:v>
                </c:pt>
                <c:pt idx="15">
                  <c:v>1909.7720176323999</c:v>
                </c:pt>
                <c:pt idx="16">
                  <c:v>1927.1524534360199</c:v>
                </c:pt>
                <c:pt idx="17">
                  <c:v>1943.8712937233036</c:v>
                </c:pt>
                <c:pt idx="18">
                  <c:v>1960.5632739521843</c:v>
                </c:pt>
                <c:pt idx="19">
                  <c:v>1977.2731288280675</c:v>
                </c:pt>
                <c:pt idx="20">
                  <c:v>1994.6594249323241</c:v>
                </c:pt>
                <c:pt idx="21">
                  <c:v>2011.9386153738981</c:v>
                </c:pt>
                <c:pt idx="22">
                  <c:v>2029.2971310604262</c:v>
                </c:pt>
                <c:pt idx="23">
                  <c:v>2046.8310232887766</c:v>
                </c:pt>
                <c:pt idx="24">
                  <c:v>2064.3843094687977</c:v>
                </c:pt>
                <c:pt idx="25">
                  <c:v>2082.0254777556443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1998.1579226801998</c:v>
                </c:pt>
                <c:pt idx="1">
                  <c:v>1883.8352135968773</c:v>
                </c:pt>
                <c:pt idx="2">
                  <c:v>1894.4927841579256</c:v>
                </c:pt>
                <c:pt idx="3">
                  <c:v>1986.2107224553586</c:v>
                </c:pt>
                <c:pt idx="4">
                  <c:v>2033.8418193294681</c:v>
                </c:pt>
                <c:pt idx="5">
                  <c:v>2002.3539721741229</c:v>
                </c:pt>
                <c:pt idx="6">
                  <c:v>2166.1809770776113</c:v>
                </c:pt>
                <c:pt idx="7">
                  <c:v>2170.6431228932825</c:v>
                </c:pt>
                <c:pt idx="8">
                  <c:v>2275.4417932713654</c:v>
                </c:pt>
                <c:pt idx="9">
                  <c:v>2371.5803917003777</c:v>
                </c:pt>
                <c:pt idx="10">
                  <c:v>2564.0058358864653</c:v>
                </c:pt>
                <c:pt idx="11">
                  <c:v>2725.8674511359445</c:v>
                </c:pt>
                <c:pt idx="12">
                  <c:v>2761.5701125721071</c:v>
                </c:pt>
                <c:pt idx="13">
                  <c:v>2802.2934853776505</c:v>
                </c:pt>
                <c:pt idx="14">
                  <c:v>2845.0961353710159</c:v>
                </c:pt>
                <c:pt idx="15">
                  <c:v>2881.7791948453123</c:v>
                </c:pt>
                <c:pt idx="16">
                  <c:v>2916.6530969794157</c:v>
                </c:pt>
                <c:pt idx="17">
                  <c:v>2950.5493646527793</c:v>
                </c:pt>
                <c:pt idx="18">
                  <c:v>2984.6216134477127</c:v>
                </c:pt>
                <c:pt idx="19">
                  <c:v>3018.8268876289449</c:v>
                </c:pt>
                <c:pt idx="20">
                  <c:v>3054.329599705623</c:v>
                </c:pt>
                <c:pt idx="21">
                  <c:v>3089.7416981135339</c:v>
                </c:pt>
                <c:pt idx="22">
                  <c:v>3125.4121148974164</c:v>
                </c:pt>
                <c:pt idx="23">
                  <c:v>3161.4329282065687</c:v>
                </c:pt>
                <c:pt idx="24">
                  <c:v>3197.5993344957833</c:v>
                </c:pt>
                <c:pt idx="25">
                  <c:v>3234.0308052677001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9684729480371306"/>
          <c:w val="0.97366171734883677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550.99862514281085</c:v>
                </c:pt>
                <c:pt idx="1">
                  <c:v>541.4576266167245</c:v>
                </c:pt>
                <c:pt idx="2">
                  <c:v>561.21077434250071</c:v>
                </c:pt>
                <c:pt idx="3">
                  <c:v>572.0372643645976</c:v>
                </c:pt>
                <c:pt idx="4">
                  <c:v>540.61067423873908</c:v>
                </c:pt>
                <c:pt idx="5">
                  <c:v>543.13411333119222</c:v>
                </c:pt>
                <c:pt idx="6">
                  <c:v>578.13221556134204</c:v>
                </c:pt>
                <c:pt idx="7">
                  <c:v>638.69710345939541</c:v>
                </c:pt>
                <c:pt idx="8">
                  <c:v>654.99166068701174</c:v>
                </c:pt>
                <c:pt idx="9">
                  <c:v>639.96984679802495</c:v>
                </c:pt>
                <c:pt idx="10">
                  <c:v>694.16022623804326</c:v>
                </c:pt>
                <c:pt idx="11">
                  <c:v>594.127210816603</c:v>
                </c:pt>
                <c:pt idx="12">
                  <c:v>598.84799868148502</c:v>
                </c:pt>
                <c:pt idx="13">
                  <c:v>604.57617670132811</c:v>
                </c:pt>
                <c:pt idx="14">
                  <c:v>610.68687978397986</c:v>
                </c:pt>
                <c:pt idx="15">
                  <c:v>615.4898763289159</c:v>
                </c:pt>
                <c:pt idx="16">
                  <c:v>619.923680735689</c:v>
                </c:pt>
                <c:pt idx="17">
                  <c:v>624.12432715718774</c:v>
                </c:pt>
                <c:pt idx="18">
                  <c:v>628.37187136396858</c:v>
                </c:pt>
                <c:pt idx="19">
                  <c:v>632.6410140662631</c:v>
                </c:pt>
                <c:pt idx="20">
                  <c:v>637.18366088405469</c:v>
                </c:pt>
                <c:pt idx="21">
                  <c:v>641.68933575399183</c:v>
                </c:pt>
                <c:pt idx="22">
                  <c:v>646.23784479456219</c:v>
                </c:pt>
                <c:pt idx="23">
                  <c:v>650.84783878260919</c:v>
                </c:pt>
                <c:pt idx="24">
                  <c:v>655.47811237190547</c:v>
                </c:pt>
                <c:pt idx="25">
                  <c:v>660.15471895472103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450.51771031130943</c:v>
                </c:pt>
                <c:pt idx="1">
                  <c:v>575.29898395942223</c:v>
                </c:pt>
                <c:pt idx="2">
                  <c:v>572.96314377744534</c:v>
                </c:pt>
                <c:pt idx="3">
                  <c:v>567.81852796881981</c:v>
                </c:pt>
                <c:pt idx="4">
                  <c:v>582.09596674024385</c:v>
                </c:pt>
                <c:pt idx="5">
                  <c:v>594.94854959952465</c:v>
                </c:pt>
                <c:pt idx="6">
                  <c:v>611.09983237535153</c:v>
                </c:pt>
                <c:pt idx="7">
                  <c:v>609.31653872477511</c:v>
                </c:pt>
                <c:pt idx="8">
                  <c:v>662.63552740939963</c:v>
                </c:pt>
                <c:pt idx="9">
                  <c:v>665.16059805117277</c:v>
                </c:pt>
                <c:pt idx="10">
                  <c:v>684.34670849941995</c:v>
                </c:pt>
                <c:pt idx="11">
                  <c:v>664.78073583980517</c:v>
                </c:pt>
                <c:pt idx="12">
                  <c:v>672.01691744446191</c:v>
                </c:pt>
                <c:pt idx="13">
                  <c:v>680.21151463305091</c:v>
                </c:pt>
                <c:pt idx="14">
                  <c:v>689.06482658115056</c:v>
                </c:pt>
                <c:pt idx="15">
                  <c:v>696.56541801708568</c:v>
                </c:pt>
                <c:pt idx="16">
                  <c:v>703.5101764986274</c:v>
                </c:pt>
                <c:pt idx="17">
                  <c:v>710.24258641376866</c:v>
                </c:pt>
                <c:pt idx="18">
                  <c:v>716.96006977908428</c:v>
                </c:pt>
                <c:pt idx="19">
                  <c:v>723.69654805981565</c:v>
                </c:pt>
                <c:pt idx="20">
                  <c:v>730.68103425305958</c:v>
                </c:pt>
                <c:pt idx="21">
                  <c:v>737.64894503499249</c:v>
                </c:pt>
                <c:pt idx="22">
                  <c:v>744.65917831959541</c:v>
                </c:pt>
                <c:pt idx="23">
                  <c:v>751.75139134913161</c:v>
                </c:pt>
                <c:pt idx="24">
                  <c:v>758.86515384323241</c:v>
                </c:pt>
                <c:pt idx="25">
                  <c:v>766.0236239924069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341.02651426661851</c:v>
                </c:pt>
                <c:pt idx="1">
                  <c:v>389.80871713572333</c:v>
                </c:pt>
                <c:pt idx="2">
                  <c:v>389.0151615396656</c:v>
                </c:pt>
                <c:pt idx="3">
                  <c:v>354.1981172313242</c:v>
                </c:pt>
                <c:pt idx="4">
                  <c:v>358.7565442584804</c:v>
                </c:pt>
                <c:pt idx="5">
                  <c:v>363.34672944829595</c:v>
                </c:pt>
                <c:pt idx="6">
                  <c:v>393.55208001302788</c:v>
                </c:pt>
                <c:pt idx="7">
                  <c:v>377.20262806754999</c:v>
                </c:pt>
                <c:pt idx="8">
                  <c:v>375.1784831635959</c:v>
                </c:pt>
                <c:pt idx="9">
                  <c:v>374.45016456591787</c:v>
                </c:pt>
                <c:pt idx="10">
                  <c:v>396.95240357529076</c:v>
                </c:pt>
                <c:pt idx="11">
                  <c:v>441.74267758511826</c:v>
                </c:pt>
                <c:pt idx="12">
                  <c:v>448.60763438450493</c:v>
                </c:pt>
                <c:pt idx="13">
                  <c:v>456.22354014682986</c:v>
                </c:pt>
                <c:pt idx="14">
                  <c:v>464.16205877126271</c:v>
                </c:pt>
                <c:pt idx="15">
                  <c:v>471.17241079229422</c:v>
                </c:pt>
                <c:pt idx="16">
                  <c:v>477.94977313754032</c:v>
                </c:pt>
                <c:pt idx="17">
                  <c:v>484.57891134977075</c:v>
                </c:pt>
                <c:pt idx="18">
                  <c:v>491.28150196050257</c:v>
                </c:pt>
                <c:pt idx="19">
                  <c:v>498.03451239548752</c:v>
                </c:pt>
                <c:pt idx="20">
                  <c:v>505.03815523838978</c:v>
                </c:pt>
                <c:pt idx="21">
                  <c:v>512.0418045744924</c:v>
                </c:pt>
                <c:pt idx="22">
                  <c:v>519.11221569961697</c:v>
                </c:pt>
                <c:pt idx="23">
                  <c:v>526.26410306890739</c:v>
                </c:pt>
                <c:pt idx="24">
                  <c:v>533.46622028601803</c:v>
                </c:pt>
                <c:pt idx="25">
                  <c:v>540.74077072874798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518.36121513758724</c:v>
                </c:pt>
                <c:pt idx="1">
                  <c:v>547.74553935918448</c:v>
                </c:pt>
                <c:pt idx="2">
                  <c:v>596.85480457730523</c:v>
                </c:pt>
                <c:pt idx="3">
                  <c:v>596.48160213497829</c:v>
                </c:pt>
                <c:pt idx="4">
                  <c:v>663.98752860652235</c:v>
                </c:pt>
                <c:pt idx="5">
                  <c:v>690.99398123085246</c:v>
                </c:pt>
                <c:pt idx="6">
                  <c:v>696.4241913468536</c:v>
                </c:pt>
                <c:pt idx="7">
                  <c:v>722.53168688595599</c:v>
                </c:pt>
                <c:pt idx="8">
                  <c:v>717.22434737864512</c:v>
                </c:pt>
                <c:pt idx="9">
                  <c:v>706.28772737996678</c:v>
                </c:pt>
                <c:pt idx="10">
                  <c:v>752.69702031034967</c:v>
                </c:pt>
                <c:pt idx="11">
                  <c:v>710.88344019664703</c:v>
                </c:pt>
                <c:pt idx="12">
                  <c:v>718.52720450510435</c:v>
                </c:pt>
                <c:pt idx="13">
                  <c:v>728.54166198874373</c:v>
                </c:pt>
                <c:pt idx="14">
                  <c:v>739.27023901882512</c:v>
                </c:pt>
                <c:pt idx="15">
                  <c:v>748.06174924159575</c:v>
                </c:pt>
                <c:pt idx="16">
                  <c:v>756.31846271922234</c:v>
                </c:pt>
                <c:pt idx="17">
                  <c:v>764.35788922208769</c:v>
                </c:pt>
                <c:pt idx="18">
                  <c:v>772.35680907263156</c:v>
                </c:pt>
                <c:pt idx="19">
                  <c:v>780.36372471023242</c:v>
                </c:pt>
                <c:pt idx="20">
                  <c:v>788.70894213479949</c:v>
                </c:pt>
                <c:pt idx="21">
                  <c:v>797.07118454743863</c:v>
                </c:pt>
                <c:pt idx="22">
                  <c:v>805.51513822109257</c:v>
                </c:pt>
                <c:pt idx="23">
                  <c:v>814.04877313218708</c:v>
                </c:pt>
                <c:pt idx="24">
                  <c:v>822.61476237907436</c:v>
                </c:pt>
                <c:pt idx="25">
                  <c:v>831.23766135714891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1949.2819150930341</c:v>
                </c:pt>
                <c:pt idx="1">
                  <c:v>1818.0607325191475</c:v>
                </c:pt>
                <c:pt idx="2">
                  <c:v>1904.4576642815009</c:v>
                </c:pt>
                <c:pt idx="3">
                  <c:v>1906.3112229463934</c:v>
                </c:pt>
                <c:pt idx="4">
                  <c:v>2011.2880488729029</c:v>
                </c:pt>
                <c:pt idx="5">
                  <c:v>2027.0470687026313</c:v>
                </c:pt>
                <c:pt idx="6">
                  <c:v>2087.006953687297</c:v>
                </c:pt>
                <c:pt idx="7">
                  <c:v>2123.8078987106001</c:v>
                </c:pt>
                <c:pt idx="8">
                  <c:v>2122.9710577741503</c:v>
                </c:pt>
                <c:pt idx="9">
                  <c:v>2184.9567602085476</c:v>
                </c:pt>
                <c:pt idx="10">
                  <c:v>2253.7675379132588</c:v>
                </c:pt>
                <c:pt idx="11">
                  <c:v>2123.0697632413126</c:v>
                </c:pt>
                <c:pt idx="12">
                  <c:v>2135.1301058704471</c:v>
                </c:pt>
                <c:pt idx="13">
                  <c:v>2150.4114346747065</c:v>
                </c:pt>
                <c:pt idx="14">
                  <c:v>2167.1005962523327</c:v>
                </c:pt>
                <c:pt idx="15">
                  <c:v>2179.1345505034442</c:v>
                </c:pt>
                <c:pt idx="16">
                  <c:v>2189.6239150459305</c:v>
                </c:pt>
                <c:pt idx="17">
                  <c:v>2199.2496366672726</c:v>
                </c:pt>
                <c:pt idx="18">
                  <c:v>2208.872690348559</c:v>
                </c:pt>
                <c:pt idx="19">
                  <c:v>2218.4676111513259</c:v>
                </c:pt>
                <c:pt idx="20">
                  <c:v>2228.8526179741079</c:v>
                </c:pt>
                <c:pt idx="21">
                  <c:v>2239.0230227152283</c:v>
                </c:pt>
                <c:pt idx="22">
                  <c:v>2249.2297437342563</c:v>
                </c:pt>
                <c:pt idx="23">
                  <c:v>2259.5507745650825</c:v>
                </c:pt>
                <c:pt idx="24">
                  <c:v>2269.8331109209707</c:v>
                </c:pt>
                <c:pt idx="25">
                  <c:v>2280.1601708895205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2782.8999872171203</c:v>
                </c:pt>
                <c:pt idx="1">
                  <c:v>2812.1732798326407</c:v>
                </c:pt>
                <c:pt idx="2">
                  <c:v>2867.3057816159926</c:v>
                </c:pt>
                <c:pt idx="3">
                  <c:v>2789.6320843099084</c:v>
                </c:pt>
                <c:pt idx="4">
                  <c:v>2893.6146865526462</c:v>
                </c:pt>
                <c:pt idx="5">
                  <c:v>2983.2974966503325</c:v>
                </c:pt>
                <c:pt idx="6">
                  <c:v>2919.8010078846123</c:v>
                </c:pt>
                <c:pt idx="7">
                  <c:v>3013.8510462041559</c:v>
                </c:pt>
                <c:pt idx="8">
                  <c:v>2955.2929958730861</c:v>
                </c:pt>
                <c:pt idx="9">
                  <c:v>2936.1562259666393</c:v>
                </c:pt>
                <c:pt idx="10">
                  <c:v>3065.8450120205653</c:v>
                </c:pt>
                <c:pt idx="11">
                  <c:v>2852.279072412091</c:v>
                </c:pt>
                <c:pt idx="12">
                  <c:v>2844.0256100575039</c:v>
                </c:pt>
                <c:pt idx="13">
                  <c:v>2838.9940326569554</c:v>
                </c:pt>
                <c:pt idx="14">
                  <c:v>2835.7499116631006</c:v>
                </c:pt>
                <c:pt idx="15">
                  <c:v>2826.2804049751931</c:v>
                </c:pt>
                <c:pt idx="16">
                  <c:v>2814.1839965088143</c:v>
                </c:pt>
                <c:pt idx="17">
                  <c:v>2800.6774438149946</c:v>
                </c:pt>
                <c:pt idx="18">
                  <c:v>2786.7594303023511</c:v>
                </c:pt>
                <c:pt idx="19">
                  <c:v>2772.4723539289266</c:v>
                </c:pt>
                <c:pt idx="20">
                  <c:v>2758.743047939819</c:v>
                </c:pt>
                <c:pt idx="21">
                  <c:v>2744.4494429621286</c:v>
                </c:pt>
                <c:pt idx="22">
                  <c:v>2729.8556627920116</c:v>
                </c:pt>
                <c:pt idx="23">
                  <c:v>2715.0921050934203</c:v>
                </c:pt>
                <c:pt idx="24">
                  <c:v>2699.9455231068941</c:v>
                </c:pt>
                <c:pt idx="25">
                  <c:v>2684.5081609977879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860.85205154905532</c:v>
                </c:pt>
                <c:pt idx="1">
                  <c:v>784.45649627850662</c:v>
                </c:pt>
                <c:pt idx="2">
                  <c:v>767.49129150460431</c:v>
                </c:pt>
                <c:pt idx="3">
                  <c:v>793.3151602980696</c:v>
                </c:pt>
                <c:pt idx="4">
                  <c:v>802.02814268749944</c:v>
                </c:pt>
                <c:pt idx="5">
                  <c:v>752.31508382302525</c:v>
                </c:pt>
                <c:pt idx="6">
                  <c:v>720.78946220724845</c:v>
                </c:pt>
                <c:pt idx="7">
                  <c:v>746.98750666309536</c:v>
                </c:pt>
                <c:pt idx="8">
                  <c:v>756.69611561534566</c:v>
                </c:pt>
                <c:pt idx="9">
                  <c:v>691.36833270873626</c:v>
                </c:pt>
                <c:pt idx="10">
                  <c:v>675.89827543689773</c:v>
                </c:pt>
                <c:pt idx="11">
                  <c:v>751.26629383024226</c:v>
                </c:pt>
                <c:pt idx="12">
                  <c:v>740.0818102923588</c:v>
                </c:pt>
                <c:pt idx="13">
                  <c:v>729.45453030508463</c:v>
                </c:pt>
                <c:pt idx="14">
                  <c:v>719.25193078561176</c:v>
                </c:pt>
                <c:pt idx="15">
                  <c:v>707.40178733206074</c:v>
                </c:pt>
                <c:pt idx="16">
                  <c:v>694.69507896871903</c:v>
                </c:pt>
                <c:pt idx="17">
                  <c:v>681.55760709808544</c:v>
                </c:pt>
                <c:pt idx="18">
                  <c:v>668.1938136565135</c:v>
                </c:pt>
                <c:pt idx="19">
                  <c:v>654.6401041739299</c:v>
                </c:pt>
                <c:pt idx="20">
                  <c:v>641.08481956767491</c:v>
                </c:pt>
                <c:pt idx="21">
                  <c:v>627.3029126099384</c:v>
                </c:pt>
                <c:pt idx="22">
                  <c:v>613.34002039110771</c:v>
                </c:pt>
                <c:pt idx="23">
                  <c:v>599.23586549785284</c:v>
                </c:pt>
                <c:pt idx="24">
                  <c:v>584.9350447763585</c:v>
                </c:pt>
                <c:pt idx="25">
                  <c:v>570.45465442441707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372.68142471686542</c:v>
                </c:pt>
                <c:pt idx="1">
                  <c:v>369.43723270583808</c:v>
                </c:pt>
                <c:pt idx="2">
                  <c:v>389.71720937016619</c:v>
                </c:pt>
                <c:pt idx="3">
                  <c:v>371.16418450303729</c:v>
                </c:pt>
                <c:pt idx="4">
                  <c:v>409.069862661917</c:v>
                </c:pt>
                <c:pt idx="5">
                  <c:v>404.75546845929</c:v>
                </c:pt>
                <c:pt idx="6">
                  <c:v>401.36743769005466</c:v>
                </c:pt>
                <c:pt idx="7">
                  <c:v>389.66482899523709</c:v>
                </c:pt>
                <c:pt idx="8">
                  <c:v>383.7862937907708</c:v>
                </c:pt>
                <c:pt idx="9">
                  <c:v>408.46552052824893</c:v>
                </c:pt>
                <c:pt idx="10">
                  <c:v>376.47025514650636</c:v>
                </c:pt>
                <c:pt idx="11">
                  <c:v>369.04352297583614</c:v>
                </c:pt>
                <c:pt idx="12">
                  <c:v>372.43881117406102</c:v>
                </c:pt>
                <c:pt idx="13">
                  <c:v>377.23363874696412</c:v>
                </c:pt>
                <c:pt idx="14">
                  <c:v>382.29788366921599</c:v>
                </c:pt>
                <c:pt idx="15">
                  <c:v>386.22303951218908</c:v>
                </c:pt>
                <c:pt idx="16">
                  <c:v>389.89972854003207</c:v>
                </c:pt>
                <c:pt idx="17">
                  <c:v>393.43691507294488</c:v>
                </c:pt>
                <c:pt idx="18">
                  <c:v>396.98248281301363</c:v>
                </c:pt>
                <c:pt idx="19">
                  <c:v>400.53261781625474</c:v>
                </c:pt>
                <c:pt idx="20">
                  <c:v>404.27892840518257</c:v>
                </c:pt>
                <c:pt idx="21">
                  <c:v>408.03618049841612</c:v>
                </c:pt>
                <c:pt idx="22">
                  <c:v>411.84424527128238</c:v>
                </c:pt>
                <c:pt idx="23">
                  <c:v>415.70093595043659</c:v>
                </c:pt>
                <c:pt idx="24">
                  <c:v>419.57914225781457</c:v>
                </c:pt>
                <c:pt idx="25">
                  <c:v>423.49261595568004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1146.3396774364326</c:v>
                </c:pt>
                <c:pt idx="1">
                  <c:v>1176.8723853051563</c:v>
                </c:pt>
                <c:pt idx="2">
                  <c:v>1121.8207357763852</c:v>
                </c:pt>
                <c:pt idx="3">
                  <c:v>1155.5603085853638</c:v>
                </c:pt>
                <c:pt idx="4">
                  <c:v>1231.7596617025467</c:v>
                </c:pt>
                <c:pt idx="5">
                  <c:v>1243.0037577536757</c:v>
                </c:pt>
                <c:pt idx="6">
                  <c:v>1229.8401049100603</c:v>
                </c:pt>
                <c:pt idx="7">
                  <c:v>1209.2609155938724</c:v>
                </c:pt>
                <c:pt idx="8">
                  <c:v>1198.6463047252923</c:v>
                </c:pt>
                <c:pt idx="9">
                  <c:v>1262.3427682116287</c:v>
                </c:pt>
                <c:pt idx="10">
                  <c:v>1101.9773582511193</c:v>
                </c:pt>
                <c:pt idx="11">
                  <c:v>1106.7654785658628</c:v>
                </c:pt>
                <c:pt idx="12">
                  <c:v>1101.4653870286029</c:v>
                </c:pt>
                <c:pt idx="13">
                  <c:v>1098.6494805811556</c:v>
                </c:pt>
                <c:pt idx="14">
                  <c:v>1096.2446762949071</c:v>
                </c:pt>
                <c:pt idx="15">
                  <c:v>1091.030578805357</c:v>
                </c:pt>
                <c:pt idx="16">
                  <c:v>1085.1637125346167</c:v>
                </c:pt>
                <c:pt idx="17">
                  <c:v>1078.7762283098139</c:v>
                </c:pt>
                <c:pt idx="18">
                  <c:v>1072.443652877321</c:v>
                </c:pt>
                <c:pt idx="19">
                  <c:v>1066.0799155453822</c:v>
                </c:pt>
                <c:pt idx="20">
                  <c:v>1060.1736174950684</c:v>
                </c:pt>
                <c:pt idx="21">
                  <c:v>1054.1433673700844</c:v>
                </c:pt>
                <c:pt idx="22">
                  <c:v>1048.1363880401407</c:v>
                </c:pt>
                <c:pt idx="23">
                  <c:v>1042.1604472528211</c:v>
                </c:pt>
                <c:pt idx="24">
                  <c:v>1036.1545975238691</c:v>
                </c:pt>
                <c:pt idx="25">
                  <c:v>1030.1623941830187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1118.8913624076717</c:v>
                </c:pt>
                <c:pt idx="1">
                  <c:v>1055.7249227460904</c:v>
                </c:pt>
                <c:pt idx="2">
                  <c:v>1027.6120445036961</c:v>
                </c:pt>
                <c:pt idx="3">
                  <c:v>1042.4185383423762</c:v>
                </c:pt>
                <c:pt idx="4">
                  <c:v>1077.7465782774261</c:v>
                </c:pt>
                <c:pt idx="5">
                  <c:v>1085.8029793612313</c:v>
                </c:pt>
                <c:pt idx="6">
                  <c:v>1050.7167430307413</c:v>
                </c:pt>
                <c:pt idx="7">
                  <c:v>1100.1664387187295</c:v>
                </c:pt>
                <c:pt idx="8">
                  <c:v>1048.9716297138116</c:v>
                </c:pt>
                <c:pt idx="9">
                  <c:v>1074.3217952996649</c:v>
                </c:pt>
                <c:pt idx="10">
                  <c:v>902.6086997361848</c:v>
                </c:pt>
                <c:pt idx="11">
                  <c:v>959.37617792221397</c:v>
                </c:pt>
                <c:pt idx="12">
                  <c:v>954.35818818173755</c:v>
                </c:pt>
                <c:pt idx="13">
                  <c:v>952.70820937283088</c:v>
                </c:pt>
                <c:pt idx="14">
                  <c:v>951.26777759760228</c:v>
                </c:pt>
                <c:pt idx="15">
                  <c:v>946.65514273475333</c:v>
                </c:pt>
                <c:pt idx="16">
                  <c:v>941.34703496755481</c:v>
                </c:pt>
                <c:pt idx="17">
                  <c:v>935.5075925807372</c:v>
                </c:pt>
                <c:pt idx="18">
                  <c:v>929.63138689918719</c:v>
                </c:pt>
                <c:pt idx="19">
                  <c:v>923.64251010283908</c:v>
                </c:pt>
                <c:pt idx="20">
                  <c:v>918.01217269941492</c:v>
                </c:pt>
                <c:pt idx="21">
                  <c:v>912.25193902561421</c:v>
                </c:pt>
                <c:pt idx="22">
                  <c:v>906.47191002690886</c:v>
                </c:pt>
                <c:pt idx="23">
                  <c:v>900.65625393080359</c:v>
                </c:pt>
                <c:pt idx="24">
                  <c:v>894.75172315633677</c:v>
                </c:pt>
                <c:pt idx="25">
                  <c:v>888.79123577476093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663.63208548524437</c:v>
                </c:pt>
                <c:pt idx="1">
                  <c:v>660.25051272920223</c:v>
                </c:pt>
                <c:pt idx="2">
                  <c:v>709.04864585858684</c:v>
                </c:pt>
                <c:pt idx="3">
                  <c:v>703.09543970779532</c:v>
                </c:pt>
                <c:pt idx="4">
                  <c:v>733.71837905762425</c:v>
                </c:pt>
                <c:pt idx="5">
                  <c:v>755.52676365289369</c:v>
                </c:pt>
                <c:pt idx="6">
                  <c:v>749.15886124387862</c:v>
                </c:pt>
                <c:pt idx="7">
                  <c:v>761.73840398116715</c:v>
                </c:pt>
                <c:pt idx="8">
                  <c:v>721.73472657772879</c:v>
                </c:pt>
                <c:pt idx="9">
                  <c:v>689.32645869058581</c:v>
                </c:pt>
                <c:pt idx="10">
                  <c:v>647.87195370468623</c:v>
                </c:pt>
                <c:pt idx="11">
                  <c:v>640.60656114503263</c:v>
                </c:pt>
                <c:pt idx="12">
                  <c:v>641.18383656827723</c:v>
                </c:pt>
                <c:pt idx="13">
                  <c:v>643.0881246718302</c:v>
                </c:pt>
                <c:pt idx="14">
                  <c:v>645.4400378362011</c:v>
                </c:pt>
                <c:pt idx="15">
                  <c:v>646.27082264483795</c:v>
                </c:pt>
                <c:pt idx="16">
                  <c:v>646.61321662725265</c:v>
                </c:pt>
                <c:pt idx="17">
                  <c:v>646.68088322772621</c:v>
                </c:pt>
                <c:pt idx="18">
                  <c:v>646.70853070752764</c:v>
                </c:pt>
                <c:pt idx="19">
                  <c:v>646.70193345685368</c:v>
                </c:pt>
                <c:pt idx="20">
                  <c:v>646.91305679078607</c:v>
                </c:pt>
                <c:pt idx="21">
                  <c:v>647.05661212031487</c:v>
                </c:pt>
                <c:pt idx="22">
                  <c:v>647.19835276329468</c:v>
                </c:pt>
                <c:pt idx="23">
                  <c:v>647.35727846199495</c:v>
                </c:pt>
                <c:pt idx="24">
                  <c:v>647.48579629438245</c:v>
                </c:pt>
                <c:pt idx="25">
                  <c:v>647.60661016517849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0239952009598059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2234.118402916512</c:v>
                </c:pt>
                <c:pt idx="1">
                  <c:v>2123.3168511329086</c:v>
                </c:pt>
                <c:pt idx="2">
                  <c:v>2147.1489391248679</c:v>
                </c:pt>
                <c:pt idx="3">
                  <c:v>2211.6562230382942</c:v>
                </c:pt>
                <c:pt idx="4">
                  <c:v>2328.1590244618183</c:v>
                </c:pt>
                <c:pt idx="5">
                  <c:v>2378.4874023039993</c:v>
                </c:pt>
                <c:pt idx="6">
                  <c:v>2454.6023315871307</c:v>
                </c:pt>
                <c:pt idx="7">
                  <c:v>2438.6247070958616</c:v>
                </c:pt>
                <c:pt idx="8">
                  <c:v>2386.8727624604112</c:v>
                </c:pt>
                <c:pt idx="9">
                  <c:v>2425.9290474878148</c:v>
                </c:pt>
                <c:pt idx="10">
                  <c:v>2366.0754145696519</c:v>
                </c:pt>
                <c:pt idx="11">
                  <c:v>2468.6237055749966</c:v>
                </c:pt>
                <c:pt idx="12">
                  <c:v>2494.9603344765787</c:v>
                </c:pt>
                <c:pt idx="13">
                  <c:v>2524.560382669134</c:v>
                </c:pt>
                <c:pt idx="14">
                  <c:v>2556.6094652889924</c:v>
                </c:pt>
                <c:pt idx="15">
                  <c:v>2583.6927520604086</c:v>
                </c:pt>
                <c:pt idx="16">
                  <c:v>2608.6330479618314</c:v>
                </c:pt>
                <c:pt idx="17">
                  <c:v>2632.7448507559811</c:v>
                </c:pt>
                <c:pt idx="18">
                  <c:v>2656.7834106882719</c:v>
                </c:pt>
                <c:pt idx="19">
                  <c:v>2680.8682876520179</c:v>
                </c:pt>
                <c:pt idx="20">
                  <c:v>2705.8314506566162</c:v>
                </c:pt>
                <c:pt idx="21">
                  <c:v>2730.7078122012726</c:v>
                </c:pt>
                <c:pt idx="22">
                  <c:v>2755.7101940053835</c:v>
                </c:pt>
                <c:pt idx="23">
                  <c:v>2780.9970589889108</c:v>
                </c:pt>
                <c:pt idx="24">
                  <c:v>2806.33948254509</c:v>
                </c:pt>
                <c:pt idx="25">
                  <c:v>2831.8232058057956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656.79164620785082</c:v>
                </c:pt>
                <c:pt idx="1">
                  <c:v>704.64925054965511</c:v>
                </c:pt>
                <c:pt idx="2">
                  <c:v>699.64546766528497</c:v>
                </c:pt>
                <c:pt idx="3">
                  <c:v>703.48276171926329</c:v>
                </c:pt>
                <c:pt idx="4">
                  <c:v>716.95722371179363</c:v>
                </c:pt>
                <c:pt idx="5">
                  <c:v>734.9431095897952</c:v>
                </c:pt>
                <c:pt idx="6">
                  <c:v>747.89926537161773</c:v>
                </c:pt>
                <c:pt idx="7">
                  <c:v>749.96363896262619</c:v>
                </c:pt>
                <c:pt idx="8">
                  <c:v>739.66471335184565</c:v>
                </c:pt>
                <c:pt idx="9">
                  <c:v>794.74477127636385</c:v>
                </c:pt>
                <c:pt idx="10">
                  <c:v>729.01453888132892</c:v>
                </c:pt>
                <c:pt idx="11">
                  <c:v>727.26463756958947</c:v>
                </c:pt>
                <c:pt idx="12">
                  <c:v>730.08980730525673</c:v>
                </c:pt>
                <c:pt idx="13">
                  <c:v>734.54666573387749</c:v>
                </c:pt>
                <c:pt idx="14">
                  <c:v>739.73559914725888</c:v>
                </c:pt>
                <c:pt idx="15">
                  <c:v>743.24387513858949</c:v>
                </c:pt>
                <c:pt idx="16">
                  <c:v>746.11998811927367</c:v>
                </c:pt>
                <c:pt idx="17">
                  <c:v>748.73795876363397</c:v>
                </c:pt>
                <c:pt idx="18">
                  <c:v>751.25471522810074</c:v>
                </c:pt>
                <c:pt idx="19">
                  <c:v>753.73395281874832</c:v>
                </c:pt>
                <c:pt idx="20">
                  <c:v>756.44305029455279</c:v>
                </c:pt>
                <c:pt idx="21">
                  <c:v>759.10534799151958</c:v>
                </c:pt>
                <c:pt idx="22">
                  <c:v>761.77526192608434</c:v>
                </c:pt>
                <c:pt idx="23">
                  <c:v>764.48110784680375</c:v>
                </c:pt>
                <c:pt idx="24">
                  <c:v>767.15975992426763</c:v>
                </c:pt>
                <c:pt idx="25">
                  <c:v>769.83325122450708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val>
            <c:numRef>
              <c:f>'Occ F2'!$M$35:$AL$35</c:f>
              <c:numCache>
                <c:formatCode>#,##0</c:formatCode>
                <c:ptCount val="26"/>
                <c:pt idx="0">
                  <c:v>51.421169957633786</c:v>
                </c:pt>
                <c:pt idx="1">
                  <c:v>36.668311658924381</c:v>
                </c:pt>
                <c:pt idx="2">
                  <c:v>36.200227035888965</c:v>
                </c:pt>
                <c:pt idx="3">
                  <c:v>32.793927124485236</c:v>
                </c:pt>
                <c:pt idx="4">
                  <c:v>37.475784749238386</c:v>
                </c:pt>
                <c:pt idx="5">
                  <c:v>35.1715178590417</c:v>
                </c:pt>
                <c:pt idx="6">
                  <c:v>30.280250488992671</c:v>
                </c:pt>
                <c:pt idx="7">
                  <c:v>32.145017544271994</c:v>
                </c:pt>
                <c:pt idx="8">
                  <c:v>32.836668306231914</c:v>
                </c:pt>
                <c:pt idx="9">
                  <c:v>30.500599461389967</c:v>
                </c:pt>
                <c:pt idx="10">
                  <c:v>38.450806585208952</c:v>
                </c:pt>
                <c:pt idx="11">
                  <c:v>30.239520665666785</c:v>
                </c:pt>
                <c:pt idx="12">
                  <c:v>30.507888048108434</c:v>
                </c:pt>
                <c:pt idx="13">
                  <c:v>30.816976028070506</c:v>
                </c:pt>
                <c:pt idx="14">
                  <c:v>31.143185056966907</c:v>
                </c:pt>
                <c:pt idx="15">
                  <c:v>31.402379836268015</c:v>
                </c:pt>
                <c:pt idx="16">
                  <c:v>31.639301332116027</c:v>
                </c:pt>
                <c:pt idx="17">
                  <c:v>31.861294335281709</c:v>
                </c:pt>
                <c:pt idx="18">
                  <c:v>32.082355273757926</c:v>
                </c:pt>
                <c:pt idx="19">
                  <c:v>32.301389547059124</c:v>
                </c:pt>
                <c:pt idx="20">
                  <c:v>32.530907824356341</c:v>
                </c:pt>
                <c:pt idx="21">
                  <c:v>32.755216106867202</c:v>
                </c:pt>
                <c:pt idx="22">
                  <c:v>32.978465625141808</c:v>
                </c:pt>
                <c:pt idx="23">
                  <c:v>33.201646513965507</c:v>
                </c:pt>
                <c:pt idx="24">
                  <c:v>33.422686948672606</c:v>
                </c:pt>
                <c:pt idx="25">
                  <c:v>33.642958409426491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0-47D4-806C-3012680FB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3944952741735122"/>
          <c:w val="0.94041112825348783"/>
          <c:h val="6.05504725826488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2151.3388054461584</c:v>
                </c:pt>
                <c:pt idx="1">
                  <c:v>2297.9497143494114</c:v>
                </c:pt>
                <c:pt idx="2">
                  <c:v>2383.5195457048699</c:v>
                </c:pt>
                <c:pt idx="3">
                  <c:v>2316.0406809888959</c:v>
                </c:pt>
                <c:pt idx="4">
                  <c:v>2376.3132084002809</c:v>
                </c:pt>
                <c:pt idx="5">
                  <c:v>2342.1745624620294</c:v>
                </c:pt>
                <c:pt idx="6">
                  <c:v>2397.1628960108774</c:v>
                </c:pt>
                <c:pt idx="7">
                  <c:v>2319.3905059165395</c:v>
                </c:pt>
                <c:pt idx="8">
                  <c:v>2262.9008407576557</c:v>
                </c:pt>
                <c:pt idx="9">
                  <c:v>2227.4479501027699</c:v>
                </c:pt>
                <c:pt idx="10">
                  <c:v>2182.3387584985444</c:v>
                </c:pt>
                <c:pt idx="11">
                  <c:v>2044.257470378501</c:v>
                </c:pt>
                <c:pt idx="12">
                  <c:v>2037.6792537425688</c:v>
                </c:pt>
                <c:pt idx="13">
                  <c:v>2034.3115102970228</c:v>
                </c:pt>
                <c:pt idx="14">
                  <c:v>2032.5100429319477</c:v>
                </c:pt>
                <c:pt idx="15">
                  <c:v>2026.1126707279607</c:v>
                </c:pt>
                <c:pt idx="16">
                  <c:v>2017.7259697196992</c:v>
                </c:pt>
                <c:pt idx="17">
                  <c:v>2008.2822004235898</c:v>
                </c:pt>
                <c:pt idx="18">
                  <c:v>1998.5078153088975</c:v>
                </c:pt>
                <c:pt idx="19">
                  <c:v>1988.4598873568295</c:v>
                </c:pt>
                <c:pt idx="20">
                  <c:v>1978.7861312282471</c:v>
                </c:pt>
                <c:pt idx="21">
                  <c:v>1968.7761238292824</c:v>
                </c:pt>
                <c:pt idx="22">
                  <c:v>1958.5718546101023</c:v>
                </c:pt>
                <c:pt idx="23">
                  <c:v>1948.2985739154415</c:v>
                </c:pt>
                <c:pt idx="24">
                  <c:v>1937.7666954551228</c:v>
                </c:pt>
                <c:pt idx="25">
                  <c:v>1927.0365395209469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496.61912673994505</c:v>
                </c:pt>
                <c:pt idx="1">
                  <c:v>496.26041500102008</c:v>
                </c:pt>
                <c:pt idx="2">
                  <c:v>505.26581131231757</c:v>
                </c:pt>
                <c:pt idx="3">
                  <c:v>505.10503162994729</c:v>
                </c:pt>
                <c:pt idx="4">
                  <c:v>492.97407357587593</c:v>
                </c:pt>
                <c:pt idx="5">
                  <c:v>545.0861667470167</c:v>
                </c:pt>
                <c:pt idx="6">
                  <c:v>534.18990652621926</c:v>
                </c:pt>
                <c:pt idx="7">
                  <c:v>582.87233578266967</c:v>
                </c:pt>
                <c:pt idx="8">
                  <c:v>599.59141447979277</c:v>
                </c:pt>
                <c:pt idx="9">
                  <c:v>589.82043284833424</c:v>
                </c:pt>
                <c:pt idx="10">
                  <c:v>604.74815671761121</c:v>
                </c:pt>
                <c:pt idx="11">
                  <c:v>729.44249919288802</c:v>
                </c:pt>
                <c:pt idx="12">
                  <c:v>740.87028557325755</c:v>
                </c:pt>
                <c:pt idx="13">
                  <c:v>753.36689399260922</c:v>
                </c:pt>
                <c:pt idx="14">
                  <c:v>766.53477293873334</c:v>
                </c:pt>
                <c:pt idx="15">
                  <c:v>778.20420426110786</c:v>
                </c:pt>
                <c:pt idx="16">
                  <c:v>789.31330761400284</c:v>
                </c:pt>
                <c:pt idx="17">
                  <c:v>800.14772962743825</c:v>
                </c:pt>
                <c:pt idx="18">
                  <c:v>811.00091723897231</c:v>
                </c:pt>
                <c:pt idx="19">
                  <c:v>821.8766602626464</c:v>
                </c:pt>
                <c:pt idx="20">
                  <c:v>833.05529320444691</c:v>
                </c:pt>
                <c:pt idx="21">
                  <c:v>844.2051526379795</c:v>
                </c:pt>
                <c:pt idx="22">
                  <c:v>855.40468115474027</c:v>
                </c:pt>
                <c:pt idx="23">
                  <c:v>866.69838354304648</c:v>
                </c:pt>
                <c:pt idx="24">
                  <c:v>878.01690604774547</c:v>
                </c:pt>
                <c:pt idx="25">
                  <c:v>889.38998169618799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862.05490244757755</c:v>
                </c:pt>
                <c:pt idx="1">
                  <c:v>815.47607975553296</c:v>
                </c:pt>
                <c:pt idx="2">
                  <c:v>835.41406664908664</c:v>
                </c:pt>
                <c:pt idx="3">
                  <c:v>867.15379401619293</c:v>
                </c:pt>
                <c:pt idx="4">
                  <c:v>890.03188226598797</c:v>
                </c:pt>
                <c:pt idx="5">
                  <c:v>904.53857920670657</c:v>
                </c:pt>
                <c:pt idx="6">
                  <c:v>891.91213941011233</c:v>
                </c:pt>
                <c:pt idx="7">
                  <c:v>919.02857627462902</c:v>
                </c:pt>
                <c:pt idx="8">
                  <c:v>923.45130632905523</c:v>
                </c:pt>
                <c:pt idx="9">
                  <c:v>870.99992587765519</c:v>
                </c:pt>
                <c:pt idx="10">
                  <c:v>765.07385705408774</c:v>
                </c:pt>
                <c:pt idx="11">
                  <c:v>919.73730419989374</c:v>
                </c:pt>
                <c:pt idx="12">
                  <c:v>919.13628056766754</c:v>
                </c:pt>
                <c:pt idx="13">
                  <c:v>920.25105226023834</c:v>
                </c:pt>
                <c:pt idx="14">
                  <c:v>921.83584732621989</c:v>
                </c:pt>
                <c:pt idx="15">
                  <c:v>921.25332068124919</c:v>
                </c:pt>
                <c:pt idx="16">
                  <c:v>920.0586448006261</c:v>
                </c:pt>
                <c:pt idx="17">
                  <c:v>918.44093239291817</c:v>
                </c:pt>
                <c:pt idx="18">
                  <c:v>916.83082593531549</c:v>
                </c:pt>
                <c:pt idx="19">
                  <c:v>915.18579037247059</c:v>
                </c:pt>
                <c:pt idx="20">
                  <c:v>913.88644841705479</c:v>
                </c:pt>
                <c:pt idx="21">
                  <c:v>912.4743477410143</c:v>
                </c:pt>
                <c:pt idx="22">
                  <c:v>911.06462988210455</c:v>
                </c:pt>
                <c:pt idx="23">
                  <c:v>909.67787624539483</c:v>
                </c:pt>
                <c:pt idx="24">
                  <c:v>908.25501788646193</c:v>
                </c:pt>
                <c:pt idx="25">
                  <c:v>906.8322616503707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1169.0662045791159</c:v>
                </c:pt>
                <c:pt idx="1">
                  <c:v>1169.9830086209531</c:v>
                </c:pt>
                <c:pt idx="2">
                  <c:v>1147.9260283809726</c:v>
                </c:pt>
                <c:pt idx="3">
                  <c:v>1132.9068621050294</c:v>
                </c:pt>
                <c:pt idx="4">
                  <c:v>1203.281439960484</c:v>
                </c:pt>
                <c:pt idx="5">
                  <c:v>1208.479039683479</c:v>
                </c:pt>
                <c:pt idx="6">
                  <c:v>1296.5497575298782</c:v>
                </c:pt>
                <c:pt idx="7">
                  <c:v>1281.470765137431</c:v>
                </c:pt>
                <c:pt idx="8">
                  <c:v>1320.8449961918257</c:v>
                </c:pt>
                <c:pt idx="9">
                  <c:v>1337.8202780641443</c:v>
                </c:pt>
                <c:pt idx="10">
                  <c:v>1192.1983711089595</c:v>
                </c:pt>
                <c:pt idx="11">
                  <c:v>1271.842671156744</c:v>
                </c:pt>
                <c:pt idx="12">
                  <c:v>1271.7568260816988</c:v>
                </c:pt>
                <c:pt idx="13">
                  <c:v>1274.9409063036699</c:v>
                </c:pt>
                <c:pt idx="14">
                  <c:v>1278.7546721964247</c:v>
                </c:pt>
                <c:pt idx="15">
                  <c:v>1279.2062044794754</c:v>
                </c:pt>
                <c:pt idx="16">
                  <c:v>1278.8240062738269</c:v>
                </c:pt>
                <c:pt idx="17">
                  <c:v>1277.8231118511319</c:v>
                </c:pt>
                <c:pt idx="18">
                  <c:v>1276.8337088164301</c:v>
                </c:pt>
                <c:pt idx="19">
                  <c:v>1275.7857544431786</c:v>
                </c:pt>
                <c:pt idx="20">
                  <c:v>1275.2464060810248</c:v>
                </c:pt>
                <c:pt idx="21">
                  <c:v>1274.5805351453766</c:v>
                </c:pt>
                <c:pt idx="22">
                  <c:v>1273.9409028607279</c:v>
                </c:pt>
                <c:pt idx="23">
                  <c:v>1273.3466408577897</c:v>
                </c:pt>
                <c:pt idx="24">
                  <c:v>1272.7096046561969</c:v>
                </c:pt>
                <c:pt idx="25">
                  <c:v>1272.0792886398074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532.62708861179635</c:v>
                </c:pt>
                <c:pt idx="1">
                  <c:v>523.81851367688034</c:v>
                </c:pt>
                <c:pt idx="2">
                  <c:v>524.91097080924567</c:v>
                </c:pt>
                <c:pt idx="3">
                  <c:v>516.69958210278514</c:v>
                </c:pt>
                <c:pt idx="4">
                  <c:v>567.56114133110339</c:v>
                </c:pt>
                <c:pt idx="5">
                  <c:v>586.32680498173522</c:v>
                </c:pt>
                <c:pt idx="6">
                  <c:v>592.38457957898618</c:v>
                </c:pt>
                <c:pt idx="7">
                  <c:v>547.51163222164143</c:v>
                </c:pt>
                <c:pt idx="8">
                  <c:v>550.12099188473644</c:v>
                </c:pt>
                <c:pt idx="9">
                  <c:v>523.17721969052866</c:v>
                </c:pt>
                <c:pt idx="10">
                  <c:v>464.80863120633876</c:v>
                </c:pt>
                <c:pt idx="11">
                  <c:v>394.95855411401305</c:v>
                </c:pt>
                <c:pt idx="12">
                  <c:v>393.18302889482698</c:v>
                </c:pt>
                <c:pt idx="13">
                  <c:v>392.28541987826094</c:v>
                </c:pt>
                <c:pt idx="14">
                  <c:v>391.58432303872928</c:v>
                </c:pt>
                <c:pt idx="15">
                  <c:v>389.87330472296622</c:v>
                </c:pt>
                <c:pt idx="16">
                  <c:v>387.87407442679546</c:v>
                </c:pt>
                <c:pt idx="17">
                  <c:v>385.67988216652981</c:v>
                </c:pt>
                <c:pt idx="18">
                  <c:v>383.47127036708378</c:v>
                </c:pt>
                <c:pt idx="19">
                  <c:v>381.23236001577584</c:v>
                </c:pt>
                <c:pt idx="20">
                  <c:v>379.12568633632299</c:v>
                </c:pt>
                <c:pt idx="21">
                  <c:v>376.96892963777947</c:v>
                </c:pt>
                <c:pt idx="22">
                  <c:v>374.80560156292245</c:v>
                </c:pt>
                <c:pt idx="23">
                  <c:v>372.64274387325179</c:v>
                </c:pt>
                <c:pt idx="24">
                  <c:v>370.45428957807127</c:v>
                </c:pt>
                <c:pt idx="25">
                  <c:v>368.2541352592807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3304.046427801758</c:v>
                </c:pt>
                <c:pt idx="1">
                  <c:v>3187.2627000330945</c:v>
                </c:pt>
                <c:pt idx="2">
                  <c:v>3189.9778893318417</c:v>
                </c:pt>
                <c:pt idx="3">
                  <c:v>3211.9317077367627</c:v>
                </c:pt>
                <c:pt idx="4">
                  <c:v>3336.6752654454353</c:v>
                </c:pt>
                <c:pt idx="5">
                  <c:v>3385.6988412834389</c:v>
                </c:pt>
                <c:pt idx="6">
                  <c:v>3378.329222857471</c:v>
                </c:pt>
                <c:pt idx="7">
                  <c:v>3368.4016125832404</c:v>
                </c:pt>
                <c:pt idx="8">
                  <c:v>3352.2738624300873</c:v>
                </c:pt>
                <c:pt idx="9">
                  <c:v>3417.5980423080023</c:v>
                </c:pt>
                <c:pt idx="10">
                  <c:v>3133.5251022906664</c:v>
                </c:pt>
                <c:pt idx="11">
                  <c:v>3220.797641940926</c:v>
                </c:pt>
                <c:pt idx="12">
                  <c:v>3213.1810603927838</c:v>
                </c:pt>
                <c:pt idx="13">
                  <c:v>3210.8700579953916</c:v>
                </c:pt>
                <c:pt idx="14">
                  <c:v>3210.9822474035032</c:v>
                </c:pt>
                <c:pt idx="15">
                  <c:v>3203.9105679470053</c:v>
                </c:pt>
                <c:pt idx="16">
                  <c:v>3193.9587180907661</c:v>
                </c:pt>
                <c:pt idx="17">
                  <c:v>3182.4173782939388</c:v>
                </c:pt>
                <c:pt idx="18">
                  <c:v>3170.4929447103741</c:v>
                </c:pt>
                <c:pt idx="19">
                  <c:v>3158.2456698628821</c:v>
                </c:pt>
                <c:pt idx="20">
                  <c:v>3146.7629494972175</c:v>
                </c:pt>
                <c:pt idx="21">
                  <c:v>3134.8310467385822</c:v>
                </c:pt>
                <c:pt idx="22">
                  <c:v>3122.7153824969532</c:v>
                </c:pt>
                <c:pt idx="23">
                  <c:v>3110.58996163549</c:v>
                </c:pt>
                <c:pt idx="24">
                  <c:v>3098.1766208332788</c:v>
                </c:pt>
                <c:pt idx="25">
                  <c:v>3085.5818095627951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2617.4130358405127</c:v>
                </c:pt>
                <c:pt idx="1">
                  <c:v>2870.501318730348</c:v>
                </c:pt>
                <c:pt idx="2">
                  <c:v>2981.9916786196054</c:v>
                </c:pt>
                <c:pt idx="3">
                  <c:v>3024.5772311442288</c:v>
                </c:pt>
                <c:pt idx="4">
                  <c:v>3104.5954492555593</c:v>
                </c:pt>
                <c:pt idx="5">
                  <c:v>3205.425138336177</c:v>
                </c:pt>
                <c:pt idx="6">
                  <c:v>3308.500849407365</c:v>
                </c:pt>
                <c:pt idx="7">
                  <c:v>3460.4545578614307</c:v>
                </c:pt>
                <c:pt idx="8">
                  <c:v>3512.662033194556</c:v>
                </c:pt>
                <c:pt idx="9">
                  <c:v>3677.7255359911551</c:v>
                </c:pt>
                <c:pt idx="10">
                  <c:v>3746.559202054731</c:v>
                </c:pt>
                <c:pt idx="11">
                  <c:v>3661.6664624966588</c:v>
                </c:pt>
                <c:pt idx="12">
                  <c:v>3706.8951031021707</c:v>
                </c:pt>
                <c:pt idx="13">
                  <c:v>3759.7569438703495</c:v>
                </c:pt>
                <c:pt idx="14">
                  <c:v>3815.4373131092416</c:v>
                </c:pt>
                <c:pt idx="15">
                  <c:v>3862.6442625428922</c:v>
                </c:pt>
                <c:pt idx="16">
                  <c:v>3907.5316572760626</c:v>
                </c:pt>
                <c:pt idx="17">
                  <c:v>3951.1238872016465</c:v>
                </c:pt>
                <c:pt idx="18">
                  <c:v>3994.9909516838584</c:v>
                </c:pt>
                <c:pt idx="19">
                  <c:v>4039.0615266929381</c:v>
                </c:pt>
                <c:pt idx="20">
                  <c:v>4084.9625659801768</c:v>
                </c:pt>
                <c:pt idx="21">
                  <c:v>4130.8060717731742</c:v>
                </c:pt>
                <c:pt idx="22">
                  <c:v>4177.0611148671424</c:v>
                </c:pt>
                <c:pt idx="23">
                  <c:v>4223.8302957144388</c:v>
                </c:pt>
                <c:pt idx="24">
                  <c:v>4270.8398974539687</c:v>
                </c:pt>
                <c:pt idx="25">
                  <c:v>4318.2488703537829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6430.0376206872179</c:v>
                </c:pt>
                <c:pt idx="1">
                  <c:v>6336.8524073037488</c:v>
                </c:pt>
                <c:pt idx="2">
                  <c:v>6441.4701182179633</c:v>
                </c:pt>
                <c:pt idx="3">
                  <c:v>6597.579748001016</c:v>
                </c:pt>
                <c:pt idx="4">
                  <c:v>6833.2834331858066</c:v>
                </c:pt>
                <c:pt idx="5">
                  <c:v>6885.4818455337045</c:v>
                </c:pt>
                <c:pt idx="6">
                  <c:v>7274.2509112804601</c:v>
                </c:pt>
                <c:pt idx="7">
                  <c:v>7260.9146546152233</c:v>
                </c:pt>
                <c:pt idx="8">
                  <c:v>7515.6592679049027</c:v>
                </c:pt>
                <c:pt idx="9">
                  <c:v>7836.4339984828966</c:v>
                </c:pt>
                <c:pt idx="10">
                  <c:v>8199.5797102003853</c:v>
                </c:pt>
                <c:pt idx="11">
                  <c:v>8456.8665981795966</c:v>
                </c:pt>
                <c:pt idx="12">
                  <c:v>8555.3806276265113</c:v>
                </c:pt>
                <c:pt idx="13">
                  <c:v>8668.1558464917707</c:v>
                </c:pt>
                <c:pt idx="14">
                  <c:v>8787.5667133078132</c:v>
                </c:pt>
                <c:pt idx="15">
                  <c:v>8888.4946767141701</c:v>
                </c:pt>
                <c:pt idx="16">
                  <c:v>8983.4725081014858</c:v>
                </c:pt>
                <c:pt idx="17">
                  <c:v>9075.3557532738669</c:v>
                </c:pt>
                <c:pt idx="18">
                  <c:v>9167.56384496799</c:v>
                </c:pt>
                <c:pt idx="19">
                  <c:v>9260.0478755679687</c:v>
                </c:pt>
                <c:pt idx="20">
                  <c:v>9356.2450570976271</c:v>
                </c:pt>
                <c:pt idx="21">
                  <c:v>9452.0426689848064</c:v>
                </c:pt>
                <c:pt idx="22">
                  <c:v>9548.4592109545847</c:v>
                </c:pt>
                <c:pt idx="23">
                  <c:v>9645.8309437800744</c:v>
                </c:pt>
                <c:pt idx="24">
                  <c:v>9743.498851754186</c:v>
                </c:pt>
                <c:pt idx="25">
                  <c:v>9841.8170804538022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3810.18597995136</c:v>
                </c:pt>
                <c:pt idx="1">
                  <c:v>3872.3715995902021</c:v>
                </c:pt>
                <c:pt idx="2">
                  <c:v>4024.5015485184176</c:v>
                </c:pt>
                <c:pt idx="3">
                  <c:v>3996.846734646113</c:v>
                </c:pt>
                <c:pt idx="4">
                  <c:v>4156.7387627168882</c:v>
                </c:pt>
                <c:pt idx="5">
                  <c:v>4219.4704423124967</c:v>
                </c:pt>
                <c:pt idx="6">
                  <c:v>4366.2152729838726</c:v>
                </c:pt>
                <c:pt idx="7">
                  <c:v>4471.5558558482771</c:v>
                </c:pt>
                <c:pt idx="8">
                  <c:v>4533.0010764128028</c:v>
                </c:pt>
                <c:pt idx="9">
                  <c:v>4570.8250970036297</c:v>
                </c:pt>
                <c:pt idx="10">
                  <c:v>4781.923896536362</c:v>
                </c:pt>
                <c:pt idx="11">
                  <c:v>4534.6038276794861</c:v>
                </c:pt>
                <c:pt idx="12">
                  <c:v>4573.1298608860034</c:v>
                </c:pt>
                <c:pt idx="13">
                  <c:v>4619.9643281446588</c:v>
                </c:pt>
                <c:pt idx="14">
                  <c:v>4670.2846004075509</c:v>
                </c:pt>
                <c:pt idx="15">
                  <c:v>4710.4240048833362</c:v>
                </c:pt>
                <c:pt idx="16">
                  <c:v>4747.3260081370099</c:v>
                </c:pt>
                <c:pt idx="17">
                  <c:v>4782.5533508100871</c:v>
                </c:pt>
                <c:pt idx="18">
                  <c:v>4817.8429425247459</c:v>
                </c:pt>
                <c:pt idx="19">
                  <c:v>4853.2034103831247</c:v>
                </c:pt>
                <c:pt idx="20">
                  <c:v>4890.4644104844119</c:v>
                </c:pt>
                <c:pt idx="21">
                  <c:v>4927.4742926261442</c:v>
                </c:pt>
                <c:pt idx="22">
                  <c:v>4964.7541207691229</c:v>
                </c:pt>
                <c:pt idx="23">
                  <c:v>5002.4628808979178</c:v>
                </c:pt>
                <c:pt idx="24">
                  <c:v>5040.2573598012004</c:v>
                </c:pt>
                <c:pt idx="25">
                  <c:v>5078.3169459225455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3643.7520387661757</c:v>
                </c:pt>
                <c:pt idx="1">
                  <c:v>3596.6297761111473</c:v>
                </c:pt>
                <c:pt idx="2">
                  <c:v>3634.7970731205969</c:v>
                </c:pt>
                <c:pt idx="3">
                  <c:v>3582.9472446079781</c:v>
                </c:pt>
                <c:pt idx="4">
                  <c:v>3695.6428292401456</c:v>
                </c:pt>
                <c:pt idx="5">
                  <c:v>3735.6125804733579</c:v>
                </c:pt>
                <c:pt idx="6">
                  <c:v>3640.5904700918609</c:v>
                </c:pt>
                <c:pt idx="7">
                  <c:v>3760.8385528672511</c:v>
                </c:pt>
                <c:pt idx="8">
                  <c:v>3711.9891114884317</c:v>
                </c:pt>
                <c:pt idx="9">
                  <c:v>3627.5245586753754</c:v>
                </c:pt>
                <c:pt idx="10">
                  <c:v>3741.7432874574629</c:v>
                </c:pt>
                <c:pt idx="11">
                  <c:v>3603.5453662423333</c:v>
                </c:pt>
                <c:pt idx="12">
                  <c:v>3584.1074203498629</c:v>
                </c:pt>
                <c:pt idx="13">
                  <c:v>3568.4485629620399</c:v>
                </c:pt>
                <c:pt idx="14">
                  <c:v>3555.0018424487125</c:v>
                </c:pt>
                <c:pt idx="15">
                  <c:v>3533.6821923072539</c:v>
                </c:pt>
                <c:pt idx="16">
                  <c:v>3508.8790754775332</c:v>
                </c:pt>
                <c:pt idx="17">
                  <c:v>3482.2350509130802</c:v>
                </c:pt>
                <c:pt idx="18">
                  <c:v>3454.9532439588647</c:v>
                </c:pt>
                <c:pt idx="19">
                  <c:v>3427.1124581028566</c:v>
                </c:pt>
                <c:pt idx="20">
                  <c:v>3399.8278675074939</c:v>
                </c:pt>
                <c:pt idx="21">
                  <c:v>3371.7523555720672</c:v>
                </c:pt>
                <c:pt idx="22">
                  <c:v>3343.1956831831194</c:v>
                </c:pt>
                <c:pt idx="23">
                  <c:v>3314.3279705912732</c:v>
                </c:pt>
                <c:pt idx="24">
                  <c:v>3284.8805678832528</c:v>
                </c:pt>
                <c:pt idx="25">
                  <c:v>3254.962815422205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3301.5445500462142</c:v>
                </c:pt>
                <c:pt idx="1">
                  <c:v>3262.2850534862873</c:v>
                </c:pt>
                <c:pt idx="2">
                  <c:v>3248.1986355088343</c:v>
                </c:pt>
                <c:pt idx="3">
                  <c:v>3272.2384711385725</c:v>
                </c:pt>
                <c:pt idx="4">
                  <c:v>3452.2944816995141</c:v>
                </c:pt>
                <c:pt idx="5">
                  <c:v>3489.0889692270907</c:v>
                </c:pt>
                <c:pt idx="6">
                  <c:v>3431.0831468747351</c:v>
                </c:pt>
                <c:pt idx="7">
                  <c:v>3460.8305872890064</c:v>
                </c:pt>
                <c:pt idx="8">
                  <c:v>3353.1389548076036</c:v>
                </c:pt>
                <c:pt idx="9">
                  <c:v>3434.4565427301281</c:v>
                </c:pt>
                <c:pt idx="10">
                  <c:v>3028.9282668384967</c:v>
                </c:pt>
                <c:pt idx="11">
                  <c:v>3075.7917406089455</c:v>
                </c:pt>
                <c:pt idx="12">
                  <c:v>3069.4462229526789</c:v>
                </c:pt>
                <c:pt idx="13">
                  <c:v>3071.6794533727807</c:v>
                </c:pt>
                <c:pt idx="14">
                  <c:v>3075.2503753979263</c:v>
                </c:pt>
                <c:pt idx="15">
                  <c:v>3070.1795836971373</c:v>
                </c:pt>
                <c:pt idx="16">
                  <c:v>3063.0236926694565</c:v>
                </c:pt>
                <c:pt idx="17">
                  <c:v>3054.4016191912219</c:v>
                </c:pt>
                <c:pt idx="18">
                  <c:v>3045.7660532970494</c:v>
                </c:pt>
                <c:pt idx="19">
                  <c:v>3036.9569769213294</c:v>
                </c:pt>
                <c:pt idx="20">
                  <c:v>3029.3777753904519</c:v>
                </c:pt>
                <c:pt idx="21">
                  <c:v>3021.4880990144293</c:v>
                </c:pt>
                <c:pt idx="22">
                  <c:v>3013.6508961016266</c:v>
                </c:pt>
                <c:pt idx="23">
                  <c:v>3005.8749155960563</c:v>
                </c:pt>
                <c:pt idx="24">
                  <c:v>2997.9712592324031</c:v>
                </c:pt>
                <c:pt idx="25">
                  <c:v>2990.0528560786383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2942.3312190819966</c:v>
                </c:pt>
                <c:pt idx="1">
                  <c:v>2864.6344133414882</c:v>
                </c:pt>
                <c:pt idx="2">
                  <c:v>2882.9946338260415</c:v>
                </c:pt>
                <c:pt idx="3">
                  <c:v>2947.9329118820428</c:v>
                </c:pt>
                <c:pt idx="4">
                  <c:v>3082.5920329228502</c:v>
                </c:pt>
                <c:pt idx="5">
                  <c:v>3148.6020297528362</c:v>
                </c:pt>
                <c:pt idx="6">
                  <c:v>3232.7818474477413</c:v>
                </c:pt>
                <c:pt idx="7">
                  <c:v>3220.7333636027597</c:v>
                </c:pt>
                <c:pt idx="8">
                  <c:v>3159.3741441184889</c:v>
                </c:pt>
                <c:pt idx="9">
                  <c:v>3251.1744182255684</c:v>
                </c:pt>
                <c:pt idx="10">
                  <c:v>3133.5407600361896</c:v>
                </c:pt>
                <c:pt idx="11">
                  <c:v>3226.1278638102531</c:v>
                </c:pt>
                <c:pt idx="12">
                  <c:v>3255.5580298299437</c:v>
                </c:pt>
                <c:pt idx="13">
                  <c:v>3289.9240244310822</c:v>
                </c:pt>
                <c:pt idx="14">
                  <c:v>3327.4882494932181</c:v>
                </c:pt>
                <c:pt idx="15">
                  <c:v>3358.3390070352661</c:v>
                </c:pt>
                <c:pt idx="16">
                  <c:v>3386.3923374132214</c:v>
                </c:pt>
                <c:pt idx="17">
                  <c:v>3413.3441038548972</c:v>
                </c:pt>
                <c:pt idx="18">
                  <c:v>3440.1204811901307</c:v>
                </c:pt>
                <c:pt idx="19">
                  <c:v>3466.9036300178254</c:v>
                </c:pt>
                <c:pt idx="20">
                  <c:v>3494.8054087755254</c:v>
                </c:pt>
                <c:pt idx="21">
                  <c:v>3522.5683762996591</c:v>
                </c:pt>
                <c:pt idx="22">
                  <c:v>3550.4639215566099</c:v>
                </c:pt>
                <c:pt idx="23">
                  <c:v>3578.67981334968</c:v>
                </c:pt>
                <c:pt idx="24">
                  <c:v>3606.9219294180302</c:v>
                </c:pt>
                <c:pt idx="25">
                  <c:v>3635.2994154397293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2647.9579321861033</c:v>
                </c:pt>
                <c:pt idx="1">
                  <c:v>2794.2101293504315</c:v>
                </c:pt>
                <c:pt idx="2">
                  <c:v>2888.7853570171874</c:v>
                </c:pt>
                <c:pt idx="3">
                  <c:v>2821.1457126188434</c:v>
                </c:pt>
                <c:pt idx="4">
                  <c:v>2869.2872819761569</c:v>
                </c:pt>
                <c:pt idx="5">
                  <c:v>2887.2607292090461</c:v>
                </c:pt>
                <c:pt idx="6">
                  <c:v>2931.3528025370965</c:v>
                </c:pt>
                <c:pt idx="7">
                  <c:v>2902.2628416992093</c:v>
                </c:pt>
                <c:pt idx="8">
                  <c:v>2862.4922552374483</c:v>
                </c:pt>
                <c:pt idx="9">
                  <c:v>2817.2683829511043</c:v>
                </c:pt>
                <c:pt idx="10">
                  <c:v>2787.0869152161558</c:v>
                </c:pt>
                <c:pt idx="11">
                  <c:v>2773.6999695713889</c:v>
                </c:pt>
                <c:pt idx="12">
                  <c:v>2778.5495393158262</c:v>
                </c:pt>
                <c:pt idx="13">
                  <c:v>2787.678404289632</c:v>
                </c:pt>
                <c:pt idx="14">
                  <c:v>2799.0448158706813</c:v>
                </c:pt>
                <c:pt idx="15">
                  <c:v>2804.3168749890683</c:v>
                </c:pt>
                <c:pt idx="16">
                  <c:v>2807.0392773337021</c:v>
                </c:pt>
                <c:pt idx="17">
                  <c:v>2808.4299300510279</c:v>
                </c:pt>
                <c:pt idx="18">
                  <c:v>2809.5087325478698</c:v>
                </c:pt>
                <c:pt idx="19">
                  <c:v>2810.3365476194758</c:v>
                </c:pt>
                <c:pt idx="20">
                  <c:v>2811.8414244326941</c:v>
                </c:pt>
                <c:pt idx="21">
                  <c:v>2812.981276467262</c:v>
                </c:pt>
                <c:pt idx="22">
                  <c:v>2813.9765357648425</c:v>
                </c:pt>
                <c:pt idx="23">
                  <c:v>2814.9969574584879</c:v>
                </c:pt>
                <c:pt idx="24">
                  <c:v>2815.7836015028684</c:v>
                </c:pt>
                <c:pt idx="25">
                  <c:v>2816.4265212171349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2031.1211070266936</c:v>
                </c:pt>
                <c:pt idx="1">
                  <c:v>1985.4590883764861</c:v>
                </c:pt>
                <c:pt idx="2">
                  <c:v>1983.3400950300593</c:v>
                </c:pt>
                <c:pt idx="3">
                  <c:v>2000.0606561212223</c:v>
                </c:pt>
                <c:pt idx="4">
                  <c:v>2093.3133222264719</c:v>
                </c:pt>
                <c:pt idx="5">
                  <c:v>2113.0176188901855</c:v>
                </c:pt>
                <c:pt idx="6">
                  <c:v>2188.4618969399908</c:v>
                </c:pt>
                <c:pt idx="7">
                  <c:v>2200.4993414120599</c:v>
                </c:pt>
                <c:pt idx="8">
                  <c:v>2244.296302520881</c:v>
                </c:pt>
                <c:pt idx="9">
                  <c:v>2208.8202039417993</c:v>
                </c:pt>
                <c:pt idx="10">
                  <c:v>1957.2722281630472</c:v>
                </c:pt>
                <c:pt idx="11">
                  <c:v>2191.579975356638</c:v>
                </c:pt>
                <c:pt idx="12">
                  <c:v>2190.8931066493665</c:v>
                </c:pt>
                <c:pt idx="13">
                  <c:v>2195.191958563908</c:v>
                </c:pt>
                <c:pt idx="14">
                  <c:v>2200.5905195226446</c:v>
                </c:pt>
                <c:pt idx="15">
                  <c:v>2200.4595251607248</c:v>
                </c:pt>
                <c:pt idx="16">
                  <c:v>2198.882651074453</c:v>
                </c:pt>
                <c:pt idx="17">
                  <c:v>2196.2640442440502</c:v>
                </c:pt>
                <c:pt idx="18">
                  <c:v>2193.6645347517456</c:v>
                </c:pt>
                <c:pt idx="19">
                  <c:v>2190.9715448156494</c:v>
                </c:pt>
                <c:pt idx="20">
                  <c:v>2189.1328544980797</c:v>
                </c:pt>
                <c:pt idx="21">
                  <c:v>2187.0548828863912</c:v>
                </c:pt>
                <c:pt idx="22">
                  <c:v>2185.0055327428327</c:v>
                </c:pt>
                <c:pt idx="23">
                  <c:v>2183.0245171031847</c:v>
                </c:pt>
                <c:pt idx="24">
                  <c:v>2180.9646225426586</c:v>
                </c:pt>
                <c:pt idx="25">
                  <c:v>2178.9115502901782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3836.6735164135544</c:v>
                </c:pt>
                <c:pt idx="1">
                  <c:v>3711.0812137099747</c:v>
                </c:pt>
                <c:pt idx="2">
                  <c:v>3714.8888601410872</c:v>
                </c:pt>
                <c:pt idx="3">
                  <c:v>3728.6312898395481</c:v>
                </c:pt>
                <c:pt idx="4">
                  <c:v>3904.2364067765388</c:v>
                </c:pt>
                <c:pt idx="5">
                  <c:v>3972.0256462651741</c:v>
                </c:pt>
                <c:pt idx="6">
                  <c:v>3970.7138024364572</c:v>
                </c:pt>
                <c:pt idx="7">
                  <c:v>3915.9132448048817</c:v>
                </c:pt>
                <c:pt idx="8">
                  <c:v>3902.3948543148235</c:v>
                </c:pt>
                <c:pt idx="9">
                  <c:v>3940.7752619985308</c:v>
                </c:pt>
                <c:pt idx="10">
                  <c:v>3598.3337334970051</c:v>
                </c:pt>
                <c:pt idx="11">
                  <c:v>3615.7561960549392</c:v>
                </c:pt>
                <c:pt idx="12">
                  <c:v>3606.364089287611</c:v>
                </c:pt>
                <c:pt idx="13">
                  <c:v>3603.1554778736527</c:v>
                </c:pt>
                <c:pt idx="14">
                  <c:v>3602.5665704422327</c:v>
                </c:pt>
                <c:pt idx="15">
                  <c:v>3593.7838726699715</c:v>
                </c:pt>
                <c:pt idx="16">
                  <c:v>3581.8327925175618</c:v>
                </c:pt>
                <c:pt idx="17">
                  <c:v>3568.0972604604685</c:v>
                </c:pt>
                <c:pt idx="18">
                  <c:v>3553.964215077458</c:v>
                </c:pt>
                <c:pt idx="19">
                  <c:v>3539.4780298786582</c:v>
                </c:pt>
                <c:pt idx="20">
                  <c:v>3525.8886358335403</c:v>
                </c:pt>
                <c:pt idx="21">
                  <c:v>3511.7999763763619</c:v>
                </c:pt>
                <c:pt idx="22">
                  <c:v>3497.5209840598754</c:v>
                </c:pt>
                <c:pt idx="23">
                  <c:v>3483.2327055087417</c:v>
                </c:pt>
                <c:pt idx="24">
                  <c:v>3468.6309104113502</c:v>
                </c:pt>
                <c:pt idx="25">
                  <c:v>3453.8359448220758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2617.4130358405127</c:v>
                </c:pt>
                <c:pt idx="1">
                  <c:v>2870.501318730348</c:v>
                </c:pt>
                <c:pt idx="2">
                  <c:v>2981.9916786196054</c:v>
                </c:pt>
                <c:pt idx="3">
                  <c:v>3024.5772311442288</c:v>
                </c:pt>
                <c:pt idx="4">
                  <c:v>3104.5954492555593</c:v>
                </c:pt>
                <c:pt idx="5">
                  <c:v>3205.425138336177</c:v>
                </c:pt>
                <c:pt idx="6">
                  <c:v>3308.500849407365</c:v>
                </c:pt>
                <c:pt idx="7">
                  <c:v>3460.4545578614307</c:v>
                </c:pt>
                <c:pt idx="8">
                  <c:v>3512.662033194556</c:v>
                </c:pt>
                <c:pt idx="9">
                  <c:v>3677.7255359911551</c:v>
                </c:pt>
                <c:pt idx="10">
                  <c:v>3746.559202054731</c:v>
                </c:pt>
                <c:pt idx="11">
                  <c:v>3661.6664624966588</c:v>
                </c:pt>
                <c:pt idx="12">
                  <c:v>3706.8951031021707</c:v>
                </c:pt>
                <c:pt idx="13">
                  <c:v>3759.7569438703495</c:v>
                </c:pt>
                <c:pt idx="14">
                  <c:v>3815.4373131092416</c:v>
                </c:pt>
                <c:pt idx="15">
                  <c:v>3862.6442625428922</c:v>
                </c:pt>
                <c:pt idx="16">
                  <c:v>3907.5316572760626</c:v>
                </c:pt>
                <c:pt idx="17">
                  <c:v>3951.1238872016465</c:v>
                </c:pt>
                <c:pt idx="18">
                  <c:v>3994.9909516838584</c:v>
                </c:pt>
                <c:pt idx="19">
                  <c:v>4039.0615266929381</c:v>
                </c:pt>
                <c:pt idx="20">
                  <c:v>4084.9625659801768</c:v>
                </c:pt>
                <c:pt idx="21">
                  <c:v>4130.8060717731742</c:v>
                </c:pt>
                <c:pt idx="22">
                  <c:v>4177.0611148671424</c:v>
                </c:pt>
                <c:pt idx="23">
                  <c:v>4223.8302957144388</c:v>
                </c:pt>
                <c:pt idx="24">
                  <c:v>4270.8398974539687</c:v>
                </c:pt>
                <c:pt idx="25">
                  <c:v>4318.2488703537829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6430.0376206872179</c:v>
                </c:pt>
                <c:pt idx="1">
                  <c:v>6336.8524073037488</c:v>
                </c:pt>
                <c:pt idx="2">
                  <c:v>6441.4701182179633</c:v>
                </c:pt>
                <c:pt idx="3">
                  <c:v>6597.579748001016</c:v>
                </c:pt>
                <c:pt idx="4">
                  <c:v>6833.2834331858066</c:v>
                </c:pt>
                <c:pt idx="5">
                  <c:v>6885.4818455337045</c:v>
                </c:pt>
                <c:pt idx="6">
                  <c:v>7274.2509112804601</c:v>
                </c:pt>
                <c:pt idx="7">
                  <c:v>7260.9146546152233</c:v>
                </c:pt>
                <c:pt idx="8">
                  <c:v>7515.6592679049027</c:v>
                </c:pt>
                <c:pt idx="9">
                  <c:v>7836.4339984828966</c:v>
                </c:pt>
                <c:pt idx="10">
                  <c:v>8199.5797102003853</c:v>
                </c:pt>
                <c:pt idx="11">
                  <c:v>8456.8665981795966</c:v>
                </c:pt>
                <c:pt idx="12">
                  <c:v>8555.3806276265113</c:v>
                </c:pt>
                <c:pt idx="13">
                  <c:v>8668.1558464917707</c:v>
                </c:pt>
                <c:pt idx="14">
                  <c:v>8787.5667133078132</c:v>
                </c:pt>
                <c:pt idx="15">
                  <c:v>8888.4946767141701</c:v>
                </c:pt>
                <c:pt idx="16">
                  <c:v>8983.4725081014858</c:v>
                </c:pt>
                <c:pt idx="17">
                  <c:v>9075.3557532738669</c:v>
                </c:pt>
                <c:pt idx="18">
                  <c:v>9167.56384496799</c:v>
                </c:pt>
                <c:pt idx="19">
                  <c:v>9260.0478755679687</c:v>
                </c:pt>
                <c:pt idx="20">
                  <c:v>9356.2450570976271</c:v>
                </c:pt>
                <c:pt idx="21">
                  <c:v>9452.0426689848064</c:v>
                </c:pt>
                <c:pt idx="22">
                  <c:v>9548.4592109545847</c:v>
                </c:pt>
                <c:pt idx="23">
                  <c:v>9645.8309437800744</c:v>
                </c:pt>
                <c:pt idx="24">
                  <c:v>9743.498851754186</c:v>
                </c:pt>
                <c:pt idx="25">
                  <c:v>9841.8170804538022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3810.18597995136</c:v>
                </c:pt>
                <c:pt idx="1">
                  <c:v>3872.3715995902021</c:v>
                </c:pt>
                <c:pt idx="2">
                  <c:v>4024.5015485184176</c:v>
                </c:pt>
                <c:pt idx="3">
                  <c:v>3996.846734646113</c:v>
                </c:pt>
                <c:pt idx="4">
                  <c:v>4156.7387627168882</c:v>
                </c:pt>
                <c:pt idx="5">
                  <c:v>4219.4704423124967</c:v>
                </c:pt>
                <c:pt idx="6">
                  <c:v>4366.2152729838726</c:v>
                </c:pt>
                <c:pt idx="7">
                  <c:v>4471.5558558482771</c:v>
                </c:pt>
                <c:pt idx="8">
                  <c:v>4533.0010764128028</c:v>
                </c:pt>
                <c:pt idx="9">
                  <c:v>4570.8250970036297</c:v>
                </c:pt>
                <c:pt idx="10">
                  <c:v>4781.923896536362</c:v>
                </c:pt>
                <c:pt idx="11">
                  <c:v>4534.6038276794861</c:v>
                </c:pt>
                <c:pt idx="12">
                  <c:v>4573.1298608860034</c:v>
                </c:pt>
                <c:pt idx="13">
                  <c:v>4619.9643281446588</c:v>
                </c:pt>
                <c:pt idx="14">
                  <c:v>4670.2846004075509</c:v>
                </c:pt>
                <c:pt idx="15">
                  <c:v>4710.4240048833362</c:v>
                </c:pt>
                <c:pt idx="16">
                  <c:v>4747.3260081370099</c:v>
                </c:pt>
                <c:pt idx="17">
                  <c:v>4782.5533508100871</c:v>
                </c:pt>
                <c:pt idx="18">
                  <c:v>4817.8429425247459</c:v>
                </c:pt>
                <c:pt idx="19">
                  <c:v>4853.2034103831247</c:v>
                </c:pt>
                <c:pt idx="20">
                  <c:v>4890.4644104844119</c:v>
                </c:pt>
                <c:pt idx="21">
                  <c:v>4927.4742926261442</c:v>
                </c:pt>
                <c:pt idx="22">
                  <c:v>4964.7541207691229</c:v>
                </c:pt>
                <c:pt idx="23">
                  <c:v>5002.4628808979178</c:v>
                </c:pt>
                <c:pt idx="24">
                  <c:v>5040.2573598012004</c:v>
                </c:pt>
                <c:pt idx="25">
                  <c:v>5078.3169459225455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3643.7520387661757</c:v>
                </c:pt>
                <c:pt idx="1">
                  <c:v>3596.6297761111473</c:v>
                </c:pt>
                <c:pt idx="2">
                  <c:v>3634.7970731205969</c:v>
                </c:pt>
                <c:pt idx="3">
                  <c:v>3582.9472446079781</c:v>
                </c:pt>
                <c:pt idx="4">
                  <c:v>3695.6428292401456</c:v>
                </c:pt>
                <c:pt idx="5">
                  <c:v>3735.6125804733579</c:v>
                </c:pt>
                <c:pt idx="6">
                  <c:v>3640.5904700918609</c:v>
                </c:pt>
                <c:pt idx="7">
                  <c:v>3760.8385528672511</c:v>
                </c:pt>
                <c:pt idx="8">
                  <c:v>3711.9891114884317</c:v>
                </c:pt>
                <c:pt idx="9">
                  <c:v>3627.5245586753754</c:v>
                </c:pt>
                <c:pt idx="10">
                  <c:v>3741.7432874574629</c:v>
                </c:pt>
                <c:pt idx="11">
                  <c:v>3603.5453662423333</c:v>
                </c:pt>
                <c:pt idx="12">
                  <c:v>3584.1074203498629</c:v>
                </c:pt>
                <c:pt idx="13">
                  <c:v>3568.4485629620399</c:v>
                </c:pt>
                <c:pt idx="14">
                  <c:v>3555.0018424487125</c:v>
                </c:pt>
                <c:pt idx="15">
                  <c:v>3533.6821923072539</c:v>
                </c:pt>
                <c:pt idx="16">
                  <c:v>3508.8790754775332</c:v>
                </c:pt>
                <c:pt idx="17">
                  <c:v>3482.2350509130802</c:v>
                </c:pt>
                <c:pt idx="18">
                  <c:v>3454.9532439588647</c:v>
                </c:pt>
                <c:pt idx="19">
                  <c:v>3427.1124581028566</c:v>
                </c:pt>
                <c:pt idx="20">
                  <c:v>3399.8278675074939</c:v>
                </c:pt>
                <c:pt idx="21">
                  <c:v>3371.7523555720672</c:v>
                </c:pt>
                <c:pt idx="22">
                  <c:v>3343.1956831831194</c:v>
                </c:pt>
                <c:pt idx="23">
                  <c:v>3314.3279705912732</c:v>
                </c:pt>
                <c:pt idx="24">
                  <c:v>3284.8805678832528</c:v>
                </c:pt>
                <c:pt idx="25">
                  <c:v>3254.962815422205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3301.5445500462142</c:v>
                </c:pt>
                <c:pt idx="1">
                  <c:v>3262.2850534862873</c:v>
                </c:pt>
                <c:pt idx="2">
                  <c:v>3248.1986355088343</c:v>
                </c:pt>
                <c:pt idx="3">
                  <c:v>3272.2384711385725</c:v>
                </c:pt>
                <c:pt idx="4">
                  <c:v>3452.2944816995141</c:v>
                </c:pt>
                <c:pt idx="5">
                  <c:v>3489.0889692270907</c:v>
                </c:pt>
                <c:pt idx="6">
                  <c:v>3431.0831468747351</c:v>
                </c:pt>
                <c:pt idx="7">
                  <c:v>3460.8305872890064</c:v>
                </c:pt>
                <c:pt idx="8">
                  <c:v>3353.1389548076036</c:v>
                </c:pt>
                <c:pt idx="9">
                  <c:v>3434.4565427301281</c:v>
                </c:pt>
                <c:pt idx="10">
                  <c:v>3028.9282668384967</c:v>
                </c:pt>
                <c:pt idx="11">
                  <c:v>3075.7917406089455</c:v>
                </c:pt>
                <c:pt idx="12">
                  <c:v>3069.4462229526789</c:v>
                </c:pt>
                <c:pt idx="13">
                  <c:v>3071.6794533727807</c:v>
                </c:pt>
                <c:pt idx="14">
                  <c:v>3075.2503753979263</c:v>
                </c:pt>
                <c:pt idx="15">
                  <c:v>3070.1795836971373</c:v>
                </c:pt>
                <c:pt idx="16">
                  <c:v>3063.0236926694565</c:v>
                </c:pt>
                <c:pt idx="17">
                  <c:v>3054.4016191912219</c:v>
                </c:pt>
                <c:pt idx="18">
                  <c:v>3045.7660532970494</c:v>
                </c:pt>
                <c:pt idx="19">
                  <c:v>3036.9569769213294</c:v>
                </c:pt>
                <c:pt idx="20">
                  <c:v>3029.3777753904519</c:v>
                </c:pt>
                <c:pt idx="21">
                  <c:v>3021.4880990144293</c:v>
                </c:pt>
                <c:pt idx="22">
                  <c:v>3013.6508961016266</c:v>
                </c:pt>
                <c:pt idx="23">
                  <c:v>3005.8749155960563</c:v>
                </c:pt>
                <c:pt idx="24">
                  <c:v>2997.9712592324031</c:v>
                </c:pt>
                <c:pt idx="25">
                  <c:v>2990.0528560786383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2942.3312190819966</c:v>
                </c:pt>
                <c:pt idx="1">
                  <c:v>2864.6344133414882</c:v>
                </c:pt>
                <c:pt idx="2">
                  <c:v>2882.9946338260415</c:v>
                </c:pt>
                <c:pt idx="3">
                  <c:v>2947.9329118820428</c:v>
                </c:pt>
                <c:pt idx="4">
                  <c:v>3082.5920329228502</c:v>
                </c:pt>
                <c:pt idx="5">
                  <c:v>3148.6020297528362</c:v>
                </c:pt>
                <c:pt idx="6">
                  <c:v>3232.7818474477413</c:v>
                </c:pt>
                <c:pt idx="7">
                  <c:v>3220.7333636027597</c:v>
                </c:pt>
                <c:pt idx="8">
                  <c:v>3159.3741441184889</c:v>
                </c:pt>
                <c:pt idx="9">
                  <c:v>3251.1744182255684</c:v>
                </c:pt>
                <c:pt idx="10">
                  <c:v>3133.5407600361896</c:v>
                </c:pt>
                <c:pt idx="11">
                  <c:v>3226.1278638102531</c:v>
                </c:pt>
                <c:pt idx="12">
                  <c:v>3255.5580298299437</c:v>
                </c:pt>
                <c:pt idx="13">
                  <c:v>3289.9240244310822</c:v>
                </c:pt>
                <c:pt idx="14">
                  <c:v>3327.4882494932181</c:v>
                </c:pt>
                <c:pt idx="15">
                  <c:v>3358.3390070352661</c:v>
                </c:pt>
                <c:pt idx="16">
                  <c:v>3386.3923374132214</c:v>
                </c:pt>
                <c:pt idx="17">
                  <c:v>3413.3441038548972</c:v>
                </c:pt>
                <c:pt idx="18">
                  <c:v>3440.1204811901307</c:v>
                </c:pt>
                <c:pt idx="19">
                  <c:v>3466.9036300178254</c:v>
                </c:pt>
                <c:pt idx="20">
                  <c:v>3494.8054087755254</c:v>
                </c:pt>
                <c:pt idx="21">
                  <c:v>3522.5683762996591</c:v>
                </c:pt>
                <c:pt idx="22">
                  <c:v>3550.4639215566099</c:v>
                </c:pt>
                <c:pt idx="23">
                  <c:v>3578.67981334968</c:v>
                </c:pt>
                <c:pt idx="24">
                  <c:v>3606.9219294180302</c:v>
                </c:pt>
                <c:pt idx="25">
                  <c:v>3635.2994154397293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2647.9579321861033</c:v>
                </c:pt>
                <c:pt idx="1">
                  <c:v>2794.2101293504315</c:v>
                </c:pt>
                <c:pt idx="2">
                  <c:v>2888.7853570171874</c:v>
                </c:pt>
                <c:pt idx="3">
                  <c:v>2821.1457126188434</c:v>
                </c:pt>
                <c:pt idx="4">
                  <c:v>2869.2872819761569</c:v>
                </c:pt>
                <c:pt idx="5">
                  <c:v>2887.2607292090461</c:v>
                </c:pt>
                <c:pt idx="6">
                  <c:v>2931.3528025370965</c:v>
                </c:pt>
                <c:pt idx="7">
                  <c:v>2902.2628416992093</c:v>
                </c:pt>
                <c:pt idx="8">
                  <c:v>2862.4922552374483</c:v>
                </c:pt>
                <c:pt idx="9">
                  <c:v>2817.2683829511043</c:v>
                </c:pt>
                <c:pt idx="10">
                  <c:v>2787.0869152161558</c:v>
                </c:pt>
                <c:pt idx="11">
                  <c:v>2773.6999695713889</c:v>
                </c:pt>
                <c:pt idx="12">
                  <c:v>2778.5495393158262</c:v>
                </c:pt>
                <c:pt idx="13">
                  <c:v>2787.678404289632</c:v>
                </c:pt>
                <c:pt idx="14">
                  <c:v>2799.0448158706813</c:v>
                </c:pt>
                <c:pt idx="15">
                  <c:v>2804.3168749890683</c:v>
                </c:pt>
                <c:pt idx="16">
                  <c:v>2807.0392773337021</c:v>
                </c:pt>
                <c:pt idx="17">
                  <c:v>2808.4299300510279</c:v>
                </c:pt>
                <c:pt idx="18">
                  <c:v>2809.5087325478698</c:v>
                </c:pt>
                <c:pt idx="19">
                  <c:v>2810.3365476194758</c:v>
                </c:pt>
                <c:pt idx="20">
                  <c:v>2811.8414244326941</c:v>
                </c:pt>
                <c:pt idx="21">
                  <c:v>2812.981276467262</c:v>
                </c:pt>
                <c:pt idx="22">
                  <c:v>2813.9765357648425</c:v>
                </c:pt>
                <c:pt idx="23">
                  <c:v>2814.9969574584879</c:v>
                </c:pt>
                <c:pt idx="24">
                  <c:v>2815.7836015028684</c:v>
                </c:pt>
                <c:pt idx="25">
                  <c:v>2816.4265212171349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2031.1211070266936</c:v>
                </c:pt>
                <c:pt idx="1">
                  <c:v>1985.4590883764861</c:v>
                </c:pt>
                <c:pt idx="2">
                  <c:v>1983.3400950300593</c:v>
                </c:pt>
                <c:pt idx="3">
                  <c:v>2000.0606561212223</c:v>
                </c:pt>
                <c:pt idx="4">
                  <c:v>2093.3133222264719</c:v>
                </c:pt>
                <c:pt idx="5">
                  <c:v>2113.0176188901855</c:v>
                </c:pt>
                <c:pt idx="6">
                  <c:v>2188.4618969399908</c:v>
                </c:pt>
                <c:pt idx="7">
                  <c:v>2200.4993414120599</c:v>
                </c:pt>
                <c:pt idx="8">
                  <c:v>2244.296302520881</c:v>
                </c:pt>
                <c:pt idx="9">
                  <c:v>2208.8202039417993</c:v>
                </c:pt>
                <c:pt idx="10">
                  <c:v>1957.2722281630472</c:v>
                </c:pt>
                <c:pt idx="11">
                  <c:v>2191.579975356638</c:v>
                </c:pt>
                <c:pt idx="12">
                  <c:v>2190.8931066493665</c:v>
                </c:pt>
                <c:pt idx="13">
                  <c:v>2195.191958563908</c:v>
                </c:pt>
                <c:pt idx="14">
                  <c:v>2200.5905195226446</c:v>
                </c:pt>
                <c:pt idx="15">
                  <c:v>2200.4595251607248</c:v>
                </c:pt>
                <c:pt idx="16">
                  <c:v>2198.882651074453</c:v>
                </c:pt>
                <c:pt idx="17">
                  <c:v>2196.2640442440502</c:v>
                </c:pt>
                <c:pt idx="18">
                  <c:v>2193.6645347517456</c:v>
                </c:pt>
                <c:pt idx="19">
                  <c:v>2190.9715448156494</c:v>
                </c:pt>
                <c:pt idx="20">
                  <c:v>2189.1328544980797</c:v>
                </c:pt>
                <c:pt idx="21">
                  <c:v>2187.0548828863912</c:v>
                </c:pt>
                <c:pt idx="22">
                  <c:v>2185.0055327428327</c:v>
                </c:pt>
                <c:pt idx="23">
                  <c:v>2183.0245171031847</c:v>
                </c:pt>
                <c:pt idx="24">
                  <c:v>2180.9646225426586</c:v>
                </c:pt>
                <c:pt idx="25">
                  <c:v>2178.9115502901782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3836.6735164135544</c:v>
                </c:pt>
                <c:pt idx="1">
                  <c:v>3711.0812137099747</c:v>
                </c:pt>
                <c:pt idx="2">
                  <c:v>3714.8888601410872</c:v>
                </c:pt>
                <c:pt idx="3">
                  <c:v>3728.6312898395481</c:v>
                </c:pt>
                <c:pt idx="4">
                  <c:v>3904.2364067765388</c:v>
                </c:pt>
                <c:pt idx="5">
                  <c:v>3972.0256462651741</c:v>
                </c:pt>
                <c:pt idx="6">
                  <c:v>3970.7138024364572</c:v>
                </c:pt>
                <c:pt idx="7">
                  <c:v>3915.9132448048817</c:v>
                </c:pt>
                <c:pt idx="8">
                  <c:v>3902.3948543148235</c:v>
                </c:pt>
                <c:pt idx="9">
                  <c:v>3940.7752619985308</c:v>
                </c:pt>
                <c:pt idx="10">
                  <c:v>3598.3337334970051</c:v>
                </c:pt>
                <c:pt idx="11">
                  <c:v>3615.7561960549392</c:v>
                </c:pt>
                <c:pt idx="12">
                  <c:v>3606.364089287611</c:v>
                </c:pt>
                <c:pt idx="13">
                  <c:v>3603.1554778736527</c:v>
                </c:pt>
                <c:pt idx="14">
                  <c:v>3602.5665704422327</c:v>
                </c:pt>
                <c:pt idx="15">
                  <c:v>3593.7838726699715</c:v>
                </c:pt>
                <c:pt idx="16">
                  <c:v>3581.8327925175618</c:v>
                </c:pt>
                <c:pt idx="17">
                  <c:v>3568.0972604604685</c:v>
                </c:pt>
                <c:pt idx="18">
                  <c:v>3553.964215077458</c:v>
                </c:pt>
                <c:pt idx="19">
                  <c:v>3539.4780298786582</c:v>
                </c:pt>
                <c:pt idx="20">
                  <c:v>3525.8886358335403</c:v>
                </c:pt>
                <c:pt idx="21">
                  <c:v>3511.7999763763619</c:v>
                </c:pt>
                <c:pt idx="22">
                  <c:v>3497.5209840598754</c:v>
                </c:pt>
                <c:pt idx="23">
                  <c:v>3483.2327055087417</c:v>
                </c:pt>
                <c:pt idx="24">
                  <c:v>3468.6309104113502</c:v>
                </c:pt>
                <c:pt idx="25">
                  <c:v>3453.8359448220758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4318.2488703537829</c:v>
                </c:pt>
                <c:pt idx="1">
                  <c:v>9841.8170804538022</c:v>
                </c:pt>
                <c:pt idx="2">
                  <c:v>5078.3169459225455</c:v>
                </c:pt>
                <c:pt idx="3">
                  <c:v>3254.962815422205</c:v>
                </c:pt>
                <c:pt idx="4">
                  <c:v>2990.0528560786383</c:v>
                </c:pt>
                <c:pt idx="5">
                  <c:v>3635.2994154397293</c:v>
                </c:pt>
                <c:pt idx="6">
                  <c:v>2816.4265212171349</c:v>
                </c:pt>
                <c:pt idx="7">
                  <c:v>2178.9115502901782</c:v>
                </c:pt>
                <c:pt idx="8">
                  <c:v>3453.8359448220758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3746.559202054731</c:v>
                </c:pt>
                <c:pt idx="1">
                  <c:v>8199.5797102003853</c:v>
                </c:pt>
                <c:pt idx="2">
                  <c:v>4781.923896536362</c:v>
                </c:pt>
                <c:pt idx="3">
                  <c:v>3741.7432874574629</c:v>
                </c:pt>
                <c:pt idx="4">
                  <c:v>3028.9282668384967</c:v>
                </c:pt>
                <c:pt idx="5">
                  <c:v>3133.5407600361896</c:v>
                </c:pt>
                <c:pt idx="6">
                  <c:v>2787.0869152161558</c:v>
                </c:pt>
                <c:pt idx="7">
                  <c:v>1957.2722281630472</c:v>
                </c:pt>
                <c:pt idx="8">
                  <c:v>3598.3337334970051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11.494526148177284</c:v>
                </c:pt>
                <c:pt idx="1">
                  <c:v>26.19743029483751</c:v>
                </c:pt>
                <c:pt idx="2">
                  <c:v>13.517712544172142</c:v>
                </c:pt>
                <c:pt idx="3">
                  <c:v>8.6642192973352259</c:v>
                </c:pt>
                <c:pt idx="4">
                  <c:v>7.9590690047033581</c:v>
                </c:pt>
                <c:pt idx="5">
                  <c:v>9.6766178702901264</c:v>
                </c:pt>
                <c:pt idx="6">
                  <c:v>7.4969019305036175</c:v>
                </c:pt>
                <c:pt idx="7">
                  <c:v>5.7999333853409984</c:v>
                </c:pt>
                <c:pt idx="8">
                  <c:v>9.1935895246397425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10.712116168497275</c:v>
                </c:pt>
                <c:pt idx="1">
                  <c:v>23.4441378479615</c:v>
                </c:pt>
                <c:pt idx="2">
                  <c:v>13.672418217899111</c:v>
                </c:pt>
                <c:pt idx="3">
                  <c:v>10.698346564484289</c:v>
                </c:pt>
                <c:pt idx="4">
                  <c:v>8.6602745907830716</c:v>
                </c:pt>
                <c:pt idx="5">
                  <c:v>8.9593813496447066</c:v>
                </c:pt>
                <c:pt idx="6">
                  <c:v>7.9688047612114135</c:v>
                </c:pt>
                <c:pt idx="7">
                  <c:v>5.5962087746958229</c:v>
                </c:pt>
                <c:pt idx="8">
                  <c:v>10.288311724822798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9.5240865431101476</c:v>
                </c:pt>
                <c:pt idx="1">
                  <c:v>20.458417263775491</c:v>
                </c:pt>
                <c:pt idx="2">
                  <c:v>12.537058244803969</c:v>
                </c:pt>
                <c:pt idx="3">
                  <c:v>11.099400538933416</c:v>
                </c:pt>
                <c:pt idx="4">
                  <c:v>10.366919789235356</c:v>
                </c:pt>
                <c:pt idx="5">
                  <c:v>9.3552514649410181</c:v>
                </c:pt>
                <c:pt idx="6">
                  <c:v>8.5787438080003895</c:v>
                </c:pt>
                <c:pt idx="7">
                  <c:v>6.2782819129797591</c:v>
                </c:pt>
                <c:pt idx="8">
                  <c:v>11.801840434220438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8.3727699448822385E-2</c:v>
                </c:pt>
                <c:pt idx="1">
                  <c:v>9.1726817458934642E-2</c:v>
                </c:pt>
                <c:pt idx="2">
                  <c:v>9.377046883037099E-2</c:v>
                </c:pt>
                <c:pt idx="3">
                  <c:v>9.4600932540396962E-2</c:v>
                </c:pt>
                <c:pt idx="4">
                  <c:v>9.3534494631461768E-2</c:v>
                </c:pt>
                <c:pt idx="5">
                  <c:v>9.5240865431101482E-2</c:v>
                </c:pt>
                <c:pt idx="6">
                  <c:v>9.6334310790491331E-2</c:v>
                </c:pt>
                <c:pt idx="7">
                  <c:v>9.9857282226859065E-2</c:v>
                </c:pt>
                <c:pt idx="8">
                  <c:v>0.10095304571260803</c:v>
                </c:pt>
                <c:pt idx="9">
                  <c:v>0.10399335840570342</c:v>
                </c:pt>
                <c:pt idx="10">
                  <c:v>0.10712116168497275</c:v>
                </c:pt>
                <c:pt idx="11">
                  <c:v>0.1042033063202482</c:v>
                </c:pt>
                <c:pt idx="12">
                  <c:v>0.10495076724387276</c:v>
                </c:pt>
                <c:pt idx="13">
                  <c:v>0.10571818977586613</c:v>
                </c:pt>
                <c:pt idx="14">
                  <c:v>0.10647762444612487</c:v>
                </c:pt>
                <c:pt idx="15">
                  <c:v>0.10722917995360076</c:v>
                </c:pt>
                <c:pt idx="16">
                  <c:v>0.10798946001772064</c:v>
                </c:pt>
                <c:pt idx="17">
                  <c:v>0.10875110353591319</c:v>
                </c:pt>
                <c:pt idx="18">
                  <c:v>0.10951669178475985</c:v>
                </c:pt>
                <c:pt idx="19">
                  <c:v>0.11028433776268672</c:v>
                </c:pt>
                <c:pt idx="20">
                  <c:v>0.11105709120788367</c:v>
                </c:pt>
                <c:pt idx="21">
                  <c:v>0.11183089637668052</c:v>
                </c:pt>
                <c:pt idx="22">
                  <c:v>0.1126071926843752</c:v>
                </c:pt>
                <c:pt idx="23">
                  <c:v>0.11338453512162538</c:v>
                </c:pt>
                <c:pt idx="24">
                  <c:v>0.11416382123959125</c:v>
                </c:pt>
                <c:pt idx="25">
                  <c:v>0.11494526148177284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0.20568868954862388</c:v>
                </c:pt>
                <c:pt idx="1">
                  <c:v>0.20249400348161431</c:v>
                </c:pt>
                <c:pt idx="2">
                  <c:v>0.20255578755395137</c:v>
                </c:pt>
                <c:pt idx="3">
                  <c:v>0.20635518585664145</c:v>
                </c:pt>
                <c:pt idx="4">
                  <c:v>0.20587149696100779</c:v>
                </c:pt>
                <c:pt idx="5">
                  <c:v>0.20458417263775491</c:v>
                </c:pt>
                <c:pt idx="6">
                  <c:v>0.21180588428164684</c:v>
                </c:pt>
                <c:pt idx="7">
                  <c:v>0.20952600063592083</c:v>
                </c:pt>
                <c:pt idx="8">
                  <c:v>0.21599820491217925</c:v>
                </c:pt>
                <c:pt idx="9">
                  <c:v>0.22158725044914046</c:v>
                </c:pt>
                <c:pt idx="10">
                  <c:v>0.23444137847961499</c:v>
                </c:pt>
                <c:pt idx="11">
                  <c:v>0.24066459074449029</c:v>
                </c:pt>
                <c:pt idx="12">
                  <c:v>0.24222259760772627</c:v>
                </c:pt>
                <c:pt idx="13">
                  <c:v>0.24373430476143057</c:v>
                </c:pt>
                <c:pt idx="14">
                  <c:v>0.2452351202521427</c:v>
                </c:pt>
                <c:pt idx="15">
                  <c:v>0.24674961772911194</c:v>
                </c:pt>
                <c:pt idx="16">
                  <c:v>0.24826935014780868</c:v>
                </c:pt>
                <c:pt idx="17">
                  <c:v>0.24979094083747777</c:v>
                </c:pt>
                <c:pt idx="18">
                  <c:v>0.25131502828643165</c:v>
                </c:pt>
                <c:pt idx="19">
                  <c:v>0.25284047813055888</c:v>
                </c:pt>
                <c:pt idx="20">
                  <c:v>0.25436643393574843</c:v>
                </c:pt>
                <c:pt idx="21">
                  <c:v>0.25588962200045035</c:v>
                </c:pt>
                <c:pt idx="22">
                  <c:v>0.25741188760199868</c:v>
                </c:pt>
                <c:pt idx="23">
                  <c:v>0.25893276501472251</c:v>
                </c:pt>
                <c:pt idx="24">
                  <c:v>0.26045346767106631</c:v>
                </c:pt>
                <c:pt idx="25">
                  <c:v>0.26197430294837509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0.12188298224435183</c:v>
                </c:pt>
                <c:pt idx="1">
                  <c:v>0.12374156407142219</c:v>
                </c:pt>
                <c:pt idx="2">
                  <c:v>0.1265528001700591</c:v>
                </c:pt>
                <c:pt idx="3">
                  <c:v>0.12501100134762361</c:v>
                </c:pt>
                <c:pt idx="4">
                  <c:v>0.12523321181152944</c:v>
                </c:pt>
                <c:pt idx="5">
                  <c:v>0.1253705824480397</c:v>
                </c:pt>
                <c:pt idx="6">
                  <c:v>0.12713200275017647</c:v>
                </c:pt>
                <c:pt idx="7">
                  <c:v>0.12903432413993454</c:v>
                </c:pt>
                <c:pt idx="8">
                  <c:v>0.13027733968081889</c:v>
                </c:pt>
                <c:pt idx="9">
                  <c:v>0.129247125124137</c:v>
                </c:pt>
                <c:pt idx="10">
                  <c:v>0.1367241821789911</c:v>
                </c:pt>
                <c:pt idx="11">
                  <c:v>0.12904526300696254</c:v>
                </c:pt>
                <c:pt idx="12">
                  <c:v>0.12947587516145112</c:v>
                </c:pt>
                <c:pt idx="13">
                  <c:v>0.1299058085115864</c:v>
                </c:pt>
                <c:pt idx="14">
                  <c:v>0.13033389594166231</c:v>
                </c:pt>
                <c:pt idx="15">
                  <c:v>0.13076402302314977</c:v>
                </c:pt>
                <c:pt idx="16">
                  <c:v>0.13119821337651624</c:v>
                </c:pt>
                <c:pt idx="17">
                  <c:v>0.13163544588027049</c:v>
                </c:pt>
                <c:pt idx="18">
                  <c:v>0.13207394634560293</c:v>
                </c:pt>
                <c:pt idx="19">
                  <c:v>0.13251403094618064</c:v>
                </c:pt>
                <c:pt idx="20">
                  <c:v>0.13295611485089726</c:v>
                </c:pt>
                <c:pt idx="21">
                  <c:v>0.13339862909151104</c:v>
                </c:pt>
                <c:pt idx="22">
                  <c:v>0.13384219395740787</c:v>
                </c:pt>
                <c:pt idx="23">
                  <c:v>0.13428615462825028</c:v>
                </c:pt>
                <c:pt idx="24">
                  <c:v>0.13473111941492072</c:v>
                </c:pt>
                <c:pt idx="25">
                  <c:v>0.13517712544172142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0.11655897307391488</c:v>
                </c:pt>
                <c:pt idx="1">
                  <c:v>0.1149302391146915</c:v>
                </c:pt>
                <c:pt idx="2">
                  <c:v>0.11429831548274319</c:v>
                </c:pt>
                <c:pt idx="3">
                  <c:v>0.11206529861190953</c:v>
                </c:pt>
                <c:pt idx="4">
                  <c:v>0.11134142596718992</c:v>
                </c:pt>
                <c:pt idx="5">
                  <c:v>0.11099400538933417</c:v>
                </c:pt>
                <c:pt idx="6">
                  <c:v>0.10600383369088505</c:v>
                </c:pt>
                <c:pt idx="7">
                  <c:v>0.10852537159609643</c:v>
                </c:pt>
                <c:pt idx="8">
                  <c:v>0.10668165707817738</c:v>
                </c:pt>
                <c:pt idx="9">
                  <c:v>0.10257384839191185</c:v>
                </c:pt>
                <c:pt idx="10">
                  <c:v>0.1069834656448429</c:v>
                </c:pt>
                <c:pt idx="11">
                  <c:v>0.1025493024783667</c:v>
                </c:pt>
                <c:pt idx="12">
                  <c:v>0.10147436417485482</c:v>
                </c:pt>
                <c:pt idx="13">
                  <c:v>0.10033891233306455</c:v>
                </c:pt>
                <c:pt idx="14">
                  <c:v>9.9209637067020559E-2</c:v>
                </c:pt>
                <c:pt idx="15">
                  <c:v>9.8097007630803382E-2</c:v>
                </c:pt>
                <c:pt idx="16">
                  <c:v>9.6972203903382792E-2</c:v>
                </c:pt>
                <c:pt idx="17">
                  <c:v>9.5845363336972841E-2</c:v>
                </c:pt>
                <c:pt idx="18">
                  <c:v>9.471236709307615E-2</c:v>
                </c:pt>
                <c:pt idx="19">
                  <c:v>9.3575407401527422E-2</c:v>
                </c:pt>
                <c:pt idx="20">
                  <c:v>9.2430466001659967E-2</c:v>
                </c:pt>
                <c:pt idx="21">
                  <c:v>9.1281479142871089E-2</c:v>
                </c:pt>
                <c:pt idx="22">
                  <c:v>9.0127453279971223E-2</c:v>
                </c:pt>
                <c:pt idx="23">
                  <c:v>8.8969847242058309E-2</c:v>
                </c:pt>
                <c:pt idx="24">
                  <c:v>8.7808142414514984E-2</c:v>
                </c:pt>
                <c:pt idx="25">
                  <c:v>8.6642192973352267E-2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0.10561219265663149</c:v>
                </c:pt>
                <c:pt idx="1">
                  <c:v>0.104246259581063</c:v>
                </c:pt>
                <c:pt idx="2">
                  <c:v>0.10214150196650792</c:v>
                </c:pt>
                <c:pt idx="3">
                  <c:v>0.10234713389916093</c:v>
                </c:pt>
                <c:pt idx="4">
                  <c:v>0.10400988629361597</c:v>
                </c:pt>
                <c:pt idx="5">
                  <c:v>0.10366919789235356</c:v>
                </c:pt>
                <c:pt idx="6">
                  <c:v>9.9903565168572975E-2</c:v>
                </c:pt>
                <c:pt idx="7">
                  <c:v>9.986813319341481E-2</c:v>
                </c:pt>
                <c:pt idx="8">
                  <c:v>9.6368391546500287E-2</c:v>
                </c:pt>
                <c:pt idx="9">
                  <c:v>9.7114552644476146E-2</c:v>
                </c:pt>
                <c:pt idx="10">
                  <c:v>8.6602745907830722E-2</c:v>
                </c:pt>
                <c:pt idx="11">
                  <c:v>8.7530547144763549E-2</c:v>
                </c:pt>
                <c:pt idx="12">
                  <c:v>8.6903116261127178E-2</c:v>
                </c:pt>
                <c:pt idx="13">
                  <c:v>8.6370580925906354E-2</c:v>
                </c:pt>
                <c:pt idx="14">
                  <c:v>8.582118579811919E-2</c:v>
                </c:pt>
                <c:pt idx="15">
                  <c:v>8.5229914197017184E-2</c:v>
                </c:pt>
                <c:pt idx="16">
                  <c:v>8.4650440125529733E-2</c:v>
                </c:pt>
                <c:pt idx="17">
                  <c:v>8.4069635934443457E-2</c:v>
                </c:pt>
                <c:pt idx="18">
                  <c:v>8.3495113291013459E-2</c:v>
                </c:pt>
                <c:pt idx="19">
                  <c:v>8.2922428093777881E-2</c:v>
                </c:pt>
                <c:pt idx="20">
                  <c:v>8.2359110633354521E-2</c:v>
                </c:pt>
                <c:pt idx="21">
                  <c:v>8.1798979819745488E-2</c:v>
                </c:pt>
                <c:pt idx="22">
                  <c:v>8.1243428766914191E-2</c:v>
                </c:pt>
                <c:pt idx="23">
                  <c:v>8.0689730902402626E-2</c:v>
                </c:pt>
                <c:pt idx="24">
                  <c:v>8.0138769688949507E-2</c:v>
                </c:pt>
                <c:pt idx="25">
                  <c:v>7.9590690047033577E-2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9.4121417069764957E-2</c:v>
                </c:pt>
                <c:pt idx="1">
                  <c:v>9.1539340603884523E-2</c:v>
                </c:pt>
                <c:pt idx="2">
                  <c:v>9.0657448975328694E-2</c:v>
                </c:pt>
                <c:pt idx="3">
                  <c:v>9.2203696985798902E-2</c:v>
                </c:pt>
                <c:pt idx="4">
                  <c:v>9.2871581069780454E-2</c:v>
                </c:pt>
                <c:pt idx="5">
                  <c:v>9.3552514649410182E-2</c:v>
                </c:pt>
                <c:pt idx="6">
                  <c:v>9.4129584783293599E-2</c:v>
                </c:pt>
                <c:pt idx="7">
                  <c:v>9.2939720805205406E-2</c:v>
                </c:pt>
                <c:pt idx="8">
                  <c:v>9.079963838831405E-2</c:v>
                </c:pt>
                <c:pt idx="9">
                  <c:v>9.1931968061577232E-2</c:v>
                </c:pt>
                <c:pt idx="10">
                  <c:v>8.9593813496447058E-2</c:v>
                </c:pt>
                <c:pt idx="11">
                  <c:v>9.1808796203598664E-2</c:v>
                </c:pt>
                <c:pt idx="12">
                  <c:v>9.2172371630281358E-2</c:v>
                </c:pt>
                <c:pt idx="13">
                  <c:v>9.2507259792424495E-2</c:v>
                </c:pt>
                <c:pt idx="14">
                  <c:v>9.2860402387192384E-2</c:v>
                </c:pt>
                <c:pt idx="15">
                  <c:v>9.3229382064168961E-2</c:v>
                </c:pt>
                <c:pt idx="16">
                  <c:v>9.3587131724052641E-2</c:v>
                </c:pt>
                <c:pt idx="17">
                  <c:v>9.3949202464751316E-2</c:v>
                </c:pt>
                <c:pt idx="18">
                  <c:v>9.4305749123697463E-2</c:v>
                </c:pt>
                <c:pt idx="19">
                  <c:v>9.4661883310458814E-2</c:v>
                </c:pt>
                <c:pt idx="20">
                  <c:v>9.5012602139490976E-2</c:v>
                </c:pt>
                <c:pt idx="21">
                  <c:v>9.5364433048933023E-2</c:v>
                </c:pt>
                <c:pt idx="22">
                  <c:v>9.5715088656624564E-2</c:v>
                </c:pt>
                <c:pt idx="23">
                  <c:v>9.6066110278506159E-2</c:v>
                </c:pt>
                <c:pt idx="24">
                  <c:v>9.6416630045233334E-2</c:v>
                </c:pt>
                <c:pt idx="25">
                  <c:v>9.6766178702901259E-2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8.4704791663883422E-2</c:v>
                </c:pt>
                <c:pt idx="1">
                  <c:v>8.9288933889150435E-2</c:v>
                </c:pt>
                <c:pt idx="2">
                  <c:v>9.0839541645940033E-2</c:v>
                </c:pt>
                <c:pt idx="3">
                  <c:v>8.8238122173894942E-2</c:v>
                </c:pt>
                <c:pt idx="4">
                  <c:v>8.6445187548179175E-2</c:v>
                </c:pt>
                <c:pt idx="5">
                  <c:v>8.5787438080003886E-2</c:v>
                </c:pt>
                <c:pt idx="6">
                  <c:v>8.5352812276523818E-2</c:v>
                </c:pt>
                <c:pt idx="7">
                  <c:v>8.3749714043113599E-2</c:v>
                </c:pt>
                <c:pt idx="8">
                  <c:v>8.226732568181773E-2</c:v>
                </c:pt>
                <c:pt idx="9">
                  <c:v>7.9662606087958845E-2</c:v>
                </c:pt>
                <c:pt idx="10">
                  <c:v>7.9688047612114135E-2</c:v>
                </c:pt>
                <c:pt idx="11">
                  <c:v>7.8933652349274908E-2</c:v>
                </c:pt>
                <c:pt idx="12">
                  <c:v>7.8667158866261466E-2</c:v>
                </c:pt>
                <c:pt idx="13">
                  <c:v>7.8384937903831053E-2</c:v>
                </c:pt>
                <c:pt idx="14">
                  <c:v>7.811310165892324E-2</c:v>
                </c:pt>
                <c:pt idx="15">
                  <c:v>7.784941568425964E-2</c:v>
                </c:pt>
                <c:pt idx="16">
                  <c:v>7.7575994872198017E-2</c:v>
                </c:pt>
                <c:pt idx="17">
                  <c:v>7.7299488149597875E-2</c:v>
                </c:pt>
                <c:pt idx="18">
                  <c:v>7.701847279512565E-2</c:v>
                </c:pt>
                <c:pt idx="19">
                  <c:v>7.673468279604434E-2</c:v>
                </c:pt>
                <c:pt idx="20">
                  <c:v>7.6444991720602859E-2</c:v>
                </c:pt>
                <c:pt idx="21">
                  <c:v>7.6154196583505598E-2</c:v>
                </c:pt>
                <c:pt idx="22">
                  <c:v>7.5860512752459669E-2</c:v>
                </c:pt>
                <c:pt idx="23">
                  <c:v>7.5565801427690496E-2</c:v>
                </c:pt>
                <c:pt idx="24">
                  <c:v>7.5268711412708869E-2</c:v>
                </c:pt>
                <c:pt idx="25">
                  <c:v>7.4969019305036175E-2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6.4972969594261909E-2</c:v>
                </c:pt>
                <c:pt idx="1">
                  <c:v>6.3445309076620174E-2</c:v>
                </c:pt>
                <c:pt idx="2">
                  <c:v>6.2367286902400967E-2</c:v>
                </c:pt>
                <c:pt idx="3">
                  <c:v>6.2556710821646516E-2</c:v>
                </c:pt>
                <c:pt idx="4">
                  <c:v>6.306683331211764E-2</c:v>
                </c:pt>
                <c:pt idx="5">
                  <c:v>6.2782819129797593E-2</c:v>
                </c:pt>
                <c:pt idx="6">
                  <c:v>6.3721902495726762E-2</c:v>
                </c:pt>
                <c:pt idx="7">
                  <c:v>6.349913865396889E-2</c:v>
                </c:pt>
                <c:pt idx="8">
                  <c:v>6.4500525550127336E-2</c:v>
                </c:pt>
                <c:pt idx="9">
                  <c:v>6.2457795959581605E-2</c:v>
                </c:pt>
                <c:pt idx="10">
                  <c:v>5.5962087746958225E-2</c:v>
                </c:pt>
                <c:pt idx="11">
                  <c:v>6.2367744805926092E-2</c:v>
                </c:pt>
                <c:pt idx="12">
                  <c:v>6.2029247145336711E-2</c:v>
                </c:pt>
                <c:pt idx="13">
                  <c:v>6.1725192222403719E-2</c:v>
                </c:pt>
                <c:pt idx="14">
                  <c:v>6.1412003833052155E-2</c:v>
                </c:pt>
                <c:pt idx="15">
                  <c:v>6.1085995594308017E-2</c:v>
                </c:pt>
                <c:pt idx="16">
                  <c:v>6.0768835919654381E-2</c:v>
                </c:pt>
                <c:pt idx="17">
                  <c:v>6.045017703480543E-2</c:v>
                </c:pt>
                <c:pt idx="18">
                  <c:v>6.0136026748772733E-2</c:v>
                </c:pt>
                <c:pt idx="19">
                  <c:v>5.9823264458841709E-2</c:v>
                </c:pt>
                <c:pt idx="20">
                  <c:v>5.9515533658221473E-2</c:v>
                </c:pt>
                <c:pt idx="21">
                  <c:v>5.9208857479284553E-2</c:v>
                </c:pt>
                <c:pt idx="22">
                  <c:v>5.8904414437762884E-2</c:v>
                </c:pt>
                <c:pt idx="23">
                  <c:v>5.8601128052420584E-2</c:v>
                </c:pt>
                <c:pt idx="24">
                  <c:v>5.8299365294930558E-2</c:v>
                </c:pt>
                <c:pt idx="25">
                  <c:v>5.7999333853409982E-2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0.12273028469974523</c:v>
                </c:pt>
                <c:pt idx="1">
                  <c:v>0.11858753272261911</c:v>
                </c:pt>
                <c:pt idx="2">
                  <c:v>0.1168168484726978</c:v>
                </c:pt>
                <c:pt idx="3">
                  <c:v>0.11662191776292724</c:v>
                </c:pt>
                <c:pt idx="4">
                  <c:v>0.11762588240511763</c:v>
                </c:pt>
                <c:pt idx="5">
                  <c:v>0.11801840434220438</c:v>
                </c:pt>
                <c:pt idx="6">
                  <c:v>0.11561610376268315</c:v>
                </c:pt>
                <c:pt idx="7">
                  <c:v>0.11300031470548642</c:v>
                </c:pt>
                <c:pt idx="8">
                  <c:v>0.11215387144945708</c:v>
                </c:pt>
                <c:pt idx="9">
                  <c:v>0.11143149487551336</c:v>
                </c:pt>
                <c:pt idx="10">
                  <c:v>0.10288311724822798</c:v>
                </c:pt>
                <c:pt idx="11">
                  <c:v>0.10289679694636907</c:v>
                </c:pt>
                <c:pt idx="12">
                  <c:v>0.10210450190908818</c:v>
                </c:pt>
                <c:pt idx="13">
                  <c:v>0.10131481377348683</c:v>
                </c:pt>
                <c:pt idx="14">
                  <c:v>0.10053702861576257</c:v>
                </c:pt>
                <c:pt idx="15">
                  <c:v>9.9765464123580408E-2</c:v>
                </c:pt>
                <c:pt idx="16">
                  <c:v>9.8988369913136934E-2</c:v>
                </c:pt>
                <c:pt idx="17">
                  <c:v>9.8208642825767509E-2</c:v>
                </c:pt>
                <c:pt idx="18">
                  <c:v>9.7426604531519995E-2</c:v>
                </c:pt>
                <c:pt idx="19">
                  <c:v>9.6643487099923653E-2</c:v>
                </c:pt>
                <c:pt idx="20">
                  <c:v>9.5857655852140858E-2</c:v>
                </c:pt>
                <c:pt idx="21">
                  <c:v>9.5072906457018255E-2</c:v>
                </c:pt>
                <c:pt idx="22">
                  <c:v>9.4287827862485754E-2</c:v>
                </c:pt>
                <c:pt idx="23">
                  <c:v>9.3503927332323683E-2</c:v>
                </c:pt>
                <c:pt idx="24">
                  <c:v>9.271997281808432E-2</c:v>
                </c:pt>
                <c:pt idx="25">
                  <c:v>9.1935895246397434E-2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472.30039765497804</c:v>
                </c:pt>
                <c:pt idx="1">
                  <c:v>950.95215294919217</c:v>
                </c:pt>
                <c:pt idx="2">
                  <c:v>351.35465469113296</c:v>
                </c:pt>
                <c:pt idx="3">
                  <c:v>-108.08802179798249</c:v>
                </c:pt>
                <c:pt idx="4">
                  <c:v>-54.63242649696258</c:v>
                </c:pt>
                <c:pt idx="5">
                  <c:v>102.5723884727322</c:v>
                </c:pt>
                <c:pt idx="6">
                  <c:v>-69.99234625794179</c:v>
                </c:pt>
                <c:pt idx="7">
                  <c:v>95.802585051613733</c:v>
                </c:pt>
                <c:pt idx="8">
                  <c:v>-31.250384266643323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00"/>
          <c:min val="-1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68.833666063575947</c:v>
                </c:pt>
                <c:pt idx="1">
                  <c:v>363.14571171748867</c:v>
                </c:pt>
                <c:pt idx="2">
                  <c:v>211.0987995327323</c:v>
                </c:pt>
                <c:pt idx="3">
                  <c:v>114.21872878208751</c:v>
                </c:pt>
                <c:pt idx="4">
                  <c:v>-405.52827589163144</c:v>
                </c:pt>
                <c:pt idx="5">
                  <c:v>-117.63365818937882</c:v>
                </c:pt>
                <c:pt idx="6">
                  <c:v>-30.181467734948455</c:v>
                </c:pt>
                <c:pt idx="7">
                  <c:v>-251.54797577875206</c:v>
                </c:pt>
                <c:pt idx="8">
                  <c:v>-342.44152850152568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00"/>
          <c:min val="-1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116.08506048816116</c:v>
                </c:pt>
                <c:pt idx="1">
                  <c:v>688.91496651378475</c:v>
                </c:pt>
                <c:pt idx="2">
                  <c:v>-71.49989165302577</c:v>
                </c:pt>
                <c:pt idx="3">
                  <c:v>-208.06109515020898</c:v>
                </c:pt>
                <c:pt idx="4">
                  <c:v>41.251316858640621</c:v>
                </c:pt>
                <c:pt idx="5">
                  <c:v>224.79824699907658</c:v>
                </c:pt>
                <c:pt idx="6">
                  <c:v>17.22995977291248</c:v>
                </c:pt>
                <c:pt idx="7">
                  <c:v>243.18729699767755</c:v>
                </c:pt>
                <c:pt idx="8">
                  <c:v>-4.5498608270336263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00"/>
          <c:min val="-1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455.60460781089068</c:v>
                </c:pt>
                <c:pt idx="1">
                  <c:v>953.32240373963214</c:v>
                </c:pt>
                <c:pt idx="2">
                  <c:v>367.89294103920929</c:v>
                </c:pt>
                <c:pt idx="3">
                  <c:v>-278.71937688504886</c:v>
                </c:pt>
                <c:pt idx="4">
                  <c:v>-80.12672761849899</c:v>
                </c:pt>
                <c:pt idx="5">
                  <c:v>276.96040840446312</c:v>
                </c:pt>
                <c:pt idx="6">
                  <c:v>12.109646228066595</c:v>
                </c:pt>
                <c:pt idx="7">
                  <c:v>-21.547974870546568</c:v>
                </c:pt>
                <c:pt idx="8">
                  <c:v>-139.9479278478957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00"/>
          <c:min val="-1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571.68966829905185</c:v>
                </c:pt>
                <c:pt idx="1">
                  <c:v>1642.2373702534169</c:v>
                </c:pt>
                <c:pt idx="2">
                  <c:v>296.39304938618352</c:v>
                </c:pt>
                <c:pt idx="3">
                  <c:v>-486.78047203525784</c:v>
                </c:pt>
                <c:pt idx="4">
                  <c:v>-38.875410759858369</c:v>
                </c:pt>
                <c:pt idx="5">
                  <c:v>501.75865540353971</c:v>
                </c:pt>
                <c:pt idx="6">
                  <c:v>29.339606000979074</c:v>
                </c:pt>
                <c:pt idx="7">
                  <c:v>221.63932212713098</c:v>
                </c:pt>
                <c:pt idx="8">
                  <c:v>-144.49778867492932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339.87768416105973</c:v>
                </c:pt>
                <c:pt idx="1">
                  <c:v>959.44681204836979</c:v>
                </c:pt>
                <c:pt idx="2">
                  <c:v>345.74692536964903</c:v>
                </c:pt>
                <c:pt idx="3">
                  <c:v>-545.50403021819648</c:v>
                </c:pt>
                <c:pt idx="4">
                  <c:v>90.164684363782953</c:v>
                </c:pt>
                <c:pt idx="5">
                  <c:v>314.29718435949826</c:v>
                </c:pt>
                <c:pt idx="6">
                  <c:v>-51.593264892945626</c:v>
                </c:pt>
                <c:pt idx="7">
                  <c:v>96.884118276103209</c:v>
                </c:pt>
                <c:pt idx="8">
                  <c:v>-97.269113467175202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231.81198413798893</c:v>
                </c:pt>
                <c:pt idx="1">
                  <c:v>682.79055820504072</c:v>
                </c:pt>
                <c:pt idx="2">
                  <c:v>-49.353875983463695</c:v>
                </c:pt>
                <c:pt idx="3">
                  <c:v>58.723558182951365</c:v>
                </c:pt>
                <c:pt idx="4">
                  <c:v>-129.04009512363791</c:v>
                </c:pt>
                <c:pt idx="5">
                  <c:v>187.46147104404338</c:v>
                </c:pt>
                <c:pt idx="6">
                  <c:v>80.932870893921518</c:v>
                </c:pt>
                <c:pt idx="7">
                  <c:v>124.7552038510255</c:v>
                </c:pt>
                <c:pt idx="8">
                  <c:v>-47.228675207747983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104.09551711949223</c:v>
                </c:pt>
                <c:pt idx="1">
                  <c:v>3.2295535825983279</c:v>
                </c:pt>
                <c:pt idx="2">
                  <c:v>41.44287310390223</c:v>
                </c:pt>
                <c:pt idx="3">
                  <c:v>2.2811880427184406</c:v>
                </c:pt>
                <c:pt idx="4">
                  <c:v>105.9400156136328</c:v>
                </c:pt>
                <c:pt idx="5">
                  <c:v>69.221468540039439</c:v>
                </c:pt>
                <c:pt idx="6">
                  <c:v>-18.669561839703633</c:v>
                </c:pt>
                <c:pt idx="7">
                  <c:v>81.417480301653484</c:v>
                </c:pt>
                <c:pt idx="8">
                  <c:v>75.372465548127707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138.65357897620066</c:v>
                </c:pt>
                <c:pt idx="1">
                  <c:v>397.46635308025543</c:v>
                </c:pt>
                <c:pt idx="2">
                  <c:v>80.398486792127073</c:v>
                </c:pt>
                <c:pt idx="3">
                  <c:v>-198.67111203873856</c:v>
                </c:pt>
                <c:pt idx="4">
                  <c:v>49.053808570446392</c:v>
                </c:pt>
                <c:pt idx="5">
                  <c:v>122.3171541385866</c:v>
                </c:pt>
                <c:pt idx="6">
                  <c:v>23.667923896822685</c:v>
                </c:pt>
                <c:pt idx="7">
                  <c:v>110.81998179866133</c:v>
                </c:pt>
                <c:pt idx="8">
                  <c:v>-185.69117524459921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328.94057220335162</c:v>
                </c:pt>
                <c:pt idx="1">
                  <c:v>1241.5414635905554</c:v>
                </c:pt>
                <c:pt idx="2">
                  <c:v>174.55168949015251</c:v>
                </c:pt>
                <c:pt idx="3">
                  <c:v>-290.39054803923545</c:v>
                </c:pt>
                <c:pt idx="4">
                  <c:v>-193.86923494393432</c:v>
                </c:pt>
                <c:pt idx="5">
                  <c:v>310.22003272492475</c:v>
                </c:pt>
                <c:pt idx="6">
                  <c:v>24.341243943858558</c:v>
                </c:pt>
                <c:pt idx="7">
                  <c:v>29.401860026813665</c:v>
                </c:pt>
                <c:pt idx="8">
                  <c:v>-34.179078978457255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28.058181787341226</c:v>
                </c:pt>
                <c:pt idx="1">
                  <c:v>31.327782270644036</c:v>
                </c:pt>
                <c:pt idx="2">
                  <c:v>35.454823255376766</c:v>
                </c:pt>
                <c:pt idx="3">
                  <c:v>-11.712562948491154</c:v>
                </c:pt>
                <c:pt idx="4">
                  <c:v>34.71610487825383</c:v>
                </c:pt>
                <c:pt idx="5">
                  <c:v>42.841206382860037</c:v>
                </c:pt>
                <c:pt idx="6">
                  <c:v>-8.7958275915744082</c:v>
                </c:pt>
                <c:pt idx="7">
                  <c:v>10.320174089690894</c:v>
                </c:pt>
                <c:pt idx="8">
                  <c:v>28.746117887287426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74.20924618795334</c:v>
                </c:pt>
                <c:pt idx="1">
                  <c:v>263.12307302691352</c:v>
                </c:pt>
                <c:pt idx="2">
                  <c:v>95.580161161198021</c:v>
                </c:pt>
                <c:pt idx="3">
                  <c:v>-192.99197595592386</c:v>
                </c:pt>
                <c:pt idx="4">
                  <c:v>19.747168392702577</c:v>
                </c:pt>
                <c:pt idx="5">
                  <c:v>74.251941247363902</c:v>
                </c:pt>
                <c:pt idx="6">
                  <c:v>-10.444348872580349</c:v>
                </c:pt>
                <c:pt idx="7">
                  <c:v>58.482775324440013</c:v>
                </c:pt>
                <c:pt idx="8">
                  <c:v>-168.69204054485658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237.6102561857623</c:v>
                </c:pt>
                <c:pt idx="1">
                  <c:v>664.99595675081764</c:v>
                </c:pt>
                <c:pt idx="2">
                  <c:v>214.71194095306851</c:v>
                </c:pt>
                <c:pt idx="3">
                  <c:v>-340.7994913137918</c:v>
                </c:pt>
                <c:pt idx="4">
                  <c:v>35.701411092826987</c:v>
                </c:pt>
                <c:pt idx="5">
                  <c:v>197.20403672928182</c:v>
                </c:pt>
                <c:pt idx="6">
                  <c:v>-32.353088428792319</c:v>
                </c:pt>
                <c:pt idx="7">
                  <c:v>28.081168861971918</c:v>
                </c:pt>
                <c:pt idx="8">
                  <c:v>42.676809190394692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76.037335332151486</c:v>
                </c:pt>
                <c:pt idx="1">
                  <c:v>-28.098228688046049</c:v>
                </c:pt>
                <c:pt idx="2">
                  <c:v>5.9880498485254634</c:v>
                </c:pt>
                <c:pt idx="3">
                  <c:v>13.99375099120941</c:v>
                </c:pt>
                <c:pt idx="4">
                  <c:v>71.223910735379377</c:v>
                </c:pt>
                <c:pt idx="5">
                  <c:v>26.380262157179288</c:v>
                </c:pt>
                <c:pt idx="6">
                  <c:v>-9.8737342481292387</c:v>
                </c:pt>
                <c:pt idx="7">
                  <c:v>71.097306211963257</c:v>
                </c:pt>
                <c:pt idx="8">
                  <c:v>46.626347660840466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64.444332788246271</c:v>
                </c:pt>
                <c:pt idx="1">
                  <c:v>134.34328005334169</c:v>
                </c:pt>
                <c:pt idx="2">
                  <c:v>-15.181674369070635</c:v>
                </c:pt>
                <c:pt idx="3">
                  <c:v>-5.6791360828154893</c:v>
                </c:pt>
                <c:pt idx="4">
                  <c:v>29.306640177744015</c:v>
                </c:pt>
                <c:pt idx="5">
                  <c:v>48.065212891223268</c:v>
                </c:pt>
                <c:pt idx="6">
                  <c:v>34.11227276940167</c:v>
                </c:pt>
                <c:pt idx="7">
                  <c:v>52.337206474219954</c:v>
                </c:pt>
                <c:pt idx="8">
                  <c:v>-16.999134699743536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91.330316017592168</c:v>
                </c:pt>
                <c:pt idx="1">
                  <c:v>576.54550683974458</c:v>
                </c:pt>
                <c:pt idx="2">
                  <c:v>-40.160251462918268</c:v>
                </c:pt>
                <c:pt idx="3">
                  <c:v>50.40894327455635</c:v>
                </c:pt>
                <c:pt idx="4">
                  <c:v>-229.5706460367619</c:v>
                </c:pt>
                <c:pt idx="5">
                  <c:v>113.01599599564207</c:v>
                </c:pt>
                <c:pt idx="6">
                  <c:v>56.694332372650933</c:v>
                </c:pt>
                <c:pt idx="7">
                  <c:v>1.3206911648419464</c:v>
                </c:pt>
                <c:pt idx="8">
                  <c:v>-76.855888168850356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2103.6837518956218</c:v>
                </c:pt>
                <c:pt idx="1">
                  <c:v>2071.1862802496862</c:v>
                </c:pt>
                <c:pt idx="2">
                  <c:v>1915.9114429994891</c:v>
                </c:pt>
                <c:pt idx="3">
                  <c:v>1900.8972321733556</c:v>
                </c:pt>
                <c:pt idx="4">
                  <c:v>1791.0041030532768</c:v>
                </c:pt>
                <c:pt idx="5">
                  <c:v>1832.3356545038037</c:v>
                </c:pt>
                <c:pt idx="6">
                  <c:v>1705.4315901554571</c:v>
                </c:pt>
                <c:pt idx="7">
                  <c:v>1688.5565705989131</c:v>
                </c:pt>
                <c:pt idx="8">
                  <c:v>1686.7153537388263</c:v>
                </c:pt>
                <c:pt idx="9">
                  <c:v>1677.4726367605974</c:v>
                </c:pt>
                <c:pt idx="10">
                  <c:v>1429.9073944432503</c:v>
                </c:pt>
                <c:pt idx="11">
                  <c:v>1457.5230279686018</c:v>
                </c:pt>
                <c:pt idx="12">
                  <c:v>1371.2180949748763</c:v>
                </c:pt>
                <c:pt idx="13">
                  <c:v>1292.8473144593104</c:v>
                </c:pt>
                <c:pt idx="14">
                  <c:v>1216.2197883767328</c:v>
                </c:pt>
                <c:pt idx="15">
                  <c:v>1191.5707936497847</c:v>
                </c:pt>
                <c:pt idx="16">
                  <c:v>1161.6911613721302</c:v>
                </c:pt>
                <c:pt idx="17">
                  <c:v>1131.2615825294542</c:v>
                </c:pt>
                <c:pt idx="18">
                  <c:v>1100.7687138204756</c:v>
                </c:pt>
                <c:pt idx="19">
                  <c:v>1070.1778580755306</c:v>
                </c:pt>
                <c:pt idx="20">
                  <c:v>1039.8714767289312</c:v>
                </c:pt>
                <c:pt idx="21">
                  <c:v>1009.3329859891269</c:v>
                </c:pt>
                <c:pt idx="22">
                  <c:v>978.65204848733333</c:v>
                </c:pt>
                <c:pt idx="23">
                  <c:v>947.84278627830429</c:v>
                </c:pt>
                <c:pt idx="24">
                  <c:v>919.06224522098955</c:v>
                </c:pt>
                <c:pt idx="25">
                  <c:v>923.40000934655586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4928.7680510806367</c:v>
                </c:pt>
                <c:pt idx="1">
                  <c:v>4766.2850696137557</c:v>
                </c:pt>
                <c:pt idx="2">
                  <c:v>4583.2916611180672</c:v>
                </c:pt>
                <c:pt idx="3">
                  <c:v>4462.8108982621434</c:v>
                </c:pt>
                <c:pt idx="4">
                  <c:v>4585.18967978409</c:v>
                </c:pt>
                <c:pt idx="5">
                  <c:v>4520.7232655943089</c:v>
                </c:pt>
                <c:pt idx="6">
                  <c:v>4452.4536814882977</c:v>
                </c:pt>
                <c:pt idx="7">
                  <c:v>4445.537832652627</c:v>
                </c:pt>
                <c:pt idx="8">
                  <c:v>4485.0559435711166</c:v>
                </c:pt>
                <c:pt idx="9">
                  <c:v>4323.3959219964427</c:v>
                </c:pt>
                <c:pt idx="10">
                  <c:v>3929.3852672825415</c:v>
                </c:pt>
                <c:pt idx="11">
                  <c:v>3889.4408926005308</c:v>
                </c:pt>
                <c:pt idx="12">
                  <c:v>3854.0881812794178</c:v>
                </c:pt>
                <c:pt idx="13">
                  <c:v>3731.3889397707726</c:v>
                </c:pt>
                <c:pt idx="14">
                  <c:v>3668.9877659314388</c:v>
                </c:pt>
                <c:pt idx="15">
                  <c:v>3543.1096039464742</c:v>
                </c:pt>
                <c:pt idx="16">
                  <c:v>3427.5527211062163</c:v>
                </c:pt>
                <c:pt idx="17">
                  <c:v>3309.8078582239996</c:v>
                </c:pt>
                <c:pt idx="18">
                  <c:v>3191.3664315487804</c:v>
                </c:pt>
                <c:pt idx="19">
                  <c:v>3072.1690322449399</c:v>
                </c:pt>
                <c:pt idx="20">
                  <c:v>2953.3857545502437</c:v>
                </c:pt>
                <c:pt idx="21">
                  <c:v>2833.5828891190272</c:v>
                </c:pt>
                <c:pt idx="22">
                  <c:v>2713.0802184235249</c:v>
                </c:pt>
                <c:pt idx="23">
                  <c:v>2591.9401667846023</c:v>
                </c:pt>
                <c:pt idx="24">
                  <c:v>2469.7289015793635</c:v>
                </c:pt>
                <c:pt idx="25">
                  <c:v>2343.6324984872572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6613.8346016393843</c:v>
                </c:pt>
                <c:pt idx="1">
                  <c:v>6726.2624982631969</c:v>
                </c:pt>
                <c:pt idx="2">
                  <c:v>6680.291462567925</c:v>
                </c:pt>
                <c:pt idx="3">
                  <c:v>6589.5306400942145</c:v>
                </c:pt>
                <c:pt idx="4">
                  <c:v>6669.304263970439</c:v>
                </c:pt>
                <c:pt idx="5">
                  <c:v>6682.7821620955383</c:v>
                </c:pt>
                <c:pt idx="6">
                  <c:v>6719.6599449387732</c:v>
                </c:pt>
                <c:pt idx="7">
                  <c:v>6746.043370741354</c:v>
                </c:pt>
                <c:pt idx="8">
                  <c:v>6735.6540516432842</c:v>
                </c:pt>
                <c:pt idx="9">
                  <c:v>6657.6209919773628</c:v>
                </c:pt>
                <c:pt idx="10">
                  <c:v>6248.7447207957857</c:v>
                </c:pt>
                <c:pt idx="11">
                  <c:v>6237.6806995310035</c:v>
                </c:pt>
                <c:pt idx="12">
                  <c:v>6202.4730828383708</c:v>
                </c:pt>
                <c:pt idx="13">
                  <c:v>6137.3571522593202</c:v>
                </c:pt>
                <c:pt idx="14">
                  <c:v>6084.4817150793397</c:v>
                </c:pt>
                <c:pt idx="15">
                  <c:v>5968.0626278923801</c:v>
                </c:pt>
                <c:pt idx="16">
                  <c:v>5867.9557687256038</c:v>
                </c:pt>
                <c:pt idx="17">
                  <c:v>5764.9877682061688</c:v>
                </c:pt>
                <c:pt idx="18">
                  <c:v>5661.563549026685</c:v>
                </c:pt>
                <c:pt idx="19">
                  <c:v>5557.6346901874176</c:v>
                </c:pt>
                <c:pt idx="20">
                  <c:v>5455.2734920415751</c:v>
                </c:pt>
                <c:pt idx="21">
                  <c:v>5351.9995034694884</c:v>
                </c:pt>
                <c:pt idx="22">
                  <c:v>5248.386645805318</c:v>
                </c:pt>
                <c:pt idx="23">
                  <c:v>5144.6312638299696</c:v>
                </c:pt>
                <c:pt idx="24">
                  <c:v>5039.9388139149241</c:v>
                </c:pt>
                <c:pt idx="25">
                  <c:v>4929.3643298447141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6165.9859301777606</c:v>
                </c:pt>
                <c:pt idx="1">
                  <c:v>6108.4635604433943</c:v>
                </c:pt>
                <c:pt idx="2">
                  <c:v>6350.9099979709063</c:v>
                </c:pt>
                <c:pt idx="3">
                  <c:v>6236.2062930284537</c:v>
                </c:pt>
                <c:pt idx="4">
                  <c:v>6593.0717069827751</c:v>
                </c:pt>
                <c:pt idx="5">
                  <c:v>6582.0988171903118</c:v>
                </c:pt>
                <c:pt idx="6">
                  <c:v>6699.8830819243994</c:v>
                </c:pt>
                <c:pt idx="7">
                  <c:v>6755.3983010253187</c:v>
                </c:pt>
                <c:pt idx="8">
                  <c:v>6747.1225262441421</c:v>
                </c:pt>
                <c:pt idx="9">
                  <c:v>6819.7830359985328</c:v>
                </c:pt>
                <c:pt idx="10">
                  <c:v>6743.1586895525825</c:v>
                </c:pt>
                <c:pt idx="11">
                  <c:v>6514.7379559261772</c:v>
                </c:pt>
                <c:pt idx="12">
                  <c:v>6663.8117980376819</c:v>
                </c:pt>
                <c:pt idx="13">
                  <c:v>6680.5025072738472</c:v>
                </c:pt>
                <c:pt idx="14">
                  <c:v>6694.5575984433062</c:v>
                </c:pt>
                <c:pt idx="15">
                  <c:v>6707.7994628999313</c:v>
                </c:pt>
                <c:pt idx="16">
                  <c:v>6698.9928388378448</c:v>
                </c:pt>
                <c:pt idx="17">
                  <c:v>6687.8353590238412</c:v>
                </c:pt>
                <c:pt idx="18">
                  <c:v>6677.0019552694275</c:v>
                </c:pt>
                <c:pt idx="19">
                  <c:v>6666.4626172890248</c:v>
                </c:pt>
                <c:pt idx="20">
                  <c:v>6658.7291983017158</c:v>
                </c:pt>
                <c:pt idx="21">
                  <c:v>6650.9016292442529</c:v>
                </c:pt>
                <c:pt idx="22">
                  <c:v>6643.6814836124704</c:v>
                </c:pt>
                <c:pt idx="23">
                  <c:v>6637.3648518487262</c:v>
                </c:pt>
                <c:pt idx="24">
                  <c:v>6631.02553886645</c:v>
                </c:pt>
                <c:pt idx="25">
                  <c:v>6618.9940357599044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1594.6116303428414</c:v>
                </c:pt>
                <c:pt idx="1">
                  <c:v>1623.009071376682</c:v>
                </c:pt>
                <c:pt idx="2">
                  <c:v>1717.8242232777716</c:v>
                </c:pt>
                <c:pt idx="3">
                  <c:v>1765.1830419222429</c:v>
                </c:pt>
                <c:pt idx="4">
                  <c:v>1838.9695908996514</c:v>
                </c:pt>
                <c:pt idx="5">
                  <c:v>1842.1923165270805</c:v>
                </c:pt>
                <c:pt idx="6">
                  <c:v>1887.0043396802898</c:v>
                </c:pt>
                <c:pt idx="7">
                  <c:v>1895.5731513094663</c:v>
                </c:pt>
                <c:pt idx="8">
                  <c:v>1882.4326718072527</c:v>
                </c:pt>
                <c:pt idx="9">
                  <c:v>1959.5697046758789</c:v>
                </c:pt>
                <c:pt idx="10">
                  <c:v>2058.6092684674036</c:v>
                </c:pt>
                <c:pt idx="11">
                  <c:v>2102.2993167319464</c:v>
                </c:pt>
                <c:pt idx="12">
                  <c:v>2060.7862135934438</c:v>
                </c:pt>
                <c:pt idx="13">
                  <c:v>2097.5395392828827</c:v>
                </c:pt>
                <c:pt idx="14">
                  <c:v>2122.6733165539922</c:v>
                </c:pt>
                <c:pt idx="15">
                  <c:v>2158.1737286960165</c:v>
                </c:pt>
                <c:pt idx="16">
                  <c:v>2187.1440808774951</c:v>
                </c:pt>
                <c:pt idx="17">
                  <c:v>2216.3193873504638</c:v>
                </c:pt>
                <c:pt idx="18">
                  <c:v>2246.0814444583002</c:v>
                </c:pt>
                <c:pt idx="19">
                  <c:v>2276.1885096591427</c:v>
                </c:pt>
                <c:pt idx="20">
                  <c:v>2308.2423320067446</c:v>
                </c:pt>
                <c:pt idx="21" formatCode="General">
                  <c:v>2340.6444635099965</c:v>
                </c:pt>
                <c:pt idx="22" formatCode="General">
                  <c:v>2373.8016077990951</c:v>
                </c:pt>
                <c:pt idx="23" formatCode="General">
                  <c:v>2408.1277592859688</c:v>
                </c:pt>
                <c:pt idx="24" formatCode="General">
                  <c:v>2443.2319834241375</c:v>
                </c:pt>
                <c:pt idx="25">
                  <c:v>2475.3919333699382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1917.0921673483965</c:v>
                </c:pt>
                <c:pt idx="1">
                  <c:v>1901.137489202129</c:v>
                </c:pt>
                <c:pt idx="2">
                  <c:v>1942.7096600690802</c:v>
                </c:pt>
                <c:pt idx="3">
                  <c:v>1977.210457237647</c:v>
                </c:pt>
                <c:pt idx="4">
                  <c:v>2016.4529727009203</c:v>
                </c:pt>
                <c:pt idx="5">
                  <c:v>1980.0475475681642</c:v>
                </c:pt>
                <c:pt idx="6">
                  <c:v>1981.3778683622554</c:v>
                </c:pt>
                <c:pt idx="7">
                  <c:v>1960.8938985485595</c:v>
                </c:pt>
                <c:pt idx="8">
                  <c:v>1926.060898479524</c:v>
                </c:pt>
                <c:pt idx="9">
                  <c:v>1970.7601286444549</c:v>
                </c:pt>
                <c:pt idx="10">
                  <c:v>2054.5752318363461</c:v>
                </c:pt>
                <c:pt idx="11">
                  <c:v>2054.395095324041</c:v>
                </c:pt>
                <c:pt idx="12">
                  <c:v>2008.5883110560105</c:v>
                </c:pt>
                <c:pt idx="13">
                  <c:v>2029.8678724093522</c:v>
                </c:pt>
                <c:pt idx="14">
                  <c:v>2036.9750314326466</c:v>
                </c:pt>
                <c:pt idx="15">
                  <c:v>2061.017537957242</c:v>
                </c:pt>
                <c:pt idx="16">
                  <c:v>2076.4612386666035</c:v>
                </c:pt>
                <c:pt idx="17">
                  <c:v>2092.8572965975504</c:v>
                </c:pt>
                <c:pt idx="18">
                  <c:v>2110.7507971113582</c:v>
                </c:pt>
                <c:pt idx="19">
                  <c:v>2131.3296321482326</c:v>
                </c:pt>
                <c:pt idx="20">
                  <c:v>2153.445477137851</c:v>
                </c:pt>
                <c:pt idx="21" formatCode="General">
                  <c:v>2176.7398415896714</c:v>
                </c:pt>
                <c:pt idx="22" formatCode="General">
                  <c:v>2201.451496980766</c:v>
                </c:pt>
                <c:pt idx="23" formatCode="General">
                  <c:v>2227.0647728374624</c:v>
                </c:pt>
                <c:pt idx="24" formatCode="General">
                  <c:v>2253.4463277455675</c:v>
                </c:pt>
                <c:pt idx="25">
                  <c:v>2279.8253957201277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5170.144042622298</c:v>
                </c:pt>
                <c:pt idx="1">
                  <c:v>5429.1495711498992</c:v>
                </c:pt>
                <c:pt idx="2">
                  <c:v>5838.2633607183125</c:v>
                </c:pt>
                <c:pt idx="3">
                  <c:v>6141.4224524430938</c:v>
                </c:pt>
                <c:pt idx="4">
                  <c:v>6531.0918060984905</c:v>
                </c:pt>
                <c:pt idx="5">
                  <c:v>6603.7554747345093</c:v>
                </c:pt>
                <c:pt idx="6">
                  <c:v>6725.3392274878925</c:v>
                </c:pt>
                <c:pt idx="7">
                  <c:v>6872.0012069495151</c:v>
                </c:pt>
                <c:pt idx="8">
                  <c:v>6923.6433317831697</c:v>
                </c:pt>
                <c:pt idx="9">
                  <c:v>7230.5147192130253</c:v>
                </c:pt>
                <c:pt idx="10">
                  <c:v>7562.4602922181739</c:v>
                </c:pt>
                <c:pt idx="11">
                  <c:v>7772.2678472896368</c:v>
                </c:pt>
                <c:pt idx="12">
                  <c:v>7695.9574449416705</c:v>
                </c:pt>
                <c:pt idx="13">
                  <c:v>7848.5693778454624</c:v>
                </c:pt>
                <c:pt idx="14">
                  <c:v>7944.6437725065261</c:v>
                </c:pt>
                <c:pt idx="15">
                  <c:v>8102.5792335632295</c:v>
                </c:pt>
                <c:pt idx="16">
                  <c:v>8220.0299123731256</c:v>
                </c:pt>
                <c:pt idx="17">
                  <c:v>8332.9763138828112</c:v>
                </c:pt>
                <c:pt idx="18">
                  <c:v>8445.1172712319112</c:v>
                </c:pt>
                <c:pt idx="19">
                  <c:v>8555.7224569778282</c:v>
                </c:pt>
                <c:pt idx="20">
                  <c:v>8669.2363745521125</c:v>
                </c:pt>
                <c:pt idx="21" formatCode="General">
                  <c:v>8782.2605316315912</c:v>
                </c:pt>
                <c:pt idx="22" formatCode="General">
                  <c:v>8895.5828037953943</c:v>
                </c:pt>
                <c:pt idx="23" formatCode="General">
                  <c:v>9009.9768350613649</c:v>
                </c:pt>
                <c:pt idx="24" formatCode="General">
                  <c:v>9124.2974066100251</c:v>
                </c:pt>
                <c:pt idx="25" formatCode="General">
                  <c:v>9232.4204173538292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2419.4113262086439</c:v>
                </c:pt>
                <c:pt idx="1">
                  <c:v>2330.410567913746</c:v>
                </c:pt>
                <c:pt idx="2">
                  <c:v>2423.6843003909685</c:v>
                </c:pt>
                <c:pt idx="3">
                  <c:v>2533.2318689410222</c:v>
                </c:pt>
                <c:pt idx="4">
                  <c:v>2766.3991283529185</c:v>
                </c:pt>
                <c:pt idx="5">
                  <c:v>3156.2390605195696</c:v>
                </c:pt>
                <c:pt idx="6">
                  <c:v>3653.050079931385</c:v>
                </c:pt>
                <c:pt idx="7">
                  <c:v>3755.0392415072592</c:v>
                </c:pt>
                <c:pt idx="8">
                  <c:v>3858.1048884201832</c:v>
                </c:pt>
                <c:pt idx="9">
                  <c:v>4137.7151575520847</c:v>
                </c:pt>
                <c:pt idx="10">
                  <c:v>4336.7615670433815</c:v>
                </c:pt>
                <c:pt idx="11">
                  <c:v>4476.2295124939828</c:v>
                </c:pt>
                <c:pt idx="12">
                  <c:v>4785.881943732189</c:v>
                </c:pt>
                <c:pt idx="13">
                  <c:v>5033.6536473661672</c:v>
                </c:pt>
                <c:pt idx="14">
                  <c:v>5314.8397683290805</c:v>
                </c:pt>
                <c:pt idx="15">
                  <c:v>5512.5167236496936</c:v>
                </c:pt>
                <c:pt idx="16">
                  <c:v>5736.0943871374884</c:v>
                </c:pt>
                <c:pt idx="17">
                  <c:v>5956.7316929985036</c:v>
                </c:pt>
                <c:pt idx="18">
                  <c:v>6176.3025736082982</c:v>
                </c:pt>
                <c:pt idx="19">
                  <c:v>6394.8637775941525</c:v>
                </c:pt>
                <c:pt idx="20">
                  <c:v>6614.5889853700592</c:v>
                </c:pt>
                <c:pt idx="21" formatCode="General">
                  <c:v>6832.752588488278</c:v>
                </c:pt>
                <c:pt idx="22" formatCode="General">
                  <c:v>7049.8723228251974</c:v>
                </c:pt>
                <c:pt idx="23" formatCode="General">
                  <c:v>7266.1746286893731</c:v>
                </c:pt>
                <c:pt idx="24" formatCode="General">
                  <c:v>7480.4046800502329</c:v>
                </c:pt>
                <c:pt idx="25" formatCode="General">
                  <c:v>7687.6513264445221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347.48549868425772</c:v>
                </c:pt>
                <c:pt idx="1">
                  <c:v>338.12089178763267</c:v>
                </c:pt>
                <c:pt idx="2">
                  <c:v>348.08189088729944</c:v>
                </c:pt>
                <c:pt idx="3">
                  <c:v>365.46711589730052</c:v>
                </c:pt>
                <c:pt idx="4">
                  <c:v>400.50074815741237</c:v>
                </c:pt>
                <c:pt idx="5">
                  <c:v>455.81070126678173</c:v>
                </c:pt>
                <c:pt idx="6">
                  <c:v>519.7511860308332</c:v>
                </c:pt>
                <c:pt idx="7">
                  <c:v>534.95942666711653</c:v>
                </c:pt>
                <c:pt idx="8">
                  <c:v>550.21833431249411</c:v>
                </c:pt>
                <c:pt idx="9">
                  <c:v>588.17170318179012</c:v>
                </c:pt>
                <c:pt idx="10">
                  <c:v>611.36556836037994</c:v>
                </c:pt>
                <c:pt idx="11">
                  <c:v>635.06365213426113</c:v>
                </c:pt>
                <c:pt idx="12">
                  <c:v>677.51892954629079</c:v>
                </c:pt>
                <c:pt idx="13">
                  <c:v>712.22864933270171</c:v>
                </c:pt>
                <c:pt idx="14">
                  <c:v>749.85224334696136</c:v>
                </c:pt>
                <c:pt idx="15">
                  <c:v>777.49428774510261</c:v>
                </c:pt>
                <c:pt idx="16">
                  <c:v>808.45789090393987</c:v>
                </c:pt>
                <c:pt idx="17">
                  <c:v>839.02774118755133</c:v>
                </c:pt>
                <c:pt idx="18">
                  <c:v>869.42226392444877</c:v>
                </c:pt>
                <c:pt idx="19">
                  <c:v>899.52342582367623</c:v>
                </c:pt>
                <c:pt idx="20">
                  <c:v>929.77290931071832</c:v>
                </c:pt>
                <c:pt idx="21" formatCode="General">
                  <c:v>959.75356695889218</c:v>
                </c:pt>
                <c:pt idx="22" formatCode="General">
                  <c:v>989.57937227066236</c:v>
                </c:pt>
                <c:pt idx="23" formatCode="General">
                  <c:v>1019.1379353840247</c:v>
                </c:pt>
                <c:pt idx="24" formatCode="General">
                  <c:v>1048.6131025882194</c:v>
                </c:pt>
                <c:pt idx="25" formatCode="General">
                  <c:v>1077.1920536731909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2103.6837518956218</c:v>
                </c:pt>
                <c:pt idx="1">
                  <c:v>2071.1862802496862</c:v>
                </c:pt>
                <c:pt idx="2">
                  <c:v>1915.9114429994891</c:v>
                </c:pt>
                <c:pt idx="3">
                  <c:v>1900.8972321733556</c:v>
                </c:pt>
                <c:pt idx="4">
                  <c:v>1791.0041030532768</c:v>
                </c:pt>
                <c:pt idx="5">
                  <c:v>1832.3356545038037</c:v>
                </c:pt>
                <c:pt idx="6">
                  <c:v>1705.4315901554571</c:v>
                </c:pt>
                <c:pt idx="7">
                  <c:v>1688.5565705989131</c:v>
                </c:pt>
                <c:pt idx="8">
                  <c:v>1686.7153537388263</c:v>
                </c:pt>
                <c:pt idx="9">
                  <c:v>1677.4726367605974</c:v>
                </c:pt>
                <c:pt idx="10">
                  <c:v>1429.9073944432503</c:v>
                </c:pt>
                <c:pt idx="11">
                  <c:v>1457.5230279686018</c:v>
                </c:pt>
                <c:pt idx="12">
                  <c:v>1371.2180949748763</c:v>
                </c:pt>
                <c:pt idx="13">
                  <c:v>1292.8473144593104</c:v>
                </c:pt>
                <c:pt idx="14">
                  <c:v>1216.2197883767328</c:v>
                </c:pt>
                <c:pt idx="15">
                  <c:v>1191.5707936497847</c:v>
                </c:pt>
                <c:pt idx="16">
                  <c:v>1161.6911613721302</c:v>
                </c:pt>
                <c:pt idx="17">
                  <c:v>1131.2615825294542</c:v>
                </c:pt>
                <c:pt idx="18">
                  <c:v>1100.7687138204756</c:v>
                </c:pt>
                <c:pt idx="19">
                  <c:v>1070.1778580755306</c:v>
                </c:pt>
                <c:pt idx="20">
                  <c:v>1039.8714767289312</c:v>
                </c:pt>
                <c:pt idx="21">
                  <c:v>1009.3329859891269</c:v>
                </c:pt>
                <c:pt idx="22">
                  <c:v>978.65204848733333</c:v>
                </c:pt>
                <c:pt idx="23">
                  <c:v>947.84278627830429</c:v>
                </c:pt>
                <c:pt idx="24">
                  <c:v>919.06224522098955</c:v>
                </c:pt>
                <c:pt idx="25">
                  <c:v>923.40000934655586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4928.7680510806367</c:v>
                </c:pt>
                <c:pt idx="1">
                  <c:v>4766.2850696137557</c:v>
                </c:pt>
                <c:pt idx="2">
                  <c:v>4583.2916611180672</c:v>
                </c:pt>
                <c:pt idx="3">
                  <c:v>4462.8108982621434</c:v>
                </c:pt>
                <c:pt idx="4">
                  <c:v>4585.18967978409</c:v>
                </c:pt>
                <c:pt idx="5">
                  <c:v>4520.7232655943089</c:v>
                </c:pt>
                <c:pt idx="6">
                  <c:v>4452.4536814882977</c:v>
                </c:pt>
                <c:pt idx="7">
                  <c:v>4445.537832652627</c:v>
                </c:pt>
                <c:pt idx="8">
                  <c:v>4485.0559435711166</c:v>
                </c:pt>
                <c:pt idx="9">
                  <c:v>4323.3959219964427</c:v>
                </c:pt>
                <c:pt idx="10">
                  <c:v>3929.3852672825415</c:v>
                </c:pt>
                <c:pt idx="11">
                  <c:v>3889.4408926005308</c:v>
                </c:pt>
                <c:pt idx="12">
                  <c:v>3854.0881812794178</c:v>
                </c:pt>
                <c:pt idx="13">
                  <c:v>3731.3889397707726</c:v>
                </c:pt>
                <c:pt idx="14">
                  <c:v>3668.9877659314388</c:v>
                </c:pt>
                <c:pt idx="15">
                  <c:v>3543.1096039464742</c:v>
                </c:pt>
                <c:pt idx="16">
                  <c:v>3427.5527211062163</c:v>
                </c:pt>
                <c:pt idx="17">
                  <c:v>3309.8078582239996</c:v>
                </c:pt>
                <c:pt idx="18">
                  <c:v>3191.3664315487804</c:v>
                </c:pt>
                <c:pt idx="19">
                  <c:v>3072.1690322449399</c:v>
                </c:pt>
                <c:pt idx="20">
                  <c:v>2953.3857545502437</c:v>
                </c:pt>
                <c:pt idx="21">
                  <c:v>2833.5828891190272</c:v>
                </c:pt>
                <c:pt idx="22">
                  <c:v>2713.0802184235249</c:v>
                </c:pt>
                <c:pt idx="23">
                  <c:v>2591.9401667846023</c:v>
                </c:pt>
                <c:pt idx="24">
                  <c:v>2469.7289015793635</c:v>
                </c:pt>
                <c:pt idx="25">
                  <c:v>2343.6324984872572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6613.8346016393843</c:v>
                </c:pt>
                <c:pt idx="1">
                  <c:v>6726.2624982631969</c:v>
                </c:pt>
                <c:pt idx="2">
                  <c:v>6680.291462567925</c:v>
                </c:pt>
                <c:pt idx="3">
                  <c:v>6589.5306400942145</c:v>
                </c:pt>
                <c:pt idx="4">
                  <c:v>6669.304263970439</c:v>
                </c:pt>
                <c:pt idx="5">
                  <c:v>6682.7821620955383</c:v>
                </c:pt>
                <c:pt idx="6">
                  <c:v>6719.6599449387732</c:v>
                </c:pt>
                <c:pt idx="7">
                  <c:v>6746.043370741354</c:v>
                </c:pt>
                <c:pt idx="8">
                  <c:v>6735.6540516432842</c:v>
                </c:pt>
                <c:pt idx="9">
                  <c:v>6657.6209919773628</c:v>
                </c:pt>
                <c:pt idx="10">
                  <c:v>6248.7447207957857</c:v>
                </c:pt>
                <c:pt idx="11">
                  <c:v>6237.6806995310035</c:v>
                </c:pt>
                <c:pt idx="12">
                  <c:v>6202.4730828383708</c:v>
                </c:pt>
                <c:pt idx="13">
                  <c:v>6137.3571522593202</c:v>
                </c:pt>
                <c:pt idx="14">
                  <c:v>6084.4817150793397</c:v>
                </c:pt>
                <c:pt idx="15">
                  <c:v>5968.0626278923801</c:v>
                </c:pt>
                <c:pt idx="16">
                  <c:v>5867.9557687256038</c:v>
                </c:pt>
                <c:pt idx="17">
                  <c:v>5764.9877682061688</c:v>
                </c:pt>
                <c:pt idx="18">
                  <c:v>5661.563549026685</c:v>
                </c:pt>
                <c:pt idx="19">
                  <c:v>5557.6346901874176</c:v>
                </c:pt>
                <c:pt idx="20">
                  <c:v>5455.2734920415751</c:v>
                </c:pt>
                <c:pt idx="21">
                  <c:v>5351.9995034694884</c:v>
                </c:pt>
                <c:pt idx="22">
                  <c:v>5248.386645805318</c:v>
                </c:pt>
                <c:pt idx="23">
                  <c:v>5144.6312638299696</c:v>
                </c:pt>
                <c:pt idx="24">
                  <c:v>5039.9388139149241</c:v>
                </c:pt>
                <c:pt idx="25">
                  <c:v>4929.3643298447141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6165.9859301777606</c:v>
                </c:pt>
                <c:pt idx="1">
                  <c:v>6108.4635604433943</c:v>
                </c:pt>
                <c:pt idx="2">
                  <c:v>6350.9099979709063</c:v>
                </c:pt>
                <c:pt idx="3">
                  <c:v>6236.2062930284537</c:v>
                </c:pt>
                <c:pt idx="4">
                  <c:v>6593.0717069827751</c:v>
                </c:pt>
                <c:pt idx="5">
                  <c:v>6582.0988171903118</c:v>
                </c:pt>
                <c:pt idx="6">
                  <c:v>6699.8830819243994</c:v>
                </c:pt>
                <c:pt idx="7">
                  <c:v>6755.3983010253187</c:v>
                </c:pt>
                <c:pt idx="8">
                  <c:v>6747.1225262441421</c:v>
                </c:pt>
                <c:pt idx="9">
                  <c:v>6819.7830359985328</c:v>
                </c:pt>
                <c:pt idx="10">
                  <c:v>6743.1586895525825</c:v>
                </c:pt>
                <c:pt idx="11">
                  <c:v>6514.7379559261772</c:v>
                </c:pt>
                <c:pt idx="12">
                  <c:v>6663.8117980376819</c:v>
                </c:pt>
                <c:pt idx="13">
                  <c:v>6680.5025072738472</c:v>
                </c:pt>
                <c:pt idx="14">
                  <c:v>6694.5575984433062</c:v>
                </c:pt>
                <c:pt idx="15">
                  <c:v>6707.7994628999313</c:v>
                </c:pt>
                <c:pt idx="16">
                  <c:v>6698.9928388378448</c:v>
                </c:pt>
                <c:pt idx="17">
                  <c:v>6687.8353590238412</c:v>
                </c:pt>
                <c:pt idx="18">
                  <c:v>6677.0019552694275</c:v>
                </c:pt>
                <c:pt idx="19">
                  <c:v>6666.4626172890248</c:v>
                </c:pt>
                <c:pt idx="20">
                  <c:v>6658.7291983017158</c:v>
                </c:pt>
                <c:pt idx="21">
                  <c:v>6650.9016292442529</c:v>
                </c:pt>
                <c:pt idx="22">
                  <c:v>6643.6814836124704</c:v>
                </c:pt>
                <c:pt idx="23">
                  <c:v>6637.3648518487262</c:v>
                </c:pt>
                <c:pt idx="24">
                  <c:v>6631.02553886645</c:v>
                </c:pt>
                <c:pt idx="25">
                  <c:v>6618.9940357599044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1594.6116303428414</c:v>
                </c:pt>
                <c:pt idx="1">
                  <c:v>1623.009071376682</c:v>
                </c:pt>
                <c:pt idx="2">
                  <c:v>1717.8242232777716</c:v>
                </c:pt>
                <c:pt idx="3">
                  <c:v>1765.1830419222429</c:v>
                </c:pt>
                <c:pt idx="4">
                  <c:v>1838.9695908996514</c:v>
                </c:pt>
                <c:pt idx="5">
                  <c:v>1842.1923165270805</c:v>
                </c:pt>
                <c:pt idx="6">
                  <c:v>1887.0043396802898</c:v>
                </c:pt>
                <c:pt idx="7">
                  <c:v>1895.5731513094663</c:v>
                </c:pt>
                <c:pt idx="8">
                  <c:v>1882.4326718072527</c:v>
                </c:pt>
                <c:pt idx="9">
                  <c:v>1959.5697046758789</c:v>
                </c:pt>
                <c:pt idx="10">
                  <c:v>2058.6092684674036</c:v>
                </c:pt>
                <c:pt idx="11">
                  <c:v>2102.2993167319464</c:v>
                </c:pt>
                <c:pt idx="12">
                  <c:v>2060.7862135934438</c:v>
                </c:pt>
                <c:pt idx="13">
                  <c:v>2097.5395392828827</c:v>
                </c:pt>
                <c:pt idx="14">
                  <c:v>2122.6733165539922</c:v>
                </c:pt>
                <c:pt idx="15">
                  <c:v>2158.1737286960165</c:v>
                </c:pt>
                <c:pt idx="16">
                  <c:v>2187.1440808774951</c:v>
                </c:pt>
                <c:pt idx="17">
                  <c:v>2216.3193873504638</c:v>
                </c:pt>
                <c:pt idx="18">
                  <c:v>2246.0814444583002</c:v>
                </c:pt>
                <c:pt idx="19">
                  <c:v>2276.1885096591427</c:v>
                </c:pt>
                <c:pt idx="20">
                  <c:v>2308.2423320067446</c:v>
                </c:pt>
                <c:pt idx="21" formatCode="General">
                  <c:v>2340.6444635099965</c:v>
                </c:pt>
                <c:pt idx="22" formatCode="General">
                  <c:v>2373.8016077990951</c:v>
                </c:pt>
                <c:pt idx="23" formatCode="General">
                  <c:v>2408.1277592859688</c:v>
                </c:pt>
                <c:pt idx="24" formatCode="General">
                  <c:v>2443.2319834241375</c:v>
                </c:pt>
                <c:pt idx="25">
                  <c:v>2475.3919333699382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1917.0921673483965</c:v>
                </c:pt>
                <c:pt idx="1">
                  <c:v>1901.137489202129</c:v>
                </c:pt>
                <c:pt idx="2">
                  <c:v>1942.7096600690802</c:v>
                </c:pt>
                <c:pt idx="3">
                  <c:v>1977.210457237647</c:v>
                </c:pt>
                <c:pt idx="4">
                  <c:v>2016.4529727009203</c:v>
                </c:pt>
                <c:pt idx="5">
                  <c:v>1980.0475475681642</c:v>
                </c:pt>
                <c:pt idx="6">
                  <c:v>1981.3778683622554</c:v>
                </c:pt>
                <c:pt idx="7">
                  <c:v>1960.8938985485595</c:v>
                </c:pt>
                <c:pt idx="8">
                  <c:v>1926.060898479524</c:v>
                </c:pt>
                <c:pt idx="9">
                  <c:v>1970.7601286444549</c:v>
                </c:pt>
                <c:pt idx="10">
                  <c:v>2054.5752318363461</c:v>
                </c:pt>
                <c:pt idx="11">
                  <c:v>2054.395095324041</c:v>
                </c:pt>
                <c:pt idx="12">
                  <c:v>2008.5883110560105</c:v>
                </c:pt>
                <c:pt idx="13">
                  <c:v>2029.8678724093522</c:v>
                </c:pt>
                <c:pt idx="14">
                  <c:v>2036.9750314326466</c:v>
                </c:pt>
                <c:pt idx="15">
                  <c:v>2061.017537957242</c:v>
                </c:pt>
                <c:pt idx="16">
                  <c:v>2076.4612386666035</c:v>
                </c:pt>
                <c:pt idx="17">
                  <c:v>2092.8572965975504</c:v>
                </c:pt>
                <c:pt idx="18">
                  <c:v>2110.7507971113582</c:v>
                </c:pt>
                <c:pt idx="19">
                  <c:v>2131.3296321482326</c:v>
                </c:pt>
                <c:pt idx="20">
                  <c:v>2153.445477137851</c:v>
                </c:pt>
                <c:pt idx="21" formatCode="General">
                  <c:v>2176.7398415896714</c:v>
                </c:pt>
                <c:pt idx="22" formatCode="General">
                  <c:v>2201.451496980766</c:v>
                </c:pt>
                <c:pt idx="23" formatCode="General">
                  <c:v>2227.0647728374624</c:v>
                </c:pt>
                <c:pt idx="24" formatCode="General">
                  <c:v>2253.4463277455675</c:v>
                </c:pt>
                <c:pt idx="25">
                  <c:v>2279.8253957201277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5170.144042622298</c:v>
                </c:pt>
                <c:pt idx="1">
                  <c:v>5429.1495711498992</c:v>
                </c:pt>
                <c:pt idx="2">
                  <c:v>5838.2633607183125</c:v>
                </c:pt>
                <c:pt idx="3">
                  <c:v>6141.4224524430938</c:v>
                </c:pt>
                <c:pt idx="4">
                  <c:v>6531.0918060984905</c:v>
                </c:pt>
                <c:pt idx="5">
                  <c:v>6603.7554747345093</c:v>
                </c:pt>
                <c:pt idx="6">
                  <c:v>6725.3392274878925</c:v>
                </c:pt>
                <c:pt idx="7">
                  <c:v>6872.0012069495151</c:v>
                </c:pt>
                <c:pt idx="8">
                  <c:v>6923.6433317831697</c:v>
                </c:pt>
                <c:pt idx="9">
                  <c:v>7230.5147192130253</c:v>
                </c:pt>
                <c:pt idx="10">
                  <c:v>7562.4602922181739</c:v>
                </c:pt>
                <c:pt idx="11">
                  <c:v>7772.2678472896368</c:v>
                </c:pt>
                <c:pt idx="12">
                  <c:v>7695.9574449416705</c:v>
                </c:pt>
                <c:pt idx="13">
                  <c:v>7848.5693778454624</c:v>
                </c:pt>
                <c:pt idx="14">
                  <c:v>7944.6437725065261</c:v>
                </c:pt>
                <c:pt idx="15">
                  <c:v>8102.5792335632295</c:v>
                </c:pt>
                <c:pt idx="16">
                  <c:v>8220.0299123731256</c:v>
                </c:pt>
                <c:pt idx="17">
                  <c:v>8332.9763138828112</c:v>
                </c:pt>
                <c:pt idx="18">
                  <c:v>8445.1172712319112</c:v>
                </c:pt>
                <c:pt idx="19">
                  <c:v>8555.7224569778282</c:v>
                </c:pt>
                <c:pt idx="20">
                  <c:v>8669.2363745521125</c:v>
                </c:pt>
                <c:pt idx="21" formatCode="General">
                  <c:v>8782.2605316315912</c:v>
                </c:pt>
                <c:pt idx="22" formatCode="General">
                  <c:v>8895.5828037953943</c:v>
                </c:pt>
                <c:pt idx="23" formatCode="General">
                  <c:v>9009.9768350613649</c:v>
                </c:pt>
                <c:pt idx="24" formatCode="General">
                  <c:v>9124.2974066100251</c:v>
                </c:pt>
                <c:pt idx="25" formatCode="General">
                  <c:v>9232.4204173538292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2419.4113262086439</c:v>
                </c:pt>
                <c:pt idx="1">
                  <c:v>2330.410567913746</c:v>
                </c:pt>
                <c:pt idx="2">
                  <c:v>2423.6843003909685</c:v>
                </c:pt>
                <c:pt idx="3">
                  <c:v>2533.2318689410222</c:v>
                </c:pt>
                <c:pt idx="4">
                  <c:v>2766.3991283529185</c:v>
                </c:pt>
                <c:pt idx="5">
                  <c:v>3156.2390605195696</c:v>
                </c:pt>
                <c:pt idx="6">
                  <c:v>3653.050079931385</c:v>
                </c:pt>
                <c:pt idx="7">
                  <c:v>3755.0392415072592</c:v>
                </c:pt>
                <c:pt idx="8">
                  <c:v>3858.1048884201832</c:v>
                </c:pt>
                <c:pt idx="9">
                  <c:v>4137.7151575520847</c:v>
                </c:pt>
                <c:pt idx="10">
                  <c:v>4336.7615670433815</c:v>
                </c:pt>
                <c:pt idx="11">
                  <c:v>4476.2295124939828</c:v>
                </c:pt>
                <c:pt idx="12">
                  <c:v>4785.881943732189</c:v>
                </c:pt>
                <c:pt idx="13">
                  <c:v>5033.6536473661672</c:v>
                </c:pt>
                <c:pt idx="14">
                  <c:v>5314.8397683290805</c:v>
                </c:pt>
                <c:pt idx="15">
                  <c:v>5512.5167236496936</c:v>
                </c:pt>
                <c:pt idx="16">
                  <c:v>5736.0943871374884</c:v>
                </c:pt>
                <c:pt idx="17">
                  <c:v>5956.7316929985036</c:v>
                </c:pt>
                <c:pt idx="18">
                  <c:v>6176.3025736082982</c:v>
                </c:pt>
                <c:pt idx="19">
                  <c:v>6394.8637775941525</c:v>
                </c:pt>
                <c:pt idx="20">
                  <c:v>6614.5889853700592</c:v>
                </c:pt>
                <c:pt idx="21" formatCode="General">
                  <c:v>6832.752588488278</c:v>
                </c:pt>
                <c:pt idx="22" formatCode="General">
                  <c:v>7049.8723228251974</c:v>
                </c:pt>
                <c:pt idx="23" formatCode="General">
                  <c:v>7266.1746286893731</c:v>
                </c:pt>
                <c:pt idx="24" formatCode="General">
                  <c:v>7480.4046800502329</c:v>
                </c:pt>
                <c:pt idx="25" formatCode="General">
                  <c:v>7687.6513264445221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347.48549868425772</c:v>
                </c:pt>
                <c:pt idx="1">
                  <c:v>338.12089178763267</c:v>
                </c:pt>
                <c:pt idx="2">
                  <c:v>348.08189088729944</c:v>
                </c:pt>
                <c:pt idx="3">
                  <c:v>365.46711589730052</c:v>
                </c:pt>
                <c:pt idx="4">
                  <c:v>400.50074815741237</c:v>
                </c:pt>
                <c:pt idx="5">
                  <c:v>455.81070126678173</c:v>
                </c:pt>
                <c:pt idx="6">
                  <c:v>519.7511860308332</c:v>
                </c:pt>
                <c:pt idx="7">
                  <c:v>534.95942666711653</c:v>
                </c:pt>
                <c:pt idx="8">
                  <c:v>550.21833431249411</c:v>
                </c:pt>
                <c:pt idx="9">
                  <c:v>588.17170318179012</c:v>
                </c:pt>
                <c:pt idx="10">
                  <c:v>611.36556836037994</c:v>
                </c:pt>
                <c:pt idx="11">
                  <c:v>635.06365213426113</c:v>
                </c:pt>
                <c:pt idx="12">
                  <c:v>677.51892954629079</c:v>
                </c:pt>
                <c:pt idx="13">
                  <c:v>712.22864933270171</c:v>
                </c:pt>
                <c:pt idx="14">
                  <c:v>749.85224334696136</c:v>
                </c:pt>
                <c:pt idx="15">
                  <c:v>777.49428774510261</c:v>
                </c:pt>
                <c:pt idx="16">
                  <c:v>808.45789090393987</c:v>
                </c:pt>
                <c:pt idx="17">
                  <c:v>839.02774118755133</c:v>
                </c:pt>
                <c:pt idx="18">
                  <c:v>869.42226392444877</c:v>
                </c:pt>
                <c:pt idx="19">
                  <c:v>899.52342582367623</c:v>
                </c:pt>
                <c:pt idx="20">
                  <c:v>929.77290931071832</c:v>
                </c:pt>
                <c:pt idx="21" formatCode="General">
                  <c:v>959.75356695889218</c:v>
                </c:pt>
                <c:pt idx="22" formatCode="General">
                  <c:v>989.57937227066236</c:v>
                </c:pt>
                <c:pt idx="23" formatCode="General">
                  <c:v>1019.1379353840247</c:v>
                </c:pt>
                <c:pt idx="24" formatCode="General">
                  <c:v>1048.6131025882194</c:v>
                </c:pt>
                <c:pt idx="25" formatCode="General">
                  <c:v>1077.1920536731909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2147.9713237433616</c:v>
                </c:pt>
                <c:pt idx="1">
                  <c:v>1057.4538145928157</c:v>
                </c:pt>
                <c:pt idx="2">
                  <c:v>1804.4444333480956</c:v>
                </c:pt>
                <c:pt idx="3">
                  <c:v>1431.704750253356</c:v>
                </c:pt>
                <c:pt idx="4">
                  <c:v>1646.9786897581305</c:v>
                </c:pt>
                <c:pt idx="5">
                  <c:v>2002.3539721741229</c:v>
                </c:pt>
                <c:pt idx="6">
                  <c:v>543.13411333119222</c:v>
                </c:pt>
                <c:pt idx="7">
                  <c:v>594.94854959952465</c:v>
                </c:pt>
                <c:pt idx="8">
                  <c:v>363.34672944829595</c:v>
                </c:pt>
                <c:pt idx="9">
                  <c:v>690.99398123085246</c:v>
                </c:pt>
                <c:pt idx="10">
                  <c:v>2027.0470687026313</c:v>
                </c:pt>
                <c:pt idx="11">
                  <c:v>2983.2974966503325</c:v>
                </c:pt>
                <c:pt idx="12">
                  <c:v>752.31508382302525</c:v>
                </c:pt>
                <c:pt idx="13">
                  <c:v>404.75546845929</c:v>
                </c:pt>
                <c:pt idx="14">
                  <c:v>1243.0037577536757</c:v>
                </c:pt>
                <c:pt idx="15">
                  <c:v>1085.8029793612313</c:v>
                </c:pt>
                <c:pt idx="16">
                  <c:v>755.52676365289369</c:v>
                </c:pt>
                <c:pt idx="17">
                  <c:v>2378.4874023039993</c:v>
                </c:pt>
                <c:pt idx="18">
                  <c:v>734.9431095897952</c:v>
                </c:pt>
                <c:pt idx="19">
                  <c:v>35.1715178590417</c:v>
                </c:pt>
                <c:pt idx="20">
                  <c:v>2342.1745624620294</c:v>
                </c:pt>
                <c:pt idx="21">
                  <c:v>545.0861667470167</c:v>
                </c:pt>
                <c:pt idx="22">
                  <c:v>904.53857920670657</c:v>
                </c:pt>
                <c:pt idx="23">
                  <c:v>1208.479039683479</c:v>
                </c:pt>
                <c:pt idx="24">
                  <c:v>586.32680498173522</c:v>
                </c:pt>
                <c:pt idx="25">
                  <c:v>3385.6988412834389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2603.6149634867743</c:v>
                </c:pt>
                <c:pt idx="1">
                  <c:v>1142.9442385679565</c:v>
                </c:pt>
                <c:pt idx="2">
                  <c:v>2168.4893984676792</c:v>
                </c:pt>
                <c:pt idx="3">
                  <c:v>1652.6894842034105</c:v>
                </c:pt>
                <c:pt idx="4">
                  <c:v>1814.3949916428305</c:v>
                </c:pt>
                <c:pt idx="5">
                  <c:v>2564.0058358864653</c:v>
                </c:pt>
                <c:pt idx="6">
                  <c:v>694.16022623804326</c:v>
                </c:pt>
                <c:pt idx="7">
                  <c:v>684.34670849941995</c:v>
                </c:pt>
                <c:pt idx="8">
                  <c:v>396.95240357529076</c:v>
                </c:pt>
                <c:pt idx="9">
                  <c:v>752.69702031034967</c:v>
                </c:pt>
                <c:pt idx="10">
                  <c:v>2253.7675379132588</c:v>
                </c:pt>
                <c:pt idx="11">
                  <c:v>3065.8450120205653</c:v>
                </c:pt>
                <c:pt idx="12">
                  <c:v>675.89827543689773</c:v>
                </c:pt>
                <c:pt idx="13">
                  <c:v>376.47025514650636</c:v>
                </c:pt>
                <c:pt idx="14">
                  <c:v>1101.9773582511193</c:v>
                </c:pt>
                <c:pt idx="15">
                  <c:v>902.6086997361848</c:v>
                </c:pt>
                <c:pt idx="16">
                  <c:v>647.87195370468623</c:v>
                </c:pt>
                <c:pt idx="17">
                  <c:v>2366.0754145696519</c:v>
                </c:pt>
                <c:pt idx="18">
                  <c:v>729.01453888132892</c:v>
                </c:pt>
                <c:pt idx="19">
                  <c:v>38.450806585208952</c:v>
                </c:pt>
                <c:pt idx="20">
                  <c:v>2182.3387584985444</c:v>
                </c:pt>
                <c:pt idx="21">
                  <c:v>604.74815671761121</c:v>
                </c:pt>
                <c:pt idx="22">
                  <c:v>765.07385705408774</c:v>
                </c:pt>
                <c:pt idx="23">
                  <c:v>1192.1983711089595</c:v>
                </c:pt>
                <c:pt idx="24">
                  <c:v>464.80863120633876</c:v>
                </c:pt>
                <c:pt idx="25">
                  <c:v>3133.5251022906664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2681.2775346158387</c:v>
                </c:pt>
                <c:pt idx="1">
                  <c:v>1636.9713357379442</c:v>
                </c:pt>
                <c:pt idx="2">
                  <c:v>2562.9828232040827</c:v>
                </c:pt>
                <c:pt idx="3">
                  <c:v>1962.7779742263765</c:v>
                </c:pt>
                <c:pt idx="4">
                  <c:v>2082.0254777556443</c:v>
                </c:pt>
                <c:pt idx="5">
                  <c:v>3234.0308052677001</c:v>
                </c:pt>
                <c:pt idx="6">
                  <c:v>660.15471895472103</c:v>
                </c:pt>
                <c:pt idx="7">
                  <c:v>766.0236239924069</c:v>
                </c:pt>
                <c:pt idx="8">
                  <c:v>540.74077072874798</c:v>
                </c:pt>
                <c:pt idx="9">
                  <c:v>831.23766135714891</c:v>
                </c:pt>
                <c:pt idx="10">
                  <c:v>2280.1601708895205</c:v>
                </c:pt>
                <c:pt idx="11">
                  <c:v>2684.5081609977879</c:v>
                </c:pt>
                <c:pt idx="12">
                  <c:v>570.45465442441707</c:v>
                </c:pt>
                <c:pt idx="13">
                  <c:v>423.49261595568004</c:v>
                </c:pt>
                <c:pt idx="14">
                  <c:v>1030.1623941830187</c:v>
                </c:pt>
                <c:pt idx="15">
                  <c:v>888.79123577476093</c:v>
                </c:pt>
                <c:pt idx="16">
                  <c:v>647.60661016517849</c:v>
                </c:pt>
                <c:pt idx="17">
                  <c:v>2831.8232058057956</c:v>
                </c:pt>
                <c:pt idx="18">
                  <c:v>769.83325122450708</c:v>
                </c:pt>
                <c:pt idx="19">
                  <c:v>33.642958409426491</c:v>
                </c:pt>
                <c:pt idx="20">
                  <c:v>1927.0365395209469</c:v>
                </c:pt>
                <c:pt idx="21">
                  <c:v>889.38998169618799</c:v>
                </c:pt>
                <c:pt idx="22">
                  <c:v>906.8322616503707</c:v>
                </c:pt>
                <c:pt idx="23">
                  <c:v>1272.0792886398074</c:v>
                </c:pt>
                <c:pt idx="24">
                  <c:v>368.2541352592807</c:v>
                </c:pt>
                <c:pt idx="25">
                  <c:v>3085.5818095627951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455.64363974341268</c:v>
                </c:pt>
                <c:pt idx="1">
                  <c:v>85.490423975140857</c:v>
                </c:pt>
                <c:pt idx="2">
                  <c:v>364.04496511958359</c:v>
                </c:pt>
                <c:pt idx="3">
                  <c:v>220.98473395005453</c:v>
                </c:pt>
                <c:pt idx="4">
                  <c:v>167.41630188470003</c:v>
                </c:pt>
                <c:pt idx="5">
                  <c:v>561.65186371234245</c:v>
                </c:pt>
                <c:pt idx="6">
                  <c:v>151.02611290685104</c:v>
                </c:pt>
                <c:pt idx="7">
                  <c:v>89.398158899895293</c:v>
                </c:pt>
                <c:pt idx="8">
                  <c:v>33.605674126994813</c:v>
                </c:pt>
                <c:pt idx="9">
                  <c:v>61.703039079497216</c:v>
                </c:pt>
                <c:pt idx="10">
                  <c:v>226.72046921062747</c:v>
                </c:pt>
                <c:pt idx="11">
                  <c:v>82.547515370232759</c:v>
                </c:pt>
                <c:pt idx="12">
                  <c:v>-76.416808386127514</c:v>
                </c:pt>
                <c:pt idx="13">
                  <c:v>-28.28521331278364</c:v>
                </c:pt>
                <c:pt idx="14">
                  <c:v>-141.02639950255639</c:v>
                </c:pt>
                <c:pt idx="15">
                  <c:v>-183.19427962504653</c:v>
                </c:pt>
                <c:pt idx="16">
                  <c:v>-107.65480994820746</c:v>
                </c:pt>
                <c:pt idx="17">
                  <c:v>-12.411987734347349</c:v>
                </c:pt>
                <c:pt idx="18">
                  <c:v>-5.9285707084662818</c:v>
                </c:pt>
                <c:pt idx="19">
                  <c:v>3.2792887261672519</c:v>
                </c:pt>
                <c:pt idx="20">
                  <c:v>-159.83580396348498</c:v>
                </c:pt>
                <c:pt idx="21">
                  <c:v>59.661989970594504</c:v>
                </c:pt>
                <c:pt idx="22">
                  <c:v>-139.46472215261883</c:v>
                </c:pt>
                <c:pt idx="23">
                  <c:v>-16.280668574519495</c:v>
                </c:pt>
                <c:pt idx="24">
                  <c:v>-121.51817377539646</c:v>
                </c:pt>
                <c:pt idx="25">
                  <c:v>-252.17373899277254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77.662571129064418</c:v>
                </c:pt>
                <c:pt idx="1">
                  <c:v>494.02709716998766</c:v>
                </c:pt>
                <c:pt idx="2">
                  <c:v>394.49342473640354</c:v>
                </c:pt>
                <c:pt idx="3">
                  <c:v>310.08849002296597</c:v>
                </c:pt>
                <c:pt idx="4">
                  <c:v>267.63048611281374</c:v>
                </c:pt>
                <c:pt idx="5">
                  <c:v>670.02496938123477</c:v>
                </c:pt>
                <c:pt idx="6">
                  <c:v>-34.005507283322231</c:v>
                </c:pt>
                <c:pt idx="7">
                  <c:v>81.67691549298695</c:v>
                </c:pt>
                <c:pt idx="8">
                  <c:v>143.78836715345722</c:v>
                </c:pt>
                <c:pt idx="9">
                  <c:v>78.540641046799237</c:v>
                </c:pt>
                <c:pt idx="10">
                  <c:v>26.392632976261666</c:v>
                </c:pt>
                <c:pt idx="11">
                  <c:v>-381.33685102277741</c:v>
                </c:pt>
                <c:pt idx="12">
                  <c:v>-105.44362101248066</c:v>
                </c:pt>
                <c:pt idx="13">
                  <c:v>47.022360809173676</c:v>
                </c:pt>
                <c:pt idx="14">
                  <c:v>-71.814964068100608</c:v>
                </c:pt>
                <c:pt idx="15">
                  <c:v>-13.817463961423869</c:v>
                </c:pt>
                <c:pt idx="16">
                  <c:v>-0.26534353950773948</c:v>
                </c:pt>
                <c:pt idx="17">
                  <c:v>465.74779123614371</c:v>
                </c:pt>
                <c:pt idx="18">
                  <c:v>40.818712343178163</c:v>
                </c:pt>
                <c:pt idx="19">
                  <c:v>-4.8078481757824605</c:v>
                </c:pt>
                <c:pt idx="20">
                  <c:v>-255.30221897759748</c:v>
                </c:pt>
                <c:pt idx="21">
                  <c:v>284.64182497857678</c:v>
                </c:pt>
                <c:pt idx="22">
                  <c:v>141.75840459628296</c:v>
                </c:pt>
                <c:pt idx="23">
                  <c:v>79.88091753084791</c:v>
                </c:pt>
                <c:pt idx="24">
                  <c:v>-96.554495947058058</c:v>
                </c:pt>
                <c:pt idx="25">
                  <c:v>-47.943292727871267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6.3821377497742429</c:v>
                </c:pt>
                <c:pt idx="1">
                  <c:v>7.4442240046846839</c:v>
                </c:pt>
                <c:pt idx="2">
                  <c:v>7.1371557447167406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3.1419487933359052</c:v>
                </c:pt>
                <c:pt idx="1">
                  <c:v>3.2678921638125926</c:v>
                </c:pt>
                <c:pt idx="2">
                  <c:v>4.3573704034605418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1.6137816597291421</c:v>
                </c:pt>
                <c:pt idx="1">
                  <c:v>1.9847344141617131</c:v>
                </c:pt>
                <c:pt idx="2">
                  <c:v>1.7572321342947488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1.7677347716892653</c:v>
                </c:pt>
                <c:pt idx="1">
                  <c:v>1.9566757244764976</c:v>
                </c:pt>
                <c:pt idx="2">
                  <c:v>2.039039166212036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1.0795902406311839</c:v>
                </c:pt>
                <c:pt idx="1">
                  <c:v>1.1349614489291102</c:v>
                </c:pt>
                <c:pt idx="2">
                  <c:v>1.4393702436186606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2.0531087746528618</c:v>
                </c:pt>
                <c:pt idx="1">
                  <c:v>2.1521020985933519</c:v>
                </c:pt>
                <c:pt idx="2">
                  <c:v>2.2126290819909809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6.0228427981015171</c:v>
                </c:pt>
                <c:pt idx="1">
                  <c:v>6.443944531738441</c:v>
                </c:pt>
                <c:pt idx="2">
                  <c:v>6.0694419180557118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8.8640920675782517</c:v>
                </c:pt>
                <c:pt idx="1">
                  <c:v>8.7658264963118189</c:v>
                </c:pt>
                <c:pt idx="2">
                  <c:v>7.1457551841046003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2.235308471355165</c:v>
                </c:pt>
                <c:pt idx="1">
                  <c:v>1.9325200681724739</c:v>
                </c:pt>
                <c:pt idx="2">
                  <c:v>1.5184641132306231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7.0670562822748888</c:v>
                </c:pt>
                <c:pt idx="1">
                  <c:v>6.7650538367030473</c:v>
                </c:pt>
                <c:pt idx="2">
                  <c:v>7.5378855789483845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2.1836921712135111</c:v>
                </c:pt>
                <c:pt idx="1">
                  <c:v>2.0843894378440386</c:v>
                </c:pt>
                <c:pt idx="2">
                  <c:v>2.0491798183951042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0.10450301145261867</c:v>
                </c:pt>
                <c:pt idx="1">
                  <c:v>0.10993807509762164</c:v>
                </c:pt>
                <c:pt idx="2">
                  <c:v>8.9552472946634848E-2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4-4258-ADBA-A2E70188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092389486513718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6.9591621295945556</c:v>
                </c:pt>
                <c:pt idx="1">
                  <c:v>6.239716240765552</c:v>
                </c:pt>
                <c:pt idx="2">
                  <c:v>5.1294801566640293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1.6195816784058334</c:v>
                </c:pt>
                <c:pt idx="1">
                  <c:v>1.7290885204458633</c:v>
                </c:pt>
                <c:pt idx="2">
                  <c:v>2.3674217738395873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2.6876009696542966</c:v>
                </c:pt>
                <c:pt idx="1">
                  <c:v>2.1874897985727717</c:v>
                </c:pt>
                <c:pt idx="2">
                  <c:v>2.4138504881255138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3.5906809433254629</c:v>
                </c:pt>
                <c:pt idx="1">
                  <c:v>3.4087189761230521</c:v>
                </c:pt>
                <c:pt idx="2">
                  <c:v>3.3860828972154824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5.361437002506662</c:v>
                </c:pt>
                <c:pt idx="1">
                  <c:v>6.2001183202446093</c:v>
                </c:pt>
                <c:pt idx="2">
                  <c:v>6.8222730933604012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4.2539380447589128</c:v>
                </c:pt>
                <c:pt idx="1">
                  <c:v>4.7253495248470809</c:v>
                </c:pt>
                <c:pt idx="2">
                  <c:v>5.2246184565002016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4.893568528028899</c:v>
                </c:pt>
                <c:pt idx="1">
                  <c:v>5.1876959305376324</c:v>
                </c:pt>
                <c:pt idx="2">
                  <c:v>5.5420372965379538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5.9494736884810191</c:v>
                </c:pt>
                <c:pt idx="1">
                  <c:v>7.3309740723321815</c:v>
                </c:pt>
                <c:pt idx="2">
                  <c:v>8.6085014484389522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1.2026255314152567</c:v>
                </c:pt>
                <c:pt idx="1">
                  <c:v>1.0763991410842981</c:v>
                </c:pt>
                <c:pt idx="2">
                  <c:v>1.1272733679343854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3.6932621575439648</c:v>
                </c:pt>
                <c:pt idx="1">
                  <c:v>3.1507601615278804</c:v>
                </c:pt>
                <c:pt idx="2">
                  <c:v>2.7421366698199354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3.2261809581898406</c:v>
                </c:pt>
                <c:pt idx="1">
                  <c:v>2.5807277357228435</c:v>
                </c:pt>
                <c:pt idx="2">
                  <c:v>2.3658280026474712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2.2448511420862944</c:v>
                </c:pt>
                <c:pt idx="1">
                  <c:v>1.8523875524480518</c:v>
                </c:pt>
                <c:pt idx="2">
                  <c:v>1.7238309643015628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1.7421175014837154</c:v>
                </c:pt>
                <c:pt idx="1">
                  <c:v>1.328975143612257</c:v>
                </c:pt>
                <c:pt idx="2">
                  <c:v>0.98023687702960582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10.059722932736722</c:v>
                </c:pt>
                <c:pt idx="1">
                  <c:v>8.9593365812105432</c:v>
                </c:pt>
                <c:pt idx="2">
                  <c:v>8.2133526476101366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-144.49778867492932</c:v>
                </c:pt>
                <c:pt idx="1">
                  <c:v>221.63932212713098</c:v>
                </c:pt>
                <c:pt idx="2">
                  <c:v>29.339606000979074</c:v>
                </c:pt>
                <c:pt idx="3">
                  <c:v>501.75865540353971</c:v>
                </c:pt>
                <c:pt idx="4">
                  <c:v>-38.875410759858369</c:v>
                </c:pt>
                <c:pt idx="5">
                  <c:v>-486.78047203525784</c:v>
                </c:pt>
                <c:pt idx="6">
                  <c:v>296.39304938618352</c:v>
                </c:pt>
                <c:pt idx="7">
                  <c:v>1642.2373702534169</c:v>
                </c:pt>
                <c:pt idx="8">
                  <c:v>571.68966829905185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1543.8549251461131</c:v>
                </c:pt>
                <c:pt idx="1">
                  <c:v>1243.0471891243296</c:v>
                </c:pt>
                <c:pt idx="2">
                  <c:v>1318.6825093327125</c:v>
                </c:pt>
                <c:pt idx="3">
                  <c:v>2371.6580847395353</c:v>
                </c:pt>
                <c:pt idx="4">
                  <c:v>1253.8720120092567</c:v>
                </c:pt>
                <c:pt idx="5">
                  <c:v>1251.9622486300664</c:v>
                </c:pt>
                <c:pt idx="6">
                  <c:v>2525.763708761403</c:v>
                </c:pt>
                <c:pt idx="7">
                  <c:v>5922.4302201540722</c:v>
                </c:pt>
                <c:pt idx="8">
                  <c:v>2695.9887657051995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77.662571129064418</c:v>
                </c:pt>
                <c:pt idx="1">
                  <c:v>494.02709716998766</c:v>
                </c:pt>
                <c:pt idx="2">
                  <c:v>394.49342473640354</c:v>
                </c:pt>
                <c:pt idx="3">
                  <c:v>310.08849002296597</c:v>
                </c:pt>
                <c:pt idx="4">
                  <c:v>267.63048611281374</c:v>
                </c:pt>
                <c:pt idx="5">
                  <c:v>670.02496938123477</c:v>
                </c:pt>
                <c:pt idx="6">
                  <c:v>-34.005507283322231</c:v>
                </c:pt>
                <c:pt idx="7">
                  <c:v>81.67691549298695</c:v>
                </c:pt>
                <c:pt idx="8">
                  <c:v>143.78836715345722</c:v>
                </c:pt>
                <c:pt idx="9">
                  <c:v>78.540641046799237</c:v>
                </c:pt>
                <c:pt idx="10">
                  <c:v>26.392632976261666</c:v>
                </c:pt>
                <c:pt idx="11">
                  <c:v>-381.33685102277741</c:v>
                </c:pt>
                <c:pt idx="12">
                  <c:v>-105.44362101248066</c:v>
                </c:pt>
                <c:pt idx="13">
                  <c:v>47.022360809173676</c:v>
                </c:pt>
                <c:pt idx="14">
                  <c:v>-71.814964068100608</c:v>
                </c:pt>
                <c:pt idx="15">
                  <c:v>-13.817463961423869</c:v>
                </c:pt>
                <c:pt idx="16">
                  <c:v>-0.26534353950773948</c:v>
                </c:pt>
                <c:pt idx="17">
                  <c:v>465.74779123614371</c:v>
                </c:pt>
                <c:pt idx="18">
                  <c:v>40.818712343178163</c:v>
                </c:pt>
                <c:pt idx="19">
                  <c:v>-4.8078481757824605</c:v>
                </c:pt>
                <c:pt idx="20">
                  <c:v>-255.30221897759748</c:v>
                </c:pt>
                <c:pt idx="21">
                  <c:v>284.64182497857678</c:v>
                </c:pt>
                <c:pt idx="22">
                  <c:v>141.75840459628296</c:v>
                </c:pt>
                <c:pt idx="23">
                  <c:v>79.88091753084791</c:v>
                </c:pt>
                <c:pt idx="24">
                  <c:v>-96.554495947058058</c:v>
                </c:pt>
                <c:pt idx="25">
                  <c:v>-47.943292727871267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1377.7523682700655</c:v>
                </c:pt>
                <c:pt idx="1">
                  <c:v>1318.236397435134</c:v>
                </c:pt>
                <c:pt idx="2">
                  <c:v>1288.4068659662071</c:v>
                </c:pt>
                <c:pt idx="3">
                  <c:v>1283.7450082781718</c:v>
                </c:pt>
                <c:pt idx="4">
                  <c:v>1261.3926032558293</c:v>
                </c:pt>
                <c:pt idx="5">
                  <c:v>2088.8857426538648</c:v>
                </c:pt>
                <c:pt idx="6">
                  <c:v>227.7051658366355</c:v>
                </c:pt>
                <c:pt idx="7">
                  <c:v>492.46070273214519</c:v>
                </c:pt>
                <c:pt idx="8">
                  <c:v>312.57639535209472</c:v>
                </c:pt>
                <c:pt idx="9">
                  <c:v>441.66238422933492</c:v>
                </c:pt>
                <c:pt idx="10">
                  <c:v>1051.3590606111923</c:v>
                </c:pt>
                <c:pt idx="11">
                  <c:v>1008.5122531585673</c:v>
                </c:pt>
                <c:pt idx="12">
                  <c:v>243.44999547149894</c:v>
                </c:pt>
                <c:pt idx="13">
                  <c:v>265.8333269646543</c:v>
                </c:pt>
                <c:pt idx="14">
                  <c:v>337.85654202932261</c:v>
                </c:pt>
                <c:pt idx="15">
                  <c:v>373.86833394846451</c:v>
                </c:pt>
                <c:pt idx="16">
                  <c:v>276.31380906681517</c:v>
                </c:pt>
                <c:pt idx="17">
                  <c:v>1939.4930947967757</c:v>
                </c:pt>
                <c:pt idx="18">
                  <c:v>420.98292205284969</c:v>
                </c:pt>
                <c:pt idx="19">
                  <c:v>11.182067889909913</c:v>
                </c:pt>
                <c:pt idx="20">
                  <c:v>671.15774043181068</c:v>
                </c:pt>
                <c:pt idx="21">
                  <c:v>647.52476890090202</c:v>
                </c:pt>
                <c:pt idx="22">
                  <c:v>495.50776348104569</c:v>
                </c:pt>
                <c:pt idx="23">
                  <c:v>747.53942564328383</c:v>
                </c:pt>
                <c:pt idx="24">
                  <c:v>56.255623450424309</c:v>
                </c:pt>
                <c:pt idx="25">
                  <c:v>1487.5993016956888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97971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87086</xdr:colOff>
          <xdr:row>6</xdr:row>
          <xdr:rowOff>87086</xdr:rowOff>
        </xdr:from>
        <xdr:to>
          <xdr:col>1</xdr:col>
          <xdr:colOff>658586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9</xdr:col>
      <xdr:colOff>990600</xdr:colOff>
      <xdr:row>62</xdr:row>
      <xdr:rowOff>63500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B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317500</xdr:colOff>
      <xdr:row>0</xdr:row>
      <xdr:rowOff>0</xdr:rowOff>
    </xdr:from>
    <xdr:to>
      <xdr:col>14</xdr:col>
      <xdr:colOff>14194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C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C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C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C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C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C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38099</xdr:rowOff>
    </xdr:from>
    <xdr:to>
      <xdr:col>9</xdr:col>
      <xdr:colOff>28575</xdr:colOff>
      <xdr:row>45</xdr:row>
      <xdr:rowOff>34924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C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C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C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1193800</xdr:colOff>
      <xdr:row>0</xdr:row>
      <xdr:rowOff>12700</xdr:rowOff>
    </xdr:from>
    <xdr:to>
      <xdr:col>11</xdr:col>
      <xdr:colOff>28164</xdr:colOff>
      <xdr:row>2</xdr:row>
      <xdr:rowOff>14194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2700"/>
          <a:ext cx="38376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280147</xdr:colOff>
      <xdr:row>0</xdr:row>
      <xdr:rowOff>0</xdr:rowOff>
    </xdr:from>
    <xdr:to>
      <xdr:col>14</xdr:col>
      <xdr:colOff>42955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794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156882</xdr:colOff>
      <xdr:row>0</xdr:row>
      <xdr:rowOff>33618</xdr:rowOff>
    </xdr:from>
    <xdr:to>
      <xdr:col>19</xdr:col>
      <xdr:colOff>524808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147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3586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63500</xdr:rowOff>
    </xdr:from>
    <xdr:to>
      <xdr:col>9</xdr:col>
      <xdr:colOff>1057275</xdr:colOff>
      <xdr:row>78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139700</xdr:colOff>
      <xdr:row>0</xdr:row>
      <xdr:rowOff>0</xdr:rowOff>
    </xdr:from>
    <xdr:to>
      <xdr:col>13</xdr:col>
      <xdr:colOff>517077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3700" y="0"/>
          <a:ext cx="377377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</xdr:colOff>
      <xdr:row>150</xdr:row>
      <xdr:rowOff>15875</xdr:rowOff>
    </xdr:from>
    <xdr:to>
      <xdr:col>9</xdr:col>
      <xdr:colOff>1089025</xdr:colOff>
      <xdr:row>184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164</xdr:row>
      <xdr:rowOff>9525</xdr:rowOff>
    </xdr:from>
    <xdr:to>
      <xdr:col>9</xdr:col>
      <xdr:colOff>9525</xdr:colOff>
      <xdr:row>196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198</xdr:row>
      <xdr:rowOff>190500</xdr:rowOff>
    </xdr:from>
    <xdr:to>
      <xdr:col>9</xdr:col>
      <xdr:colOff>9525</xdr:colOff>
      <xdr:row>231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234</xdr:row>
      <xdr:rowOff>63500</xdr:rowOff>
    </xdr:from>
    <xdr:to>
      <xdr:col>8</xdr:col>
      <xdr:colOff>2114550</xdr:colOff>
      <xdr:row>266</xdr:row>
      <xdr:rowOff>82550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269</xdr:row>
      <xdr:rowOff>0</xdr:rowOff>
    </xdr:from>
    <xdr:to>
      <xdr:col>9</xdr:col>
      <xdr:colOff>9525</xdr:colOff>
      <xdr:row>301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303</xdr:row>
      <xdr:rowOff>190500</xdr:rowOff>
    </xdr:from>
    <xdr:to>
      <xdr:col>8</xdr:col>
      <xdr:colOff>2117725</xdr:colOff>
      <xdr:row>336</xdr:row>
      <xdr:rowOff>25400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339</xdr:row>
      <xdr:rowOff>0</xdr:rowOff>
    </xdr:from>
    <xdr:to>
      <xdr:col>8</xdr:col>
      <xdr:colOff>2114550</xdr:colOff>
      <xdr:row>371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374</xdr:row>
      <xdr:rowOff>0</xdr:rowOff>
    </xdr:from>
    <xdr:to>
      <xdr:col>9</xdr:col>
      <xdr:colOff>9525</xdr:colOff>
      <xdr:row>406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409</xdr:row>
      <xdr:rowOff>22225</xdr:rowOff>
    </xdr:from>
    <xdr:to>
      <xdr:col>9</xdr:col>
      <xdr:colOff>12700</xdr:colOff>
      <xdr:row>439</xdr:row>
      <xdr:rowOff>139700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444</xdr:row>
      <xdr:rowOff>0</xdr:rowOff>
    </xdr:from>
    <xdr:to>
      <xdr:col>9</xdr:col>
      <xdr:colOff>9525</xdr:colOff>
      <xdr:row>476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58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118</xdr:row>
      <xdr:rowOff>0</xdr:rowOff>
    </xdr:from>
    <xdr:to>
      <xdr:col>9</xdr:col>
      <xdr:colOff>12700</xdr:colOff>
      <xdr:row>161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479</xdr:row>
      <xdr:rowOff>12700</xdr:rowOff>
    </xdr:from>
    <xdr:to>
      <xdr:col>9</xdr:col>
      <xdr:colOff>0</xdr:colOff>
      <xdr:row>503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506</xdr:row>
      <xdr:rowOff>190500</xdr:rowOff>
    </xdr:from>
    <xdr:to>
      <xdr:col>8</xdr:col>
      <xdr:colOff>2095500</xdr:colOff>
      <xdr:row>532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373295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59</xdr:row>
      <xdr:rowOff>63500</xdr:rowOff>
    </xdr:from>
    <xdr:to>
      <xdr:col>9</xdr:col>
      <xdr:colOff>12700</xdr:colOff>
      <xdr:row>115</xdr:row>
      <xdr:rowOff>41275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18</xdr:col>
      <xdr:colOff>622300</xdr:colOff>
      <xdr:row>29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/>
      </xdr:nvGrpSpPr>
      <xdr:grpSpPr>
        <a:xfrm>
          <a:off x="0" y="406400"/>
          <a:ext cx="12482739" cy="4430939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6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6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6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6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50800</xdr:rowOff>
    </xdr:from>
    <xdr:to>
      <xdr:col>9</xdr:col>
      <xdr:colOff>260351</xdr:colOff>
      <xdr:row>38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375472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A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377377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83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83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84</xdr:row>
      <xdr:rowOff>85910</xdr:rowOff>
    </xdr:from>
    <xdr:to>
      <xdr:col>30</xdr:col>
      <xdr:colOff>493058</xdr:colOff>
      <xdr:row>109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84</xdr:row>
      <xdr:rowOff>142688</xdr:rowOff>
    </xdr:from>
    <xdr:to>
      <xdr:col>49</xdr:col>
      <xdr:colOff>489698</xdr:colOff>
      <xdr:row>110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111</xdr:row>
      <xdr:rowOff>53041</xdr:rowOff>
    </xdr:from>
    <xdr:to>
      <xdr:col>30</xdr:col>
      <xdr:colOff>518271</xdr:colOff>
      <xdr:row>139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111</xdr:row>
      <xdr:rowOff>53041</xdr:rowOff>
    </xdr:from>
    <xdr:to>
      <xdr:col>40</xdr:col>
      <xdr:colOff>120464</xdr:colOff>
      <xdr:row>139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407185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83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84</xdr:row>
      <xdr:rowOff>134470</xdr:rowOff>
    </xdr:from>
    <xdr:to>
      <xdr:col>40</xdr:col>
      <xdr:colOff>102346</xdr:colOff>
      <xdr:row>109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111</xdr:row>
      <xdr:rowOff>56029</xdr:rowOff>
    </xdr:from>
    <xdr:to>
      <xdr:col>49</xdr:col>
      <xdr:colOff>458133</xdr:colOff>
      <xdr:row>139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73137</xdr:colOff>
      <xdr:row>2</xdr:row>
      <xdr:rowOff>20732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118223</xdr:rowOff>
    </xdr:from>
    <xdr:to>
      <xdr:col>11</xdr:col>
      <xdr:colOff>586068</xdr:colOff>
      <xdr:row>31</xdr:row>
      <xdr:rowOff>156323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E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392168</xdr:colOff>
      <xdr:row>2</xdr:row>
      <xdr:rowOff>9301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460337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460301</xdr:colOff>
      <xdr:row>2</xdr:row>
      <xdr:rowOff>28986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6" sqref="B6"/>
    </sheetView>
  </sheetViews>
  <sheetFormatPr defaultRowHeight="12.45" x14ac:dyDescent="0.3"/>
  <cols>
    <col min="1" max="1" width="16.3828125" customWidth="1"/>
  </cols>
  <sheetData>
    <row r="1" spans="1:10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3">
      <c r="A2" t="s">
        <v>140</v>
      </c>
      <c r="B2" s="82" t="s">
        <v>541</v>
      </c>
      <c r="C2" t="s">
        <v>524</v>
      </c>
      <c r="D2" t="s">
        <v>523</v>
      </c>
    </row>
    <row r="3" spans="1:10" x14ac:dyDescent="0.3">
      <c r="B3" s="82"/>
    </row>
    <row r="11" spans="1:10" x14ac:dyDescent="0.3">
      <c r="A11" t="s">
        <v>141</v>
      </c>
      <c r="B11" s="82" t="s">
        <v>541</v>
      </c>
    </row>
    <row r="12" spans="1:10" x14ac:dyDescent="0.3">
      <c r="B12" s="82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opLeftCell="A9" zoomScale="75" zoomScaleNormal="75" workbookViewId="0">
      <selection activeCell="I21" sqref="I21"/>
    </sheetView>
  </sheetViews>
  <sheetFormatPr defaultColWidth="10.3828125" defaultRowHeight="12.45" x14ac:dyDescent="0.3"/>
  <cols>
    <col min="1" max="13" width="11.53515625" style="214" customWidth="1"/>
    <col min="14" max="256" width="10.3828125" style="214"/>
    <col min="257" max="269" width="11.53515625" style="214" customWidth="1"/>
    <col min="270" max="512" width="10.3828125" style="214"/>
    <col min="513" max="525" width="11.53515625" style="214" customWidth="1"/>
    <col min="526" max="768" width="10.3828125" style="214"/>
    <col min="769" max="781" width="11.53515625" style="214" customWidth="1"/>
    <col min="782" max="1024" width="10.3828125" style="214"/>
    <col min="1025" max="1037" width="11.53515625" style="214" customWidth="1"/>
    <col min="1038" max="1280" width="10.3828125" style="214"/>
    <col min="1281" max="1293" width="11.53515625" style="214" customWidth="1"/>
    <col min="1294" max="1536" width="10.3828125" style="214"/>
    <col min="1537" max="1549" width="11.53515625" style="214" customWidth="1"/>
    <col min="1550" max="1792" width="10.3828125" style="214"/>
    <col min="1793" max="1805" width="11.53515625" style="214" customWidth="1"/>
    <col min="1806" max="2048" width="10.3828125" style="214"/>
    <col min="2049" max="2061" width="11.53515625" style="214" customWidth="1"/>
    <col min="2062" max="2304" width="10.3828125" style="214"/>
    <col min="2305" max="2317" width="11.53515625" style="214" customWidth="1"/>
    <col min="2318" max="2560" width="10.3828125" style="214"/>
    <col min="2561" max="2573" width="11.53515625" style="214" customWidth="1"/>
    <col min="2574" max="2816" width="10.3828125" style="214"/>
    <col min="2817" max="2829" width="11.53515625" style="214" customWidth="1"/>
    <col min="2830" max="3072" width="10.3828125" style="214"/>
    <col min="3073" max="3085" width="11.53515625" style="214" customWidth="1"/>
    <col min="3086" max="3328" width="10.3828125" style="214"/>
    <col min="3329" max="3341" width="11.53515625" style="214" customWidth="1"/>
    <col min="3342" max="3584" width="10.3828125" style="214"/>
    <col min="3585" max="3597" width="11.53515625" style="214" customWidth="1"/>
    <col min="3598" max="3840" width="10.3828125" style="214"/>
    <col min="3841" max="3853" width="11.53515625" style="214" customWidth="1"/>
    <col min="3854" max="4096" width="10.3828125" style="214"/>
    <col min="4097" max="4109" width="11.53515625" style="214" customWidth="1"/>
    <col min="4110" max="4352" width="10.3828125" style="214"/>
    <col min="4353" max="4365" width="11.53515625" style="214" customWidth="1"/>
    <col min="4366" max="4608" width="10.3828125" style="214"/>
    <col min="4609" max="4621" width="11.53515625" style="214" customWidth="1"/>
    <col min="4622" max="4864" width="10.3828125" style="214"/>
    <col min="4865" max="4877" width="11.53515625" style="214" customWidth="1"/>
    <col min="4878" max="5120" width="10.3828125" style="214"/>
    <col min="5121" max="5133" width="11.53515625" style="214" customWidth="1"/>
    <col min="5134" max="5376" width="10.3828125" style="214"/>
    <col min="5377" max="5389" width="11.53515625" style="214" customWidth="1"/>
    <col min="5390" max="5632" width="10.3828125" style="214"/>
    <col min="5633" max="5645" width="11.53515625" style="214" customWidth="1"/>
    <col min="5646" max="5888" width="10.3828125" style="214"/>
    <col min="5889" max="5901" width="11.53515625" style="214" customWidth="1"/>
    <col min="5902" max="6144" width="10.3828125" style="214"/>
    <col min="6145" max="6157" width="11.53515625" style="214" customWidth="1"/>
    <col min="6158" max="6400" width="10.3828125" style="214"/>
    <col min="6401" max="6413" width="11.53515625" style="214" customWidth="1"/>
    <col min="6414" max="6656" width="10.3828125" style="214"/>
    <col min="6657" max="6669" width="11.53515625" style="214" customWidth="1"/>
    <col min="6670" max="6912" width="10.3828125" style="214"/>
    <col min="6913" max="6925" width="11.53515625" style="214" customWidth="1"/>
    <col min="6926" max="7168" width="10.3828125" style="214"/>
    <col min="7169" max="7181" width="11.53515625" style="214" customWidth="1"/>
    <col min="7182" max="7424" width="10.3828125" style="214"/>
    <col min="7425" max="7437" width="11.53515625" style="214" customWidth="1"/>
    <col min="7438" max="7680" width="10.3828125" style="214"/>
    <col min="7681" max="7693" width="11.53515625" style="214" customWidth="1"/>
    <col min="7694" max="7936" width="10.3828125" style="214"/>
    <col min="7937" max="7949" width="11.53515625" style="214" customWidth="1"/>
    <col min="7950" max="8192" width="10.3828125" style="214"/>
    <col min="8193" max="8205" width="11.53515625" style="214" customWidth="1"/>
    <col min="8206" max="8448" width="10.3828125" style="214"/>
    <col min="8449" max="8461" width="11.53515625" style="214" customWidth="1"/>
    <col min="8462" max="8704" width="10.3828125" style="214"/>
    <col min="8705" max="8717" width="11.53515625" style="214" customWidth="1"/>
    <col min="8718" max="8960" width="10.3828125" style="214"/>
    <col min="8961" max="8973" width="11.53515625" style="214" customWidth="1"/>
    <col min="8974" max="9216" width="10.3828125" style="214"/>
    <col min="9217" max="9229" width="11.53515625" style="214" customWidth="1"/>
    <col min="9230" max="9472" width="10.3828125" style="214"/>
    <col min="9473" max="9485" width="11.53515625" style="214" customWidth="1"/>
    <col min="9486" max="9728" width="10.3828125" style="214"/>
    <col min="9729" max="9741" width="11.53515625" style="214" customWidth="1"/>
    <col min="9742" max="9984" width="10.3828125" style="214"/>
    <col min="9985" max="9997" width="11.53515625" style="214" customWidth="1"/>
    <col min="9998" max="10240" width="10.3828125" style="214"/>
    <col min="10241" max="10253" width="11.53515625" style="214" customWidth="1"/>
    <col min="10254" max="10496" width="10.3828125" style="214"/>
    <col min="10497" max="10509" width="11.53515625" style="214" customWidth="1"/>
    <col min="10510" max="10752" width="10.3828125" style="214"/>
    <col min="10753" max="10765" width="11.53515625" style="214" customWidth="1"/>
    <col min="10766" max="11008" width="10.3828125" style="214"/>
    <col min="11009" max="11021" width="11.53515625" style="214" customWidth="1"/>
    <col min="11022" max="11264" width="10.3828125" style="214"/>
    <col min="11265" max="11277" width="11.53515625" style="214" customWidth="1"/>
    <col min="11278" max="11520" width="10.3828125" style="214"/>
    <col min="11521" max="11533" width="11.53515625" style="214" customWidth="1"/>
    <col min="11534" max="11776" width="10.3828125" style="214"/>
    <col min="11777" max="11789" width="11.53515625" style="214" customWidth="1"/>
    <col min="11790" max="12032" width="10.3828125" style="214"/>
    <col min="12033" max="12045" width="11.53515625" style="214" customWidth="1"/>
    <col min="12046" max="12288" width="10.3828125" style="214"/>
    <col min="12289" max="12301" width="11.53515625" style="214" customWidth="1"/>
    <col min="12302" max="12544" width="10.3828125" style="214"/>
    <col min="12545" max="12557" width="11.53515625" style="214" customWidth="1"/>
    <col min="12558" max="12800" width="10.3828125" style="214"/>
    <col min="12801" max="12813" width="11.53515625" style="214" customWidth="1"/>
    <col min="12814" max="13056" width="10.3828125" style="214"/>
    <col min="13057" max="13069" width="11.53515625" style="214" customWidth="1"/>
    <col min="13070" max="13312" width="10.3828125" style="214"/>
    <col min="13313" max="13325" width="11.53515625" style="214" customWidth="1"/>
    <col min="13326" max="13568" width="10.3828125" style="214"/>
    <col min="13569" max="13581" width="11.53515625" style="214" customWidth="1"/>
    <col min="13582" max="13824" width="10.3828125" style="214"/>
    <col min="13825" max="13837" width="11.53515625" style="214" customWidth="1"/>
    <col min="13838" max="14080" width="10.3828125" style="214"/>
    <col min="14081" max="14093" width="11.53515625" style="214" customWidth="1"/>
    <col min="14094" max="14336" width="10.3828125" style="214"/>
    <col min="14337" max="14349" width="11.53515625" style="214" customWidth="1"/>
    <col min="14350" max="14592" width="10.3828125" style="214"/>
    <col min="14593" max="14605" width="11.53515625" style="214" customWidth="1"/>
    <col min="14606" max="14848" width="10.3828125" style="214"/>
    <col min="14849" max="14861" width="11.53515625" style="214" customWidth="1"/>
    <col min="14862" max="15104" width="10.3828125" style="214"/>
    <col min="15105" max="15117" width="11.53515625" style="214" customWidth="1"/>
    <col min="15118" max="15360" width="10.3828125" style="214"/>
    <col min="15361" max="15373" width="11.53515625" style="214" customWidth="1"/>
    <col min="15374" max="15616" width="10.3828125" style="214"/>
    <col min="15617" max="15629" width="11.53515625" style="214" customWidth="1"/>
    <col min="15630" max="15872" width="10.3828125" style="214"/>
    <col min="15873" max="15885" width="11.53515625" style="214" customWidth="1"/>
    <col min="15886" max="16128" width="10.3828125" style="214"/>
    <col min="16129" max="16141" width="11.53515625" style="214" customWidth="1"/>
    <col min="16142" max="16384" width="10.3828125" style="214"/>
  </cols>
  <sheetData>
    <row r="1" spans="1:14" ht="12.9" x14ac:dyDescent="0.35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</row>
    <row r="2" spans="1:14" ht="18.75" customHeight="1" x14ac:dyDescent="0.35">
      <c r="A2" s="348"/>
      <c r="B2" s="348"/>
      <c r="C2" s="348"/>
      <c r="D2" s="348"/>
      <c r="E2" s="348"/>
      <c r="F2" s="365" t="s">
        <v>145</v>
      </c>
      <c r="G2" s="365"/>
      <c r="H2" s="365"/>
      <c r="I2" s="348"/>
      <c r="J2" s="348"/>
      <c r="K2" s="348"/>
      <c r="L2" s="348"/>
      <c r="M2" s="348"/>
      <c r="N2" s="348"/>
    </row>
    <row r="3" spans="1:14" ht="18.75" customHeight="1" x14ac:dyDescent="0.35">
      <c r="A3" s="348"/>
      <c r="B3" s="348"/>
      <c r="C3" s="366" t="s">
        <v>467</v>
      </c>
      <c r="D3" s="366"/>
      <c r="E3" s="366"/>
      <c r="F3" s="366"/>
      <c r="G3" s="366"/>
      <c r="H3" s="366"/>
      <c r="I3" s="366"/>
      <c r="J3" s="366"/>
      <c r="K3" s="366"/>
      <c r="L3" s="348"/>
      <c r="M3" s="348"/>
      <c r="N3" s="348"/>
    </row>
    <row r="4" spans="1:14" ht="18.75" customHeight="1" x14ac:dyDescent="0.35">
      <c r="A4" s="348"/>
      <c r="B4" s="348"/>
      <c r="C4" s="366" t="s">
        <v>468</v>
      </c>
      <c r="D4" s="366"/>
      <c r="E4" s="366"/>
      <c r="F4" s="366"/>
      <c r="G4" s="366"/>
      <c r="H4" s="366"/>
      <c r="I4" s="366"/>
      <c r="J4" s="366"/>
      <c r="K4" s="366"/>
      <c r="L4" s="348"/>
      <c r="M4" s="348"/>
      <c r="N4" s="348"/>
    </row>
    <row r="5" spans="1:14" ht="18.75" customHeight="1" x14ac:dyDescent="0.35">
      <c r="A5" s="348"/>
      <c r="B5" s="348"/>
      <c r="C5" s="348"/>
      <c r="D5" s="348"/>
      <c r="E5" s="348"/>
      <c r="F5" s="348"/>
      <c r="G5" s="350" t="s">
        <v>146</v>
      </c>
      <c r="H5" s="348"/>
      <c r="I5" s="348"/>
      <c r="J5" s="348"/>
      <c r="K5" s="348"/>
      <c r="L5" s="348"/>
      <c r="M5" s="348"/>
      <c r="N5" s="348"/>
    </row>
    <row r="6" spans="1:14" ht="12.75" customHeight="1" x14ac:dyDescent="0.35">
      <c r="A6" s="348"/>
      <c r="B6" s="348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</row>
    <row r="7" spans="1:14" ht="19.5" customHeight="1" x14ac:dyDescent="0.35">
      <c r="A7" s="348"/>
      <c r="B7" s="348"/>
      <c r="C7" s="367" t="s">
        <v>147</v>
      </c>
      <c r="D7" s="367"/>
      <c r="E7" s="367"/>
      <c r="F7" s="367"/>
      <c r="G7" s="367"/>
      <c r="H7" s="367"/>
      <c r="I7" s="367"/>
      <c r="J7" s="367"/>
      <c r="K7" s="367"/>
      <c r="L7" s="348"/>
      <c r="M7" s="348"/>
      <c r="N7" s="348"/>
    </row>
    <row r="8" spans="1:14" ht="18.75" customHeight="1" x14ac:dyDescent="0.35">
      <c r="A8" s="348"/>
      <c r="B8" s="348"/>
      <c r="C8" s="368" t="s">
        <v>148</v>
      </c>
      <c r="D8" s="368"/>
      <c r="E8" s="368"/>
      <c r="F8" s="368"/>
      <c r="G8" s="368"/>
      <c r="H8" s="368"/>
      <c r="I8" s="368"/>
      <c r="J8" s="368"/>
      <c r="K8" s="368"/>
      <c r="L8" s="348"/>
      <c r="M8" s="348"/>
      <c r="N8" s="348"/>
    </row>
    <row r="9" spans="1:14" ht="18.75" customHeight="1" x14ac:dyDescent="0.35">
      <c r="A9" s="348"/>
      <c r="B9" s="368" t="s">
        <v>149</v>
      </c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49"/>
      <c r="N9" s="348"/>
    </row>
    <row r="10" spans="1:14" ht="18.75" customHeight="1" x14ac:dyDescent="0.35">
      <c r="A10" s="348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8"/>
    </row>
    <row r="11" spans="1:14" ht="12.9" x14ac:dyDescent="0.35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</row>
    <row r="12" spans="1:14" ht="15.45" x14ac:dyDescent="0.35">
      <c r="A12" s="348"/>
      <c r="B12" s="348"/>
      <c r="C12" s="348"/>
      <c r="D12" s="348"/>
      <c r="E12" s="348"/>
      <c r="F12" s="348"/>
      <c r="G12" s="215" t="s">
        <v>522</v>
      </c>
      <c r="H12" s="348"/>
      <c r="I12" s="348"/>
      <c r="J12" s="348"/>
      <c r="K12" s="348"/>
      <c r="L12" s="348"/>
      <c r="M12" s="348"/>
      <c r="N12" s="348"/>
    </row>
    <row r="13" spans="1:14" ht="12.9" x14ac:dyDescent="0.35">
      <c r="A13" s="348"/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</row>
    <row r="14" spans="1:14" ht="13.3" thickBot="1" x14ac:dyDescent="0.4">
      <c r="A14" s="348"/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</row>
    <row r="15" spans="1:14" ht="15.45" x14ac:dyDescent="0.35">
      <c r="A15" s="216"/>
      <c r="B15" s="217"/>
      <c r="C15" s="218"/>
      <c r="D15" s="218"/>
      <c r="E15" s="218"/>
      <c r="F15" s="218"/>
      <c r="G15" s="219" t="s">
        <v>150</v>
      </c>
      <c r="H15" s="218"/>
      <c r="I15" s="218"/>
      <c r="J15" s="218"/>
      <c r="K15" s="218"/>
      <c r="L15" s="220"/>
      <c r="M15" s="348"/>
      <c r="N15" s="348"/>
    </row>
    <row r="16" spans="1:14" ht="15" x14ac:dyDescent="0.35">
      <c r="A16" s="216"/>
      <c r="B16" s="221"/>
      <c r="C16" s="348"/>
      <c r="D16" s="348"/>
      <c r="E16" s="348"/>
      <c r="F16" s="348"/>
      <c r="G16" s="222" t="s">
        <v>151</v>
      </c>
      <c r="H16" s="348"/>
      <c r="I16" s="348"/>
      <c r="J16" s="348"/>
      <c r="K16" s="348"/>
      <c r="L16" s="223"/>
      <c r="M16" s="348"/>
      <c r="N16" s="348"/>
    </row>
    <row r="17" spans="1:14" ht="15" x14ac:dyDescent="0.35">
      <c r="A17" s="216"/>
      <c r="B17" s="221"/>
      <c r="C17" s="348"/>
      <c r="D17" s="348"/>
      <c r="E17" s="348"/>
      <c r="F17" s="348"/>
      <c r="G17" s="222" t="s">
        <v>152</v>
      </c>
      <c r="H17" s="348"/>
      <c r="I17" s="348"/>
      <c r="J17" s="348"/>
      <c r="K17" s="348"/>
      <c r="L17" s="223"/>
      <c r="M17" s="348"/>
      <c r="N17" s="348"/>
    </row>
    <row r="18" spans="1:14" ht="15" x14ac:dyDescent="0.35">
      <c r="A18" s="216"/>
      <c r="B18" s="221"/>
      <c r="C18" s="348"/>
      <c r="D18" s="348"/>
      <c r="E18" s="348"/>
      <c r="F18" s="348"/>
      <c r="G18" s="222" t="s">
        <v>525</v>
      </c>
      <c r="H18" s="348"/>
      <c r="I18" s="348"/>
      <c r="J18" s="348"/>
      <c r="K18" s="348"/>
      <c r="L18" s="223"/>
      <c r="M18" s="348"/>
      <c r="N18" s="348"/>
    </row>
    <row r="19" spans="1:14" ht="15" x14ac:dyDescent="0.35">
      <c r="A19" s="216"/>
      <c r="B19" s="221"/>
      <c r="C19" s="348"/>
      <c r="D19" s="348"/>
      <c r="E19" s="348"/>
      <c r="F19" s="348"/>
      <c r="G19" s="222"/>
      <c r="H19" s="348"/>
      <c r="I19" s="348"/>
      <c r="J19" s="348"/>
      <c r="K19" s="348"/>
      <c r="L19" s="223"/>
      <c r="M19" s="348"/>
      <c r="N19" s="348"/>
    </row>
    <row r="20" spans="1:14" ht="15" x14ac:dyDescent="0.35">
      <c r="A20" s="216"/>
      <c r="B20" s="221"/>
      <c r="C20" s="348"/>
      <c r="D20" s="348"/>
      <c r="E20" s="348"/>
      <c r="F20" s="348"/>
      <c r="G20" s="222" t="s">
        <v>526</v>
      </c>
      <c r="H20" s="348"/>
      <c r="I20" s="348"/>
      <c r="J20" s="348"/>
      <c r="K20" s="348"/>
      <c r="L20" s="223"/>
      <c r="M20" s="348"/>
      <c r="N20" s="348"/>
    </row>
    <row r="21" spans="1:14" ht="15" x14ac:dyDescent="0.35">
      <c r="A21" s="216"/>
      <c r="B21" s="221"/>
      <c r="C21" s="348"/>
      <c r="D21" s="348"/>
      <c r="E21" s="348"/>
      <c r="F21" s="348"/>
      <c r="G21" s="348"/>
      <c r="H21" s="348"/>
      <c r="I21" s="348"/>
      <c r="J21" s="348"/>
      <c r="K21" s="348"/>
      <c r="L21" s="223"/>
      <c r="M21" s="348"/>
      <c r="N21" s="348"/>
    </row>
    <row r="22" spans="1:14" ht="15" x14ac:dyDescent="0.35">
      <c r="A22" s="216"/>
      <c r="B22" s="221"/>
      <c r="C22" s="348"/>
      <c r="D22" s="348"/>
      <c r="E22" s="348"/>
      <c r="F22" s="348"/>
      <c r="G22" s="351" t="s">
        <v>527</v>
      </c>
      <c r="H22" s="348"/>
      <c r="I22" s="348"/>
      <c r="J22" s="348"/>
      <c r="K22" s="348"/>
      <c r="L22" s="223"/>
      <c r="M22" s="348"/>
      <c r="N22" s="348"/>
    </row>
    <row r="23" spans="1:14" ht="15" x14ac:dyDescent="0.35">
      <c r="A23" s="216"/>
      <c r="B23" s="221"/>
      <c r="C23" s="348"/>
      <c r="D23" s="348"/>
      <c r="E23" s="348"/>
      <c r="F23" s="348"/>
      <c r="G23" s="351" t="s">
        <v>469</v>
      </c>
      <c r="H23" s="348"/>
      <c r="I23" s="348"/>
      <c r="J23" s="348"/>
      <c r="K23" s="348"/>
      <c r="L23" s="223"/>
      <c r="M23" s="348"/>
      <c r="N23" s="348"/>
    </row>
    <row r="24" spans="1:14" ht="15" x14ac:dyDescent="0.35">
      <c r="A24" s="216"/>
      <c r="B24" s="221"/>
      <c r="C24" s="348"/>
      <c r="D24" s="348"/>
      <c r="E24" s="348"/>
      <c r="F24" s="348"/>
      <c r="G24" s="351" t="s">
        <v>470</v>
      </c>
      <c r="H24" s="348"/>
      <c r="I24" s="348"/>
      <c r="J24" s="348"/>
      <c r="K24" s="348"/>
      <c r="L24" s="223"/>
      <c r="M24" s="348"/>
      <c r="N24" s="348"/>
    </row>
    <row r="25" spans="1:14" ht="15" x14ac:dyDescent="0.35">
      <c r="A25" s="216"/>
      <c r="B25" s="221"/>
      <c r="C25" s="348"/>
      <c r="D25" s="348"/>
      <c r="E25" s="348"/>
      <c r="F25" s="348"/>
      <c r="G25" s="225"/>
      <c r="H25" s="348"/>
      <c r="I25" s="348"/>
      <c r="J25" s="348"/>
      <c r="K25" s="348"/>
      <c r="L25" s="223"/>
      <c r="M25" s="348"/>
      <c r="N25" s="348"/>
    </row>
    <row r="26" spans="1:14" ht="15" x14ac:dyDescent="0.35">
      <c r="A26" s="216"/>
      <c r="B26" s="221"/>
      <c r="C26" s="348"/>
      <c r="D26" s="348"/>
      <c r="E26" s="348"/>
      <c r="F26" s="348"/>
      <c r="G26" s="222" t="s">
        <v>155</v>
      </c>
      <c r="H26" s="348"/>
      <c r="I26" s="348"/>
      <c r="J26" s="348"/>
      <c r="K26" s="348"/>
      <c r="L26" s="223"/>
      <c r="M26" s="348"/>
      <c r="N26" s="348"/>
    </row>
    <row r="27" spans="1:14" ht="15" x14ac:dyDescent="0.35">
      <c r="A27" s="216"/>
      <c r="B27" s="221"/>
      <c r="C27" s="348"/>
      <c r="D27" s="348"/>
      <c r="E27" s="348"/>
      <c r="F27" s="348"/>
      <c r="G27" s="222" t="s">
        <v>471</v>
      </c>
      <c r="H27" s="348"/>
      <c r="I27" s="348"/>
      <c r="J27" s="348"/>
      <c r="K27" s="348"/>
      <c r="L27" s="223"/>
      <c r="M27" s="348"/>
      <c r="N27" s="348"/>
    </row>
    <row r="28" spans="1:14" ht="15" x14ac:dyDescent="0.35">
      <c r="A28" s="216"/>
      <c r="B28" s="221"/>
      <c r="C28" s="348"/>
      <c r="D28" s="348"/>
      <c r="E28" s="348"/>
      <c r="F28" s="348"/>
      <c r="G28" s="351" t="s">
        <v>472</v>
      </c>
      <c r="H28" s="348"/>
      <c r="I28" s="348"/>
      <c r="J28" s="348"/>
      <c r="K28" s="348"/>
      <c r="L28" s="223"/>
      <c r="M28" s="348"/>
      <c r="N28" s="348"/>
    </row>
    <row r="29" spans="1:14" ht="15" x14ac:dyDescent="0.35">
      <c r="A29" s="216"/>
      <c r="B29" s="221"/>
      <c r="C29" s="348"/>
      <c r="D29" s="348"/>
      <c r="E29" s="348"/>
      <c r="F29" s="348"/>
      <c r="G29" s="222" t="s">
        <v>156</v>
      </c>
      <c r="H29" s="348"/>
      <c r="I29" s="348"/>
      <c r="J29" s="348"/>
      <c r="K29" s="348"/>
      <c r="L29" s="223"/>
      <c r="M29" s="348"/>
      <c r="N29" s="348"/>
    </row>
    <row r="30" spans="1:14" ht="15" x14ac:dyDescent="0.35">
      <c r="A30" s="216"/>
      <c r="B30" s="221"/>
      <c r="C30" s="348"/>
      <c r="D30" s="348"/>
      <c r="E30" s="348"/>
      <c r="F30" s="348"/>
      <c r="G30" s="222" t="s">
        <v>157</v>
      </c>
      <c r="H30" s="348"/>
      <c r="I30" s="348"/>
      <c r="J30" s="348"/>
      <c r="K30" s="348"/>
      <c r="L30" s="223"/>
      <c r="M30" s="348"/>
      <c r="N30" s="348"/>
    </row>
    <row r="31" spans="1:14" ht="15" x14ac:dyDescent="0.35">
      <c r="A31" s="216"/>
      <c r="B31" s="221"/>
      <c r="C31" s="348"/>
      <c r="D31" s="348"/>
      <c r="E31" s="348"/>
      <c r="F31" s="348"/>
      <c r="G31" s="348"/>
      <c r="H31" s="348"/>
      <c r="I31" s="348"/>
      <c r="J31" s="348"/>
      <c r="K31" s="348"/>
      <c r="L31" s="223"/>
      <c r="M31" s="348"/>
      <c r="N31" s="348"/>
    </row>
    <row r="32" spans="1:14" ht="15" x14ac:dyDescent="0.35">
      <c r="A32" s="216"/>
      <c r="B32" s="221"/>
      <c r="C32" s="348"/>
      <c r="D32" s="348"/>
      <c r="E32" s="348"/>
      <c r="F32" s="348"/>
      <c r="G32" s="222" t="s">
        <v>153</v>
      </c>
      <c r="H32" s="348"/>
      <c r="I32" s="348"/>
      <c r="J32" s="348"/>
      <c r="K32" s="348"/>
      <c r="L32" s="223"/>
      <c r="M32" s="348"/>
      <c r="N32" s="348"/>
    </row>
    <row r="33" spans="1:14" ht="15" x14ac:dyDescent="0.35">
      <c r="A33" s="216"/>
      <c r="B33" s="221"/>
      <c r="C33" s="348"/>
      <c r="D33" s="348"/>
      <c r="E33" s="348"/>
      <c r="F33" s="348"/>
      <c r="G33" s="351" t="s">
        <v>473</v>
      </c>
      <c r="H33" s="348"/>
      <c r="I33" s="348"/>
      <c r="J33" s="348"/>
      <c r="K33" s="348"/>
      <c r="L33" s="223"/>
      <c r="M33" s="348"/>
      <c r="N33" s="348"/>
    </row>
    <row r="34" spans="1:14" ht="15" x14ac:dyDescent="0.35">
      <c r="A34" s="216"/>
      <c r="B34" s="221"/>
      <c r="C34" s="348"/>
      <c r="D34" s="348"/>
      <c r="E34" s="348"/>
      <c r="F34" s="348"/>
      <c r="G34" s="222" t="s">
        <v>154</v>
      </c>
      <c r="H34" s="348"/>
      <c r="I34" s="348"/>
      <c r="J34" s="348"/>
      <c r="K34" s="348"/>
      <c r="L34" s="223"/>
      <c r="M34" s="348"/>
      <c r="N34" s="348"/>
    </row>
    <row r="35" spans="1:14" ht="15" x14ac:dyDescent="0.35">
      <c r="A35" s="216"/>
      <c r="B35" s="221"/>
      <c r="C35" s="348"/>
      <c r="D35" s="348"/>
      <c r="E35" s="348"/>
      <c r="F35" s="348"/>
      <c r="G35" s="348"/>
      <c r="H35" s="348"/>
      <c r="I35" s="348"/>
      <c r="J35" s="348"/>
      <c r="K35" s="348"/>
      <c r="L35" s="223"/>
      <c r="M35" s="348"/>
      <c r="N35" s="348"/>
    </row>
    <row r="36" spans="1:14" ht="15.45" x14ac:dyDescent="0.35">
      <c r="A36" s="216"/>
      <c r="B36" s="224"/>
      <c r="C36" s="348"/>
      <c r="D36" s="348"/>
      <c r="E36" s="348"/>
      <c r="F36" s="348"/>
      <c r="G36" s="222" t="s">
        <v>528</v>
      </c>
      <c r="H36" s="348"/>
      <c r="I36" s="348"/>
      <c r="J36" s="348"/>
      <c r="K36" s="348"/>
      <c r="L36" s="223"/>
      <c r="M36" s="348"/>
      <c r="N36" s="348"/>
    </row>
    <row r="37" spans="1:14" ht="15.45" x14ac:dyDescent="0.35">
      <c r="A37" s="216"/>
      <c r="B37" s="224"/>
      <c r="C37" s="348"/>
      <c r="D37" s="348"/>
      <c r="E37" s="348"/>
      <c r="F37" s="348"/>
      <c r="G37" s="348"/>
      <c r="H37" s="348"/>
      <c r="I37" s="348"/>
      <c r="J37" s="348"/>
      <c r="K37" s="348"/>
      <c r="L37" s="223"/>
      <c r="M37" s="348"/>
      <c r="N37" s="348"/>
    </row>
    <row r="38" spans="1:14" ht="15" x14ac:dyDescent="0.35">
      <c r="A38" s="348"/>
      <c r="B38" s="357"/>
      <c r="C38" s="356"/>
      <c r="D38" s="356"/>
      <c r="E38" s="356"/>
      <c r="F38" s="356"/>
      <c r="G38" s="222" t="s">
        <v>158</v>
      </c>
      <c r="H38" s="356"/>
      <c r="I38" s="356"/>
      <c r="J38" s="356"/>
      <c r="K38" s="356"/>
      <c r="L38" s="223"/>
      <c r="M38" s="348"/>
      <c r="N38" s="348"/>
    </row>
    <row r="39" spans="1:14" ht="15" x14ac:dyDescent="0.35">
      <c r="A39" s="348"/>
      <c r="B39" s="358"/>
      <c r="C39" s="348"/>
      <c r="D39" s="348"/>
      <c r="E39" s="348"/>
      <c r="F39" s="348"/>
      <c r="G39" s="222" t="s">
        <v>159</v>
      </c>
      <c r="H39" s="348"/>
      <c r="I39" s="348"/>
      <c r="J39" s="348"/>
      <c r="K39" s="348"/>
      <c r="L39" s="216"/>
      <c r="M39" s="348"/>
      <c r="N39" s="348"/>
    </row>
    <row r="40" spans="1:14" ht="13.3" thickBot="1" x14ac:dyDescent="0.4">
      <c r="A40" s="348"/>
      <c r="B40" s="359"/>
      <c r="C40" s="360"/>
      <c r="D40" s="360"/>
      <c r="E40" s="360"/>
      <c r="F40" s="360"/>
      <c r="G40" s="360"/>
      <c r="H40" s="360"/>
      <c r="I40" s="360"/>
      <c r="J40" s="360"/>
      <c r="K40" s="360"/>
      <c r="L40" s="361"/>
      <c r="M40" s="348"/>
      <c r="N40" s="348"/>
    </row>
    <row r="41" spans="1:14" x14ac:dyDescent="0.3">
      <c r="A41" s="369"/>
      <c r="B41" s="369"/>
      <c r="C41" s="369"/>
      <c r="D41" s="369"/>
      <c r="E41" s="369"/>
      <c r="F41" s="369"/>
      <c r="G41" s="369"/>
      <c r="H41" s="364"/>
      <c r="I41" s="364"/>
      <c r="J41" s="364"/>
      <c r="K41" s="364"/>
      <c r="L41" s="364"/>
      <c r="M41" s="364"/>
      <c r="N41" s="364"/>
    </row>
    <row r="42" spans="1:14" x14ac:dyDescent="0.3">
      <c r="A42" s="369"/>
      <c r="B42" s="369"/>
      <c r="C42" s="369"/>
      <c r="D42" s="369"/>
      <c r="E42" s="369"/>
      <c r="F42" s="369"/>
      <c r="G42" s="369"/>
      <c r="H42" s="364"/>
      <c r="I42" s="364"/>
      <c r="J42" s="364"/>
      <c r="K42" s="364"/>
      <c r="L42" s="364"/>
      <c r="M42" s="364"/>
      <c r="N42" s="364"/>
    </row>
    <row r="43" spans="1:14" ht="12.9" x14ac:dyDescent="0.35">
      <c r="A43" s="225"/>
      <c r="B43" s="225"/>
      <c r="C43" s="225"/>
      <c r="D43" s="225"/>
      <c r="E43" s="225"/>
      <c r="F43" s="225"/>
      <c r="G43" s="225"/>
      <c r="H43" s="364"/>
      <c r="I43" s="364"/>
      <c r="J43" s="364"/>
      <c r="K43" s="364"/>
      <c r="L43" s="364"/>
      <c r="M43" s="364"/>
      <c r="N43" s="364"/>
    </row>
    <row r="44" spans="1:14" ht="12.9" x14ac:dyDescent="0.35">
      <c r="A44" s="225"/>
      <c r="B44" s="225"/>
      <c r="C44" s="225"/>
      <c r="D44" s="225"/>
      <c r="E44" s="225"/>
      <c r="F44" s="225"/>
      <c r="G44" s="225"/>
      <c r="H44" s="364"/>
      <c r="I44" s="364"/>
      <c r="J44" s="364"/>
      <c r="K44" s="364"/>
      <c r="L44" s="364"/>
      <c r="M44" s="364"/>
      <c r="N44" s="364"/>
    </row>
    <row r="45" spans="1:14" ht="12.9" x14ac:dyDescent="0.35">
      <c r="A45" s="225"/>
      <c r="B45" s="225"/>
      <c r="C45" s="225"/>
      <c r="D45" s="225"/>
      <c r="E45" s="225"/>
      <c r="F45" s="225"/>
      <c r="G45" s="225"/>
      <c r="H45" s="364"/>
      <c r="I45" s="364"/>
      <c r="J45" s="364"/>
      <c r="K45" s="364"/>
      <c r="L45" s="364"/>
      <c r="M45" s="364"/>
      <c r="N45" s="364"/>
    </row>
    <row r="46" spans="1:14" ht="12.9" x14ac:dyDescent="0.35">
      <c r="A46" s="225"/>
      <c r="B46" s="225"/>
      <c r="C46" s="225"/>
      <c r="D46" s="225"/>
      <c r="E46" s="225"/>
      <c r="F46" s="225"/>
      <c r="G46" s="225"/>
      <c r="H46" s="364"/>
      <c r="I46" s="364"/>
      <c r="J46" s="364"/>
      <c r="K46" s="364"/>
      <c r="L46" s="364"/>
      <c r="M46" s="364"/>
      <c r="N46" s="364"/>
    </row>
    <row r="47" spans="1:14" ht="12.9" x14ac:dyDescent="0.35">
      <c r="A47" s="225"/>
      <c r="B47" s="225"/>
      <c r="C47" s="225"/>
      <c r="D47" s="225"/>
      <c r="E47" s="225"/>
      <c r="F47" s="225"/>
      <c r="G47" s="225"/>
      <c r="H47" s="364"/>
      <c r="I47" s="364"/>
      <c r="J47" s="364"/>
      <c r="K47" s="364"/>
      <c r="L47" s="364"/>
      <c r="M47" s="364"/>
      <c r="N47" s="364"/>
    </row>
    <row r="48" spans="1:14" ht="12.9" x14ac:dyDescent="0.35">
      <c r="A48" s="225"/>
      <c r="B48" s="225"/>
      <c r="C48" s="225"/>
      <c r="D48" s="225"/>
      <c r="E48" s="225"/>
      <c r="F48" s="225"/>
      <c r="G48" s="225"/>
      <c r="H48" s="364"/>
      <c r="I48" s="364"/>
      <c r="J48" s="364"/>
      <c r="K48" s="364"/>
      <c r="L48" s="364"/>
      <c r="M48" s="364"/>
      <c r="N48" s="364"/>
    </row>
    <row r="49" spans="1:14" ht="12.9" x14ac:dyDescent="0.35">
      <c r="A49" s="225"/>
      <c r="B49" s="225"/>
      <c r="C49" s="225"/>
      <c r="D49" s="225"/>
      <c r="E49" s="225"/>
      <c r="F49" s="225"/>
      <c r="G49" s="225"/>
      <c r="H49" s="364"/>
      <c r="I49" s="364"/>
      <c r="J49" s="364"/>
      <c r="K49" s="364"/>
      <c r="L49" s="364"/>
      <c r="M49" s="364"/>
      <c r="N49" s="364"/>
    </row>
    <row r="50" spans="1:14" ht="12.9" x14ac:dyDescent="0.35">
      <c r="A50" s="225"/>
      <c r="B50" s="225"/>
      <c r="C50" s="225"/>
      <c r="D50" s="225"/>
      <c r="E50" s="225"/>
      <c r="F50" s="225"/>
      <c r="G50" s="225"/>
      <c r="H50" s="364"/>
      <c r="I50" s="364"/>
      <c r="J50" s="364"/>
      <c r="K50" s="364"/>
      <c r="L50" s="364"/>
      <c r="M50" s="364"/>
      <c r="N50" s="364"/>
    </row>
    <row r="51" spans="1:14" ht="12.9" x14ac:dyDescent="0.35">
      <c r="A51" s="225"/>
      <c r="B51" s="225"/>
      <c r="C51" s="225"/>
      <c r="D51" s="225"/>
      <c r="E51" s="225"/>
      <c r="F51" s="225"/>
      <c r="G51" s="225"/>
      <c r="H51" s="364"/>
      <c r="I51" s="364"/>
      <c r="J51" s="364"/>
      <c r="K51" s="364"/>
      <c r="L51" s="364"/>
      <c r="M51" s="364"/>
      <c r="N51" s="364"/>
    </row>
    <row r="52" spans="1:14" ht="12.9" x14ac:dyDescent="0.35">
      <c r="A52" s="225"/>
      <c r="B52" s="225"/>
      <c r="C52" s="225"/>
      <c r="D52" s="225"/>
      <c r="E52" s="225"/>
      <c r="F52" s="225"/>
      <c r="G52" s="225"/>
      <c r="H52" s="364"/>
      <c r="I52" s="364"/>
      <c r="J52" s="364"/>
      <c r="K52" s="364"/>
      <c r="L52" s="364"/>
      <c r="M52" s="364"/>
      <c r="N52" s="364"/>
    </row>
    <row r="53" spans="1:14" ht="12.9" x14ac:dyDescent="0.35">
      <c r="A53" s="225"/>
      <c r="B53" s="225"/>
      <c r="C53" s="225"/>
      <c r="D53" s="225"/>
      <c r="E53" s="225"/>
      <c r="F53" s="225"/>
      <c r="G53" s="225"/>
      <c r="H53" s="364"/>
      <c r="I53" s="364"/>
      <c r="J53" s="364"/>
      <c r="K53" s="364"/>
      <c r="L53" s="364"/>
      <c r="M53" s="364"/>
      <c r="N53" s="364"/>
    </row>
    <row r="54" spans="1:14" ht="12.9" x14ac:dyDescent="0.35">
      <c r="A54" s="225"/>
      <c r="B54" s="225"/>
      <c r="C54" s="225"/>
      <c r="D54" s="225"/>
      <c r="E54" s="225"/>
      <c r="F54" s="225"/>
      <c r="G54" s="225"/>
      <c r="H54" s="364"/>
      <c r="I54" s="364"/>
      <c r="J54" s="364"/>
      <c r="K54" s="364"/>
      <c r="L54" s="364"/>
      <c r="M54" s="364"/>
      <c r="N54" s="364"/>
    </row>
    <row r="55" spans="1:14" ht="12.9" x14ac:dyDescent="0.35">
      <c r="A55" s="225"/>
      <c r="B55" s="225"/>
      <c r="C55" s="225"/>
      <c r="D55" s="225"/>
      <c r="E55" s="225"/>
      <c r="F55" s="225"/>
      <c r="G55" s="225"/>
      <c r="H55" s="364"/>
      <c r="I55" s="364"/>
      <c r="J55" s="364"/>
      <c r="K55" s="364"/>
      <c r="L55" s="364"/>
      <c r="M55" s="364"/>
      <c r="N55" s="364"/>
    </row>
    <row r="56" spans="1:14" ht="12.9" x14ac:dyDescent="0.35">
      <c r="A56" s="225"/>
      <c r="B56" s="225"/>
      <c r="C56" s="225"/>
      <c r="D56" s="225"/>
      <c r="E56" s="225"/>
      <c r="F56" s="225"/>
      <c r="G56" s="225"/>
      <c r="H56" s="364"/>
      <c r="I56" s="364"/>
      <c r="J56" s="364"/>
      <c r="K56" s="364"/>
      <c r="L56" s="364"/>
      <c r="M56" s="364"/>
      <c r="N56" s="364"/>
    </row>
    <row r="57" spans="1:14" ht="12.9" x14ac:dyDescent="0.35">
      <c r="A57" s="225"/>
      <c r="B57" s="225"/>
      <c r="C57" s="225"/>
      <c r="D57" s="225"/>
      <c r="E57" s="225"/>
      <c r="F57" s="225"/>
      <c r="G57" s="225"/>
      <c r="H57" s="364"/>
      <c r="I57" s="364"/>
      <c r="J57" s="364"/>
      <c r="K57" s="364"/>
      <c r="L57" s="364"/>
      <c r="M57" s="364"/>
      <c r="N57" s="364"/>
    </row>
    <row r="58" spans="1:14" ht="12.9" x14ac:dyDescent="0.35">
      <c r="A58" s="225"/>
      <c r="B58" s="225"/>
      <c r="C58" s="225"/>
      <c r="D58" s="225"/>
      <c r="E58" s="225"/>
      <c r="F58" s="225"/>
      <c r="G58" s="225"/>
      <c r="H58" s="364"/>
      <c r="I58" s="364"/>
      <c r="J58" s="364"/>
      <c r="K58" s="364"/>
      <c r="L58" s="364"/>
      <c r="M58" s="364"/>
      <c r="N58" s="364"/>
    </row>
    <row r="59" spans="1:14" ht="12.9" x14ac:dyDescent="0.35">
      <c r="A59" s="225"/>
      <c r="B59" s="225"/>
      <c r="C59" s="225"/>
      <c r="D59" s="225"/>
      <c r="E59" s="225"/>
      <c r="F59" s="225"/>
      <c r="G59" s="225"/>
      <c r="H59" s="364"/>
      <c r="I59" s="364"/>
      <c r="J59" s="364"/>
      <c r="K59" s="364"/>
      <c r="L59" s="364"/>
      <c r="M59" s="364"/>
      <c r="N59" s="364"/>
    </row>
    <row r="60" spans="1:14" ht="12.9" x14ac:dyDescent="0.35">
      <c r="A60" s="225"/>
      <c r="B60" s="225"/>
      <c r="C60" s="225"/>
      <c r="D60" s="225"/>
      <c r="E60" s="225"/>
      <c r="F60" s="225"/>
      <c r="G60" s="225"/>
      <c r="H60" s="364"/>
      <c r="I60" s="364"/>
      <c r="J60" s="364"/>
      <c r="K60" s="364"/>
      <c r="L60" s="364"/>
      <c r="M60" s="364"/>
      <c r="N60" s="364"/>
    </row>
    <row r="61" spans="1:14" ht="12.9" x14ac:dyDescent="0.35">
      <c r="A61" s="225"/>
      <c r="B61" s="225"/>
      <c r="C61" s="225"/>
      <c r="D61" s="225"/>
      <c r="E61" s="225"/>
      <c r="F61" s="225"/>
      <c r="G61" s="225"/>
      <c r="H61" s="364"/>
      <c r="I61" s="364"/>
      <c r="J61" s="364"/>
      <c r="K61" s="364"/>
      <c r="L61" s="364"/>
      <c r="M61" s="364"/>
      <c r="N61" s="364"/>
    </row>
    <row r="62" spans="1:14" ht="12.9" x14ac:dyDescent="0.35">
      <c r="A62" s="225"/>
      <c r="B62" s="225"/>
      <c r="C62" s="225"/>
      <c r="D62" s="225"/>
      <c r="E62" s="225"/>
      <c r="F62" s="225"/>
      <c r="G62" s="225"/>
      <c r="H62" s="364"/>
      <c r="I62" s="364"/>
      <c r="J62" s="364"/>
      <c r="K62" s="364"/>
      <c r="L62" s="364"/>
      <c r="M62" s="364"/>
      <c r="N62" s="364"/>
    </row>
    <row r="63" spans="1:14" ht="12.9" x14ac:dyDescent="0.35">
      <c r="A63" s="225"/>
      <c r="B63" s="225"/>
      <c r="C63" s="225"/>
      <c r="D63" s="225"/>
      <c r="E63" s="225"/>
      <c r="F63" s="225"/>
      <c r="G63" s="225"/>
      <c r="H63" s="364"/>
      <c r="I63" s="364"/>
      <c r="J63" s="364"/>
      <c r="K63" s="364"/>
      <c r="L63" s="364"/>
      <c r="M63" s="364"/>
      <c r="N63" s="364"/>
    </row>
    <row r="64" spans="1:14" ht="12.9" x14ac:dyDescent="0.35">
      <c r="A64" s="225"/>
      <c r="B64" s="225"/>
      <c r="C64" s="225"/>
      <c r="D64" s="225"/>
      <c r="E64" s="225"/>
      <c r="F64" s="225"/>
      <c r="G64" s="225"/>
      <c r="H64" s="364"/>
      <c r="I64" s="364"/>
      <c r="J64" s="364"/>
      <c r="K64" s="364"/>
      <c r="L64" s="364"/>
      <c r="M64" s="364"/>
      <c r="N64" s="364"/>
    </row>
    <row r="65" spans="1:14" ht="12.9" x14ac:dyDescent="0.35">
      <c r="A65" s="225"/>
      <c r="B65" s="225"/>
      <c r="C65" s="225"/>
      <c r="D65" s="225"/>
      <c r="E65" s="225"/>
      <c r="F65" s="225"/>
      <c r="G65" s="225"/>
      <c r="H65" s="364"/>
      <c r="I65" s="364"/>
      <c r="J65" s="364"/>
      <c r="K65" s="364"/>
      <c r="L65" s="364"/>
      <c r="M65" s="364"/>
      <c r="N65" s="364"/>
    </row>
    <row r="66" spans="1:14" ht="12.9" x14ac:dyDescent="0.35">
      <c r="A66" s="225"/>
      <c r="B66" s="225"/>
      <c r="C66" s="225"/>
      <c r="D66" s="225"/>
      <c r="E66" s="225"/>
      <c r="F66" s="225"/>
      <c r="G66" s="225"/>
      <c r="H66" s="364"/>
      <c r="I66" s="364"/>
      <c r="J66" s="364"/>
      <c r="K66" s="364"/>
      <c r="L66" s="364"/>
      <c r="M66" s="364"/>
      <c r="N66" s="364"/>
    </row>
    <row r="67" spans="1:14" ht="12.9" x14ac:dyDescent="0.35">
      <c r="A67" s="225"/>
      <c r="B67" s="225"/>
      <c r="C67" s="225"/>
      <c r="D67" s="225"/>
      <c r="E67" s="225"/>
      <c r="F67" s="225"/>
      <c r="G67" s="225"/>
      <c r="H67" s="364"/>
      <c r="I67" s="364"/>
      <c r="J67" s="364"/>
      <c r="K67" s="364"/>
      <c r="L67" s="364"/>
      <c r="M67" s="364"/>
      <c r="N67" s="364"/>
    </row>
    <row r="68" spans="1:14" ht="12.9" x14ac:dyDescent="0.35">
      <c r="A68" s="225"/>
      <c r="B68" s="225"/>
      <c r="C68" s="225"/>
      <c r="D68" s="225"/>
      <c r="E68" s="225"/>
      <c r="F68" s="225"/>
      <c r="G68" s="225"/>
      <c r="H68" s="364"/>
      <c r="I68" s="364"/>
      <c r="J68" s="364"/>
      <c r="K68" s="364"/>
      <c r="L68" s="364"/>
      <c r="M68" s="364"/>
      <c r="N68" s="364"/>
    </row>
    <row r="69" spans="1:14" ht="12.9" x14ac:dyDescent="0.35">
      <c r="A69" s="225"/>
      <c r="B69" s="225"/>
      <c r="C69" s="225"/>
      <c r="D69" s="225"/>
      <c r="E69" s="225"/>
      <c r="F69" s="225"/>
      <c r="G69" s="225"/>
      <c r="H69" s="364"/>
      <c r="I69" s="364"/>
      <c r="J69" s="364"/>
      <c r="K69" s="364"/>
      <c r="L69" s="364"/>
      <c r="M69" s="364"/>
      <c r="N69" s="364"/>
    </row>
    <row r="70" spans="1:14" ht="12.9" x14ac:dyDescent="0.35">
      <c r="A70" s="225"/>
      <c r="B70" s="225"/>
      <c r="C70" s="225"/>
      <c r="D70" s="225"/>
      <c r="E70" s="225"/>
      <c r="F70" s="225"/>
      <c r="G70" s="225"/>
      <c r="H70" s="364"/>
      <c r="I70" s="364"/>
      <c r="J70" s="364"/>
      <c r="K70" s="364"/>
      <c r="L70" s="364"/>
      <c r="M70" s="364"/>
      <c r="N70" s="364"/>
    </row>
    <row r="71" spans="1:14" ht="12.9" x14ac:dyDescent="0.35">
      <c r="A71" s="225"/>
      <c r="B71" s="225"/>
      <c r="C71" s="225"/>
      <c r="D71" s="225"/>
      <c r="E71" s="225"/>
      <c r="F71" s="225"/>
      <c r="G71" s="225"/>
      <c r="H71" s="364"/>
      <c r="I71" s="364"/>
      <c r="J71" s="364"/>
      <c r="K71" s="364"/>
      <c r="L71" s="364"/>
      <c r="M71" s="364"/>
      <c r="N71" s="364"/>
    </row>
    <row r="72" spans="1:14" ht="12.9" x14ac:dyDescent="0.35">
      <c r="A72" s="225"/>
      <c r="B72" s="225"/>
      <c r="C72" s="225"/>
      <c r="D72" s="225"/>
      <c r="E72" s="225"/>
      <c r="F72" s="225"/>
      <c r="G72" s="225"/>
      <c r="H72" s="364"/>
      <c r="I72" s="364"/>
      <c r="J72" s="364"/>
      <c r="K72" s="364"/>
      <c r="L72" s="364"/>
      <c r="M72" s="364"/>
      <c r="N72" s="364"/>
    </row>
    <row r="73" spans="1:14" ht="12.9" x14ac:dyDescent="0.35">
      <c r="A73" s="225"/>
      <c r="B73" s="225"/>
      <c r="C73" s="225"/>
      <c r="D73" s="225"/>
      <c r="E73" s="225"/>
      <c r="F73" s="225"/>
      <c r="G73" s="225"/>
      <c r="H73" s="364"/>
      <c r="I73" s="364"/>
      <c r="J73" s="364"/>
      <c r="K73" s="364"/>
      <c r="L73" s="364"/>
      <c r="M73" s="364"/>
      <c r="N73" s="364"/>
    </row>
    <row r="74" spans="1:14" ht="12.9" x14ac:dyDescent="0.35">
      <c r="A74" s="225"/>
      <c r="B74" s="225"/>
      <c r="C74" s="225"/>
      <c r="D74" s="225"/>
      <c r="E74" s="225"/>
      <c r="F74" s="225"/>
      <c r="G74" s="225"/>
      <c r="H74" s="364"/>
      <c r="I74" s="364"/>
      <c r="J74" s="364"/>
      <c r="K74" s="364"/>
      <c r="L74" s="364"/>
      <c r="M74" s="364"/>
      <c r="N74" s="364"/>
    </row>
    <row r="75" spans="1:14" ht="12.9" x14ac:dyDescent="0.35">
      <c r="A75" s="225"/>
      <c r="B75" s="225"/>
      <c r="C75" s="225"/>
      <c r="D75" s="225"/>
      <c r="E75" s="225"/>
      <c r="F75" s="225"/>
      <c r="G75" s="225"/>
      <c r="H75" s="364"/>
      <c r="I75" s="364"/>
      <c r="J75" s="364"/>
      <c r="K75" s="364"/>
      <c r="L75" s="364"/>
      <c r="M75" s="364"/>
      <c r="N75" s="364"/>
    </row>
    <row r="76" spans="1:14" ht="12.9" x14ac:dyDescent="0.35">
      <c r="A76" s="225"/>
      <c r="B76" s="225"/>
      <c r="C76" s="225"/>
      <c r="D76" s="225"/>
      <c r="E76" s="225"/>
      <c r="F76" s="225"/>
      <c r="G76" s="225"/>
      <c r="H76" s="364"/>
      <c r="I76" s="364"/>
      <c r="J76" s="364"/>
      <c r="K76" s="364"/>
      <c r="L76" s="364"/>
      <c r="M76" s="364"/>
      <c r="N76" s="364"/>
    </row>
    <row r="77" spans="1:14" ht="12.9" x14ac:dyDescent="0.35">
      <c r="A77" s="225"/>
      <c r="B77" s="225"/>
      <c r="C77" s="225"/>
      <c r="D77" s="225"/>
      <c r="E77" s="225"/>
      <c r="F77" s="225"/>
      <c r="G77" s="225"/>
      <c r="H77" s="364"/>
      <c r="I77" s="364"/>
      <c r="J77" s="364"/>
      <c r="K77" s="364"/>
      <c r="L77" s="364"/>
      <c r="M77" s="364"/>
      <c r="N77" s="364"/>
    </row>
    <row r="78" spans="1:14" ht="12.9" x14ac:dyDescent="0.35">
      <c r="A78" s="225"/>
      <c r="B78" s="225"/>
      <c r="C78" s="225"/>
      <c r="D78" s="225"/>
      <c r="E78" s="225"/>
      <c r="F78" s="225"/>
      <c r="G78" s="225"/>
      <c r="H78" s="364"/>
      <c r="I78" s="364"/>
      <c r="J78" s="364"/>
      <c r="K78" s="364"/>
      <c r="L78" s="364"/>
      <c r="M78" s="364"/>
      <c r="N78" s="364"/>
    </row>
    <row r="79" spans="1:14" ht="12.9" x14ac:dyDescent="0.35">
      <c r="A79" s="225"/>
      <c r="B79" s="225"/>
      <c r="C79" s="225"/>
      <c r="D79" s="225"/>
      <c r="E79" s="225"/>
      <c r="F79" s="225"/>
      <c r="G79" s="225"/>
      <c r="H79" s="364"/>
      <c r="I79" s="364"/>
      <c r="J79" s="364"/>
      <c r="K79" s="364"/>
      <c r="L79" s="364"/>
      <c r="M79" s="364"/>
      <c r="N79" s="364"/>
    </row>
    <row r="80" spans="1:14" ht="12.9" x14ac:dyDescent="0.35">
      <c r="A80" s="225"/>
      <c r="B80" s="225"/>
      <c r="C80" s="225"/>
      <c r="D80" s="225"/>
      <c r="E80" s="225"/>
      <c r="F80" s="225"/>
      <c r="G80" s="225"/>
      <c r="H80" s="364"/>
      <c r="I80" s="364"/>
      <c r="J80" s="364"/>
      <c r="K80" s="364"/>
      <c r="L80" s="364"/>
      <c r="M80" s="364"/>
      <c r="N80" s="364"/>
    </row>
    <row r="81" spans="1:14" ht="12.9" x14ac:dyDescent="0.35">
      <c r="A81" s="225"/>
      <c r="B81" s="225"/>
      <c r="C81" s="225"/>
      <c r="D81" s="225"/>
      <c r="E81" s="225"/>
      <c r="F81" s="225"/>
      <c r="G81" s="225"/>
      <c r="H81" s="364"/>
      <c r="I81" s="364"/>
      <c r="J81" s="364"/>
      <c r="K81" s="364"/>
      <c r="L81" s="364"/>
      <c r="M81" s="364"/>
      <c r="N81" s="364"/>
    </row>
    <row r="82" spans="1:14" ht="12.9" x14ac:dyDescent="0.35">
      <c r="A82" s="225"/>
      <c r="B82" s="225"/>
      <c r="C82" s="225"/>
      <c r="D82" s="225"/>
      <c r="E82" s="225"/>
      <c r="F82" s="225"/>
      <c r="G82" s="225"/>
      <c r="H82" s="364"/>
      <c r="I82" s="364"/>
      <c r="J82" s="364"/>
      <c r="K82" s="364"/>
      <c r="L82" s="364"/>
      <c r="M82" s="364"/>
      <c r="N82" s="364"/>
    </row>
    <row r="83" spans="1:14" ht="12.9" x14ac:dyDescent="0.35">
      <c r="A83" s="225"/>
      <c r="B83" s="225"/>
      <c r="C83" s="225"/>
      <c r="D83" s="225"/>
      <c r="E83" s="225"/>
      <c r="F83" s="225"/>
      <c r="G83" s="225"/>
      <c r="H83" s="364"/>
      <c r="I83" s="364"/>
      <c r="J83" s="364"/>
      <c r="K83" s="364"/>
      <c r="L83" s="364"/>
      <c r="M83" s="364"/>
      <c r="N83" s="364"/>
    </row>
    <row r="84" spans="1:14" ht="12.9" x14ac:dyDescent="0.35">
      <c r="A84" s="225"/>
      <c r="B84" s="225"/>
      <c r="C84" s="225"/>
      <c r="D84" s="225"/>
      <c r="E84" s="225"/>
      <c r="F84" s="225"/>
      <c r="G84" s="225"/>
      <c r="H84" s="364"/>
      <c r="I84" s="364"/>
      <c r="J84" s="364"/>
      <c r="K84" s="364"/>
      <c r="L84" s="364"/>
      <c r="M84" s="364"/>
      <c r="N84" s="364"/>
    </row>
    <row r="85" spans="1:14" ht="12.9" x14ac:dyDescent="0.35">
      <c r="A85" s="225"/>
      <c r="B85" s="225"/>
      <c r="C85" s="225"/>
      <c r="D85" s="225"/>
      <c r="E85" s="225"/>
      <c r="F85" s="225"/>
      <c r="G85" s="225"/>
      <c r="H85" s="364"/>
      <c r="I85" s="364"/>
      <c r="J85" s="364"/>
      <c r="K85" s="364"/>
      <c r="L85" s="364"/>
      <c r="M85" s="364"/>
      <c r="N85" s="364"/>
    </row>
    <row r="86" spans="1:14" ht="12.9" x14ac:dyDescent="0.35">
      <c r="A86" s="225"/>
      <c r="B86" s="225"/>
      <c r="C86" s="225"/>
      <c r="D86" s="225"/>
      <c r="E86" s="225"/>
      <c r="F86" s="225"/>
      <c r="G86" s="225"/>
      <c r="H86" s="364"/>
      <c r="I86" s="364"/>
      <c r="J86" s="364"/>
      <c r="K86" s="364"/>
      <c r="L86" s="364"/>
      <c r="M86" s="364"/>
      <c r="N86" s="364"/>
    </row>
    <row r="87" spans="1:14" ht="12.9" x14ac:dyDescent="0.35">
      <c r="A87" s="225"/>
      <c r="B87" s="225"/>
      <c r="C87" s="225"/>
      <c r="D87" s="225"/>
      <c r="E87" s="225"/>
      <c r="F87" s="225"/>
      <c r="G87" s="225"/>
      <c r="H87" s="364"/>
      <c r="I87" s="364"/>
      <c r="J87" s="364"/>
      <c r="K87" s="364"/>
      <c r="L87" s="364"/>
      <c r="M87" s="364"/>
      <c r="N87" s="364"/>
    </row>
    <row r="88" spans="1:14" ht="12.9" x14ac:dyDescent="0.35">
      <c r="A88" s="225"/>
      <c r="B88" s="225"/>
      <c r="C88" s="225"/>
      <c r="D88" s="225"/>
      <c r="E88" s="225"/>
      <c r="F88" s="225"/>
      <c r="G88" s="225"/>
      <c r="H88" s="364"/>
      <c r="I88" s="364"/>
      <c r="J88" s="364"/>
      <c r="K88" s="364"/>
      <c r="L88" s="364"/>
      <c r="M88" s="364"/>
      <c r="N88" s="364"/>
    </row>
    <row r="89" spans="1:14" ht="12.9" x14ac:dyDescent="0.35">
      <c r="A89" s="225"/>
      <c r="B89" s="225"/>
      <c r="C89" s="225"/>
      <c r="D89" s="225"/>
      <c r="E89" s="225"/>
      <c r="F89" s="225"/>
      <c r="G89" s="225"/>
      <c r="H89" s="364"/>
      <c r="I89" s="364"/>
      <c r="J89" s="364"/>
      <c r="K89" s="364"/>
      <c r="L89" s="364"/>
      <c r="M89" s="364"/>
      <c r="N89" s="364"/>
    </row>
    <row r="90" spans="1:14" ht="12.9" x14ac:dyDescent="0.35">
      <c r="A90" s="225"/>
      <c r="B90" s="225"/>
      <c r="C90" s="225"/>
      <c r="D90" s="225"/>
      <c r="E90" s="225"/>
      <c r="F90" s="225"/>
      <c r="G90" s="225"/>
      <c r="H90" s="364"/>
      <c r="I90" s="364"/>
      <c r="J90" s="364"/>
      <c r="K90" s="364"/>
      <c r="L90" s="364"/>
      <c r="M90" s="364"/>
      <c r="N90" s="364"/>
    </row>
    <row r="91" spans="1:14" ht="12.9" x14ac:dyDescent="0.35">
      <c r="A91" s="225"/>
      <c r="B91" s="225"/>
      <c r="C91" s="225"/>
      <c r="D91" s="225"/>
      <c r="E91" s="225"/>
      <c r="F91" s="225"/>
      <c r="G91" s="225"/>
      <c r="H91" s="364"/>
      <c r="I91" s="364"/>
      <c r="J91" s="364"/>
      <c r="K91" s="364"/>
      <c r="L91" s="364"/>
      <c r="M91" s="364"/>
      <c r="N91" s="364"/>
    </row>
    <row r="92" spans="1:14" ht="12.9" x14ac:dyDescent="0.35">
      <c r="A92" s="225"/>
      <c r="B92" s="225"/>
      <c r="C92" s="225"/>
      <c r="D92" s="225"/>
      <c r="E92" s="225"/>
      <c r="F92" s="225"/>
      <c r="G92" s="225"/>
      <c r="H92" s="364"/>
      <c r="I92" s="364"/>
      <c r="J92" s="364"/>
      <c r="K92" s="364"/>
      <c r="L92" s="364"/>
      <c r="M92" s="364"/>
      <c r="N92" s="364"/>
    </row>
    <row r="93" spans="1:14" ht="12.9" x14ac:dyDescent="0.35">
      <c r="A93" s="225"/>
      <c r="B93" s="225"/>
      <c r="C93" s="225"/>
      <c r="D93" s="225"/>
      <c r="E93" s="225"/>
      <c r="F93" s="225"/>
      <c r="G93" s="225"/>
      <c r="H93" s="364"/>
      <c r="I93" s="364"/>
      <c r="J93" s="364"/>
      <c r="K93" s="364"/>
      <c r="L93" s="364"/>
      <c r="M93" s="364"/>
      <c r="N93" s="364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 xr:uid="{5C39AD22-D628-44E6-BE81-477F55DFC7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45" x14ac:dyDescent="0.3"/>
  <cols>
    <col min="1" max="1" width="18.15234375" customWidth="1"/>
    <col min="2" max="2" width="25.69140625" customWidth="1"/>
  </cols>
  <sheetData>
    <row r="1" spans="1:2" x14ac:dyDescent="0.3">
      <c r="A1" t="s">
        <v>542</v>
      </c>
      <c r="B1" t="s">
        <v>543</v>
      </c>
    </row>
    <row r="2" spans="1:2" x14ac:dyDescent="0.3">
      <c r="A2" t="s">
        <v>446</v>
      </c>
      <c r="B2" t="s">
        <v>447</v>
      </c>
    </row>
    <row r="3" spans="1:2" x14ac:dyDescent="0.3">
      <c r="A3" t="s">
        <v>448</v>
      </c>
      <c r="B3" t="s">
        <v>519</v>
      </c>
    </row>
    <row r="4" spans="1:2" x14ac:dyDescent="0.3">
      <c r="A4" t="s">
        <v>520</v>
      </c>
      <c r="B4" s="363">
        <v>44967.633761574078</v>
      </c>
    </row>
    <row r="5" spans="1:2" x14ac:dyDescent="0.3">
      <c r="A5" t="s">
        <v>544</v>
      </c>
      <c r="B5" t="s">
        <v>545</v>
      </c>
    </row>
    <row r="6" spans="1:2" x14ac:dyDescent="0.3">
      <c r="A6" t="s">
        <v>121</v>
      </c>
      <c r="B6" t="s">
        <v>546</v>
      </c>
    </row>
    <row r="40" spans="7:7" x14ac:dyDescent="0.3">
      <c r="G40" s="335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45" x14ac:dyDescent="0.3"/>
  <cols>
    <col min="1" max="1" width="3.3828125" customWidth="1"/>
    <col min="2" max="2" width="18.3046875" customWidth="1"/>
    <col min="3" max="4" width="6.15234375" customWidth="1"/>
    <col min="5" max="5" width="6.3046875" customWidth="1"/>
    <col min="6" max="6" width="9.3046875" customWidth="1"/>
    <col min="7" max="7" width="6.15234375" customWidth="1"/>
    <col min="8" max="8" width="10.3828125" customWidth="1"/>
  </cols>
  <sheetData>
    <row r="1" spans="1:52" x14ac:dyDescent="0.3">
      <c r="A1" s="10"/>
      <c r="B1" s="10"/>
      <c r="C1" s="10"/>
      <c r="D1" s="10"/>
      <c r="E1" s="10"/>
      <c r="F1" s="10"/>
      <c r="G1" s="195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149999999999999" x14ac:dyDescent="0.5">
      <c r="B2" s="174" t="s">
        <v>97</v>
      </c>
    </row>
    <row r="4" spans="1:52" x14ac:dyDescent="0.3">
      <c r="B4" s="82" t="s">
        <v>96</v>
      </c>
      <c r="C4" t="str">
        <f>Stored!B11</f>
        <v>M:/IE/Projects/Nuffield via NFER AI and automation/Data/Results/Workbooks/UK/UK_Database.Main.xlsx</v>
      </c>
    </row>
    <row r="5" spans="1:52" x14ac:dyDescent="0.3">
      <c r="B5" s="82"/>
    </row>
    <row r="6" spans="1:52" ht="22.5" customHeight="1" x14ac:dyDescent="0.3">
      <c r="B6" s="175" t="s">
        <v>137</v>
      </c>
      <c r="C6" s="175"/>
      <c r="D6" s="199"/>
    </row>
    <row r="7" spans="1:52" ht="15.75" customHeight="1" x14ac:dyDescent="0.3">
      <c r="B7" s="52"/>
      <c r="C7" s="53"/>
      <c r="D7" s="54"/>
    </row>
    <row r="8" spans="1:52" ht="21" customHeight="1" x14ac:dyDescent="0.3">
      <c r="B8" s="55"/>
      <c r="C8" s="198"/>
      <c r="D8" s="56"/>
    </row>
    <row r="10" spans="1:52" ht="17.25" customHeight="1" x14ac:dyDescent="0.3">
      <c r="B10" s="176" t="s">
        <v>419</v>
      </c>
      <c r="C10" s="50"/>
      <c r="D10" s="50"/>
      <c r="E10" s="50"/>
      <c r="F10" s="50"/>
      <c r="G10" s="50"/>
      <c r="H10" s="51"/>
    </row>
    <row r="11" spans="1:52" x14ac:dyDescent="0.3">
      <c r="B11" s="52"/>
      <c r="C11" s="58" t="s">
        <v>22</v>
      </c>
      <c r="D11" s="58" t="s">
        <v>23</v>
      </c>
      <c r="E11" s="58" t="s">
        <v>24</v>
      </c>
      <c r="F11" s="58" t="s">
        <v>25</v>
      </c>
      <c r="G11" s="58" t="s">
        <v>26</v>
      </c>
      <c r="H11" s="54"/>
    </row>
    <row r="12" spans="1:52" ht="12.9" thickBot="1" x14ac:dyDescent="0.35">
      <c r="B12" s="173" t="s">
        <v>16</v>
      </c>
      <c r="C12" s="59">
        <f>'Ind T3'!B3</f>
        <v>2015</v>
      </c>
      <c r="D12" s="59">
        <f>'Ind T3'!C3</f>
        <v>2019</v>
      </c>
      <c r="E12" s="59">
        <f>'Ind T3'!D3</f>
        <v>2020</v>
      </c>
      <c r="F12" s="59">
        <f>'Ind T3'!E3</f>
        <v>2025</v>
      </c>
      <c r="G12" s="59">
        <f>'Ind T3'!F3</f>
        <v>2035</v>
      </c>
      <c r="H12" s="54"/>
    </row>
    <row r="13" spans="1:52" ht="12.9" thickBot="1" x14ac:dyDescent="0.35">
      <c r="B13" s="204" t="s">
        <v>12</v>
      </c>
      <c r="C13" s="126">
        <v>2015</v>
      </c>
      <c r="D13" s="60">
        <v>2019</v>
      </c>
      <c r="E13" s="60">
        <v>2020</v>
      </c>
      <c r="F13" s="60">
        <v>2025</v>
      </c>
      <c r="G13" s="61">
        <v>2035</v>
      </c>
      <c r="H13" s="57"/>
    </row>
    <row r="14" spans="1:52" x14ac:dyDescent="0.3">
      <c r="A14" s="82"/>
    </row>
    <row r="16" spans="1:52" ht="45.75" customHeight="1" x14ac:dyDescent="0.3"/>
    <row r="17" spans="5:5" ht="15.75" customHeight="1" x14ac:dyDescent="0.3">
      <c r="E17" s="53"/>
    </row>
    <row r="18" spans="5:5" ht="24" customHeight="1" x14ac:dyDescent="0.3">
      <c r="E18" s="53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97971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87086</xdr:colOff>
                <xdr:row>6</xdr:row>
                <xdr:rowOff>87086</xdr:rowOff>
              </from>
              <to>
                <xdr:col>1</xdr:col>
                <xdr:colOff>658586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2"/>
  <sheetViews>
    <sheetView showGridLines="0" workbookViewId="0"/>
  </sheetViews>
  <sheetFormatPr defaultColWidth="9.15234375" defaultRowHeight="12.45" x14ac:dyDescent="0.3"/>
  <cols>
    <col min="1" max="1" width="14.15234375" customWidth="1"/>
    <col min="2" max="2" width="100.84375" customWidth="1"/>
    <col min="3" max="3" width="9.15234375" customWidth="1"/>
  </cols>
  <sheetData>
    <row r="1" spans="1:2" ht="14.15" x14ac:dyDescent="0.35">
      <c r="A1" s="213" t="s">
        <v>144</v>
      </c>
    </row>
    <row r="2" spans="1:2" x14ac:dyDescent="0.3">
      <c r="A2" s="82" t="s">
        <v>142</v>
      </c>
    </row>
    <row r="3" spans="1:2" s="1" customFormat="1" x14ac:dyDescent="0.3">
      <c r="A3" s="208"/>
      <c r="B3" s="208"/>
    </row>
    <row r="4" spans="1:2" s="82" customFormat="1" x14ac:dyDescent="0.3">
      <c r="A4" s="209" t="s">
        <v>143</v>
      </c>
      <c r="B4" s="209" t="s">
        <v>144</v>
      </c>
    </row>
    <row r="5" spans="1:2" x14ac:dyDescent="0.3">
      <c r="A5" s="210" t="s">
        <v>381</v>
      </c>
      <c r="B5" s="211" t="s">
        <v>384</v>
      </c>
    </row>
    <row r="6" spans="1:2" x14ac:dyDescent="0.3">
      <c r="A6" s="210" t="s">
        <v>382</v>
      </c>
      <c r="B6" s="211" t="s">
        <v>385</v>
      </c>
    </row>
    <row r="7" spans="1:2" x14ac:dyDescent="0.3">
      <c r="A7" s="210" t="s">
        <v>386</v>
      </c>
      <c r="B7" s="211" t="s">
        <v>388</v>
      </c>
    </row>
    <row r="8" spans="1:2" x14ac:dyDescent="0.3">
      <c r="A8" s="210" t="s">
        <v>389</v>
      </c>
      <c r="B8" s="211" t="s">
        <v>393</v>
      </c>
    </row>
    <row r="9" spans="1:2" x14ac:dyDescent="0.3">
      <c r="A9" s="210" t="s">
        <v>392</v>
      </c>
      <c r="B9" s="212" t="s">
        <v>394</v>
      </c>
    </row>
    <row r="10" spans="1:2" x14ac:dyDescent="0.3">
      <c r="A10" s="210" t="s">
        <v>390</v>
      </c>
      <c r="B10" s="212" t="s">
        <v>395</v>
      </c>
    </row>
    <row r="11" spans="1:2" x14ac:dyDescent="0.3">
      <c r="A11" s="210" t="s">
        <v>396</v>
      </c>
      <c r="B11" s="211" t="s">
        <v>405</v>
      </c>
    </row>
    <row r="12" spans="1:2" x14ac:dyDescent="0.3">
      <c r="A12" s="210" t="s">
        <v>398</v>
      </c>
      <c r="B12" s="211" t="s">
        <v>401</v>
      </c>
    </row>
    <row r="13" spans="1:2" x14ac:dyDescent="0.3">
      <c r="A13" s="210" t="s">
        <v>400</v>
      </c>
      <c r="B13" s="211" t="s">
        <v>402</v>
      </c>
    </row>
    <row r="14" spans="1:2" x14ac:dyDescent="0.3">
      <c r="A14" s="210" t="s">
        <v>417</v>
      </c>
      <c r="B14" s="211" t="s">
        <v>403</v>
      </c>
    </row>
    <row r="15" spans="1:2" x14ac:dyDescent="0.3">
      <c r="A15" s="210" t="s">
        <v>404</v>
      </c>
      <c r="B15" s="211" t="s">
        <v>436</v>
      </c>
    </row>
    <row r="16" spans="1:2" x14ac:dyDescent="0.3">
      <c r="A16" s="210" t="s">
        <v>383</v>
      </c>
      <c r="B16" s="211" t="s">
        <v>509</v>
      </c>
    </row>
    <row r="17" spans="1:2" x14ac:dyDescent="0.3">
      <c r="A17" s="210" t="s">
        <v>387</v>
      </c>
      <c r="B17" s="211" t="s">
        <v>510</v>
      </c>
    </row>
    <row r="18" spans="1:2" x14ac:dyDescent="0.3">
      <c r="A18" s="210" t="s">
        <v>391</v>
      </c>
      <c r="B18" s="211" t="s">
        <v>511</v>
      </c>
    </row>
    <row r="19" spans="1:2" x14ac:dyDescent="0.3">
      <c r="A19" s="210" t="s">
        <v>437</v>
      </c>
      <c r="B19" s="211" t="s">
        <v>438</v>
      </c>
    </row>
    <row r="20" spans="1:2" x14ac:dyDescent="0.3">
      <c r="A20" s="210" t="s">
        <v>397</v>
      </c>
      <c r="B20" s="211" t="s">
        <v>512</v>
      </c>
    </row>
    <row r="21" spans="1:2" x14ac:dyDescent="0.3">
      <c r="A21" s="210" t="s">
        <v>399</v>
      </c>
      <c r="B21" s="211" t="s">
        <v>513</v>
      </c>
    </row>
    <row r="22" spans="1:2" x14ac:dyDescent="0.3">
      <c r="A22" s="210" t="s">
        <v>428</v>
      </c>
      <c r="B22" s="211" t="s">
        <v>430</v>
      </c>
    </row>
    <row r="23" spans="1:2" x14ac:dyDescent="0.3">
      <c r="A23" s="210" t="s">
        <v>429</v>
      </c>
      <c r="B23" s="211" t="s">
        <v>431</v>
      </c>
    </row>
    <row r="24" spans="1:2" x14ac:dyDescent="0.3">
      <c r="A24" s="210" t="s">
        <v>434</v>
      </c>
      <c r="B24" s="211" t="s">
        <v>435</v>
      </c>
    </row>
    <row r="25" spans="1:2" x14ac:dyDescent="0.3">
      <c r="A25" s="210" t="s">
        <v>406</v>
      </c>
      <c r="B25" s="211" t="s">
        <v>407</v>
      </c>
    </row>
    <row r="26" spans="1:2" x14ac:dyDescent="0.3">
      <c r="A26" s="210" t="s">
        <v>408</v>
      </c>
      <c r="B26" s="211" t="s">
        <v>409</v>
      </c>
    </row>
    <row r="27" spans="1:2" x14ac:dyDescent="0.3">
      <c r="A27" s="210" t="s">
        <v>410</v>
      </c>
      <c r="B27" s="211" t="s">
        <v>514</v>
      </c>
    </row>
    <row r="28" spans="1:2" x14ac:dyDescent="0.3">
      <c r="A28" s="210" t="s">
        <v>412</v>
      </c>
      <c r="B28" s="211" t="s">
        <v>515</v>
      </c>
    </row>
    <row r="29" spans="1:2" x14ac:dyDescent="0.3">
      <c r="A29" s="210" t="s">
        <v>411</v>
      </c>
      <c r="B29" s="211" t="s">
        <v>516</v>
      </c>
    </row>
    <row r="30" spans="1:2" x14ac:dyDescent="0.3">
      <c r="A30" s="210" t="s">
        <v>413</v>
      </c>
      <c r="B30" s="211" t="s">
        <v>416</v>
      </c>
    </row>
    <row r="31" spans="1:2" x14ac:dyDescent="0.3">
      <c r="A31" s="210" t="s">
        <v>414</v>
      </c>
      <c r="B31" s="211" t="s">
        <v>517</v>
      </c>
    </row>
    <row r="32" spans="1:2" x14ac:dyDescent="0.3">
      <c r="A32" s="210" t="s">
        <v>415</v>
      </c>
      <c r="B32" s="211" t="s">
        <v>518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3'!A1" display="Ind T3" xr:uid="{00000000-0004-0000-0400-000002000000}"/>
    <hyperlink ref="A8" location="'Ind T4'!A1" display="Ind T4" xr:uid="{00000000-0004-0000-0400-000003000000}"/>
    <hyperlink ref="A9" location="'Ind T5'!A1" display="Ind T5" xr:uid="{00000000-0004-0000-0400-000004000000}"/>
    <hyperlink ref="A10" location="'Ind T6'!A1" display="Ind T6" xr:uid="{00000000-0004-0000-0400-000005000000}"/>
    <hyperlink ref="A11" location="'Ind F1'!A1" display="Ind F1" xr:uid="{00000000-0004-0000-0400-000006000000}"/>
    <hyperlink ref="A12" location="'Ind F2'!A1" display="Ind F2" xr:uid="{00000000-0004-0000-0400-000007000000}"/>
    <hyperlink ref="A13" location="'Ind Occ T1'!A1" display="IndOcc T1" xr:uid="{00000000-0004-0000-0400-000008000000}"/>
    <hyperlink ref="A14" location="'Ind Occ T2'!A1" display="IndOcc T2" xr:uid="{00000000-0004-0000-0400-000009000000}"/>
    <hyperlink ref="A15" location="'Occ T1'!A1" display="Occ T1" xr:uid="{00000000-0004-0000-0400-00000A000000}"/>
    <hyperlink ref="A16" location="'Occ T2'!A1" display="Occ T2" xr:uid="{00000000-0004-0000-0400-00000B000000}"/>
    <hyperlink ref="A17" location="'Occ T3'!A1" display="Occ T3" xr:uid="{00000000-0004-0000-0400-00000C000000}"/>
    <hyperlink ref="A18" location="'Occ T4'!A1" display="Occ T4" xr:uid="{00000000-0004-0000-0400-00000D000000}"/>
    <hyperlink ref="A20" location="'Occ F1'!A1" display="Occ F1" xr:uid="{00000000-0004-0000-0400-00000E000000}"/>
    <hyperlink ref="A21" location="'Occ F2'!A1" display="Occ F2" xr:uid="{00000000-0004-0000-0400-00000F000000}"/>
    <hyperlink ref="A25" location="'Qual T1'!A1" display="Qual T1" xr:uid="{00000000-0004-0000-0400-000010000000}"/>
    <hyperlink ref="A26" location="'Qual F1'!A1" display="Qual F1" xr:uid="{00000000-0004-0000-0400-000011000000}"/>
    <hyperlink ref="A27" location="'ShiftShare T1'!A1" display="ShiftShare T1" xr:uid="{00000000-0004-0000-0400-000012000000}"/>
    <hyperlink ref="A28" location="'RD T1'!A1" display="RD T1" xr:uid="{00000000-0004-0000-0400-000013000000}"/>
    <hyperlink ref="A29" location="'RD F1'!A1" display="RD F1" xr:uid="{00000000-0004-0000-0400-000014000000}"/>
    <hyperlink ref="A30" location="'Basic T1'!A1" display="Basic T1" xr:uid="{00000000-0004-0000-0400-000015000000}"/>
    <hyperlink ref="A31" location="'Basic T2'!A1" display="Basic T2" xr:uid="{00000000-0004-0000-0400-000016000000}"/>
    <hyperlink ref="A32" location="'Basic T3'!A1" display="Basic T3" xr:uid="{00000000-0004-0000-0400-000017000000}"/>
    <hyperlink ref="A22" location="'Occ F3'!A1" display="Occ F3" xr:uid="{00000000-0004-0000-0400-000018000000}"/>
    <hyperlink ref="A23" location="'Occ F4'!A1" display="Occ F3" xr:uid="{00000000-0004-0000-0400-000019000000}"/>
    <hyperlink ref="A24" location="'Occ F5'!A1" display="Occ F5" xr:uid="{00000000-0004-0000-0400-00001A000000}"/>
    <hyperlink ref="A19" location="'Occ T5'!A1" display="Occ T5" xr:uid="{00000000-0004-0000-0400-00001B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45" x14ac:dyDescent="0.3"/>
  <cols>
    <col min="1" max="1" width="26.69140625" customWidth="1"/>
    <col min="2" max="6" width="11.69140625" customWidth="1"/>
    <col min="7" max="7" width="4.84375" customWidth="1"/>
    <col min="8" max="11" width="11.69140625" customWidth="1"/>
    <col min="12" max="12" width="26.69140625" customWidth="1"/>
    <col min="13" max="17" width="11.69140625" customWidth="1"/>
    <col min="18" max="19" width="10.69140625" customWidth="1"/>
  </cols>
  <sheetData>
    <row r="1" spans="1:19" ht="15.45" x14ac:dyDescent="0.4">
      <c r="A1" s="18" t="str">
        <f>CONCATENATE("Industry Table 1  Employment by Industry Sector (SIC 2007), ",B$5,"-",F$5,", ",Info!B5)</f>
        <v>Industry Table 1  Employment by Industry Sector (SIC 2007), 2015-2035, United Kingdom</v>
      </c>
      <c r="L1" s="18" t="str">
        <f>CONCATENATE("Industry Table 1.1  Employment by Industry Sector (SIC 2007), ",B$5,"-",F$5,", ",Info!B5)</f>
        <v>Industry Table 1.1  Employment by Industry Sector (SIC 2007), 2015-2035, United Kingdom</v>
      </c>
    </row>
    <row r="2" spans="1:19" x14ac:dyDescent="0.3">
      <c r="A2" s="1" t="s">
        <v>529</v>
      </c>
      <c r="F2" s="15"/>
      <c r="J2" s="15" t="s">
        <v>35</v>
      </c>
    </row>
    <row r="3" spans="1:19" x14ac:dyDescent="0.3">
      <c r="A3" s="35"/>
      <c r="B3" s="35"/>
      <c r="C3" s="35"/>
      <c r="D3" s="35"/>
      <c r="E3" s="35"/>
      <c r="F3" s="35"/>
      <c r="G3" s="16"/>
      <c r="H3" s="27" t="str">
        <f>CONCATENATE(D5,"-",F5)</f>
        <v>2020-2035</v>
      </c>
      <c r="I3" s="35"/>
      <c r="J3" s="35"/>
      <c r="K3" s="16"/>
      <c r="O3" s="1" t="s">
        <v>13</v>
      </c>
      <c r="R3" s="75" t="s">
        <v>41</v>
      </c>
    </row>
    <row r="4" spans="1:19" x14ac:dyDescent="0.3">
      <c r="G4" s="10"/>
      <c r="H4" s="15" t="s">
        <v>29</v>
      </c>
      <c r="I4" s="15" t="s">
        <v>30</v>
      </c>
      <c r="J4" s="15" t="s">
        <v>32</v>
      </c>
      <c r="K4" s="10"/>
      <c r="L4" s="21"/>
      <c r="M4" s="22">
        <f>B5</f>
        <v>2015</v>
      </c>
      <c r="N4" s="22">
        <f>C5</f>
        <v>2019</v>
      </c>
      <c r="O4" s="22">
        <f>D5</f>
        <v>2020</v>
      </c>
      <c r="P4" s="22">
        <f>E5</f>
        <v>2025</v>
      </c>
      <c r="Q4" s="22">
        <f>F5</f>
        <v>2035</v>
      </c>
      <c r="R4" s="74" t="str">
        <f>CONCATENATE(B$5,"-",D$5)</f>
        <v>2015-2020</v>
      </c>
      <c r="S4" s="74" t="str">
        <f>F33</f>
        <v>2020-2035</v>
      </c>
    </row>
    <row r="5" spans="1:19" x14ac:dyDescent="0.3">
      <c r="A5" s="23"/>
      <c r="B5" s="34">
        <f>'Ind T3'!B3</f>
        <v>2015</v>
      </c>
      <c r="C5" s="34">
        <f>'Ind T3'!C3</f>
        <v>2019</v>
      </c>
      <c r="D5" s="34">
        <f>'Ind T3'!D3</f>
        <v>2020</v>
      </c>
      <c r="E5" s="34">
        <f>'Ind T3'!E3</f>
        <v>2025</v>
      </c>
      <c r="F5" s="34">
        <f>'Ind T3'!F3</f>
        <v>2035</v>
      </c>
      <c r="G5" s="11"/>
      <c r="H5" s="62" t="s">
        <v>18</v>
      </c>
      <c r="I5" s="62" t="s">
        <v>31</v>
      </c>
      <c r="J5" s="62" t="s">
        <v>33</v>
      </c>
      <c r="K5" s="11"/>
      <c r="L5" t="str">
        <f t="shared" ref="L5:Q10" si="0">A7</f>
        <v>Primary sector and utilities</v>
      </c>
      <c r="M5" s="11">
        <f t="shared" si="0"/>
        <v>793.96300000055226</v>
      </c>
      <c r="N5" s="11">
        <f t="shared" si="0"/>
        <v>823.87700000225686</v>
      </c>
      <c r="O5" s="11">
        <f t="shared" si="0"/>
        <v>789.98499999598903</v>
      </c>
      <c r="P5" s="11">
        <f t="shared" si="0"/>
        <v>795.87099999957127</v>
      </c>
      <c r="Q5" s="11">
        <f t="shared" si="0"/>
        <v>808.09199999781731</v>
      </c>
      <c r="R5" s="39">
        <f>IF(D$5-B$5 &lt;&gt; 0,(EXP(LN(D7/B7)/(D$5-B$5))-1)*100,0)</f>
        <v>-0.10040761242606777</v>
      </c>
      <c r="S5" s="39">
        <f>F34</f>
        <v>0.15119388613791251</v>
      </c>
    </row>
    <row r="6" spans="1:19" x14ac:dyDescent="0.3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0"/>
        <v>Manufacturing</v>
      </c>
      <c r="M6" s="11">
        <f t="shared" si="0"/>
        <v>2637.8289999997633</v>
      </c>
      <c r="N6" s="11">
        <f t="shared" si="0"/>
        <v>2686.7669999965788</v>
      </c>
      <c r="O6" s="11">
        <f t="shared" si="0"/>
        <v>2626.9919999948092</v>
      </c>
      <c r="P6" s="11">
        <f t="shared" si="0"/>
        <v>2540.6200000154367</v>
      </c>
      <c r="Q6" s="11">
        <f t="shared" si="0"/>
        <v>2341.1690000025396</v>
      </c>
      <c r="R6" s="39">
        <f t="shared" ref="R6:R10" si="1">IF(D$5-B$5 &lt;&gt; 0,(EXP(LN(D8/B8)/(D$5-B$5))-1)*100,0)</f>
        <v>-8.2301413019525427E-2</v>
      </c>
      <c r="S6" s="39">
        <f t="shared" ref="S6:S12" si="2">F35</f>
        <v>-0.76498622594640686</v>
      </c>
    </row>
    <row r="7" spans="1:19" x14ac:dyDescent="0.3">
      <c r="A7" t="str">
        <f>name!C4</f>
        <v>Primary sector and utilities</v>
      </c>
      <c r="B7" s="11">
        <f t="array" ref="B7:B12">MMULT(aggregation!$B$28:$BX$33,'Ind T3'!B5:B79)</f>
        <v>793.96300000055226</v>
      </c>
      <c r="C7" s="11">
        <f t="array" ref="C7:C12">MMULT(aggregation!$B$28:$BX$33,'Ind T3'!C5:C79)</f>
        <v>823.87700000225686</v>
      </c>
      <c r="D7" s="11">
        <f t="array" ref="D7:D12">MMULT(aggregation!$B$28:$BX$33,'Ind T3'!D5:D79)</f>
        <v>789.98499999598903</v>
      </c>
      <c r="E7" s="11">
        <f t="array" ref="E7:E12">MMULT(aggregation!$B$28:$BX$33,'Ind T3'!E5:E79)</f>
        <v>795.87099999957127</v>
      </c>
      <c r="F7" s="11">
        <f t="array" ref="F7:F12">MMULT(aggregation!$B$28:$BX$33,'Ind T3'!F5:F79)</f>
        <v>808.09199999781731</v>
      </c>
      <c r="G7" s="11"/>
      <c r="H7" s="11">
        <f>F7-D7</f>
        <v>18.107000001828283</v>
      </c>
      <c r="I7" s="11">
        <f t="array" ref="I7:I12">MMULT(aggregation!$B$28:$BX$33,'RD T1'!AB7:AB81)</f>
        <v>371.09970794236881</v>
      </c>
      <c r="J7" s="11">
        <f>SUM(H7:I7)</f>
        <v>389.20670794419709</v>
      </c>
      <c r="K7" s="11"/>
      <c r="L7" t="str">
        <f t="shared" si="0"/>
        <v>Construction</v>
      </c>
      <c r="M7" s="11">
        <f t="shared" si="0"/>
        <v>2121.909999979634</v>
      </c>
      <c r="N7" s="11">
        <f t="shared" si="0"/>
        <v>2333.5340000224633</v>
      </c>
      <c r="O7" s="11">
        <f t="shared" si="0"/>
        <v>2318.9969999678437</v>
      </c>
      <c r="P7" s="11">
        <f t="shared" si="0"/>
        <v>2419.1419999278805</v>
      </c>
      <c r="Q7" s="11">
        <f t="shared" si="0"/>
        <v>2583.0529999460769</v>
      </c>
      <c r="R7" s="39">
        <f t="shared" si="1"/>
        <v>1.7922339231661422</v>
      </c>
      <c r="S7" s="39">
        <f t="shared" si="2"/>
        <v>0.7215055190288755</v>
      </c>
    </row>
    <row r="8" spans="1:19" x14ac:dyDescent="0.3">
      <c r="A8" t="str">
        <f>name!C5</f>
        <v>Manufacturing</v>
      </c>
      <c r="B8" s="11">
        <v>2637.8289999997633</v>
      </c>
      <c r="C8" s="11">
        <v>2686.7669999965788</v>
      </c>
      <c r="D8" s="11">
        <v>2626.9919999948092</v>
      </c>
      <c r="E8" s="11">
        <v>2540.6200000154367</v>
      </c>
      <c r="F8" s="11">
        <v>2341.1690000025396</v>
      </c>
      <c r="G8" s="11"/>
      <c r="H8" s="11">
        <f t="shared" ref="H8:H12" si="3">F8-D8</f>
        <v>-285.82299999226962</v>
      </c>
      <c r="I8" s="11">
        <v>1055.10135853765</v>
      </c>
      <c r="J8" s="11">
        <f t="shared" ref="J8:J12" si="4">SUM(H8:I8)</f>
        <v>769.27835854538034</v>
      </c>
      <c r="K8" s="11"/>
      <c r="L8" t="str">
        <f t="shared" si="0"/>
        <v>Trade, accomod. and transport</v>
      </c>
      <c r="M8" s="11">
        <f t="shared" si="0"/>
        <v>8823.4510001404869</v>
      </c>
      <c r="N8" s="11">
        <f t="shared" si="0"/>
        <v>9328.0920000844544</v>
      </c>
      <c r="O8" s="11">
        <f t="shared" si="0"/>
        <v>9183.9910000514137</v>
      </c>
      <c r="P8" s="11">
        <f t="shared" si="0"/>
        <v>9425.3850001916999</v>
      </c>
      <c r="Q8" s="11">
        <f t="shared" si="0"/>
        <v>9858.8979999900712</v>
      </c>
      <c r="R8" s="39">
        <f t="shared" si="1"/>
        <v>0.80419231929085289</v>
      </c>
      <c r="S8" s="39">
        <f t="shared" si="2"/>
        <v>0.47386948066163725</v>
      </c>
    </row>
    <row r="9" spans="1:19" x14ac:dyDescent="0.3">
      <c r="A9" t="str">
        <f>name!C6</f>
        <v>Construction</v>
      </c>
      <c r="B9" s="11">
        <v>2121.909999979634</v>
      </c>
      <c r="C9" s="11">
        <v>2333.5340000224633</v>
      </c>
      <c r="D9" s="11">
        <v>2318.9969999678437</v>
      </c>
      <c r="E9" s="11">
        <v>2419.1419999278805</v>
      </c>
      <c r="F9" s="11">
        <v>2583.0529999460769</v>
      </c>
      <c r="G9" s="11"/>
      <c r="H9" s="11">
        <f t="shared" si="3"/>
        <v>264.0559999782331</v>
      </c>
      <c r="I9" s="11">
        <v>1023.7038230360681</v>
      </c>
      <c r="J9" s="11">
        <f t="shared" si="4"/>
        <v>1287.7598230143012</v>
      </c>
      <c r="K9" s="11"/>
      <c r="L9" t="str">
        <f t="shared" si="0"/>
        <v>Business and other services</v>
      </c>
      <c r="M9" s="11">
        <f t="shared" si="0"/>
        <v>10766.368999966546</v>
      </c>
      <c r="N9" s="11">
        <f t="shared" si="0"/>
        <v>11478.555999953876</v>
      </c>
      <c r="O9" s="11">
        <f t="shared" si="0"/>
        <v>11274.012999979986</v>
      </c>
      <c r="P9" s="11">
        <f t="shared" si="0"/>
        <v>11689.746000110048</v>
      </c>
      <c r="Q9" s="11">
        <f t="shared" si="0"/>
        <v>12346.753000035324</v>
      </c>
      <c r="R9" s="39">
        <f t="shared" si="1"/>
        <v>0.92571949449997692</v>
      </c>
      <c r="S9" s="39">
        <f t="shared" si="2"/>
        <v>0.60779140694950939</v>
      </c>
    </row>
    <row r="10" spans="1:19" x14ac:dyDescent="0.3">
      <c r="A10" t="str">
        <f>name!C7</f>
        <v>Trade, accomod. and transport</v>
      </c>
      <c r="B10" s="11">
        <v>8823.4510001404869</v>
      </c>
      <c r="C10" s="11">
        <v>9328.0920000844544</v>
      </c>
      <c r="D10" s="11">
        <v>9183.9910000514137</v>
      </c>
      <c r="E10" s="11">
        <v>9425.3850001916999</v>
      </c>
      <c r="F10" s="11">
        <v>9858.8979999900712</v>
      </c>
      <c r="G10" s="11"/>
      <c r="H10" s="11">
        <f t="shared" si="3"/>
        <v>674.90699993865746</v>
      </c>
      <c r="I10" s="11">
        <v>4515.2756076515025</v>
      </c>
      <c r="J10" s="11">
        <f t="shared" si="4"/>
        <v>5190.1826075901599</v>
      </c>
      <c r="K10" s="11"/>
      <c r="L10" t="str">
        <f t="shared" si="0"/>
        <v>Non-marketed services</v>
      </c>
      <c r="M10" s="11">
        <f t="shared" si="0"/>
        <v>8512.4629999130666</v>
      </c>
      <c r="N10" s="11">
        <f t="shared" si="0"/>
        <v>8714.177999940568</v>
      </c>
      <c r="O10" s="11">
        <f t="shared" si="0"/>
        <v>8780.9900000097841</v>
      </c>
      <c r="P10" s="11">
        <f t="shared" si="0"/>
        <v>9151.5599997551762</v>
      </c>
      <c r="Q10" s="11">
        <f t="shared" si="0"/>
        <v>9629.9070000282736</v>
      </c>
      <c r="R10" s="39">
        <f t="shared" si="1"/>
        <v>0.62308983153576136</v>
      </c>
      <c r="S10" s="39">
        <f t="shared" si="2"/>
        <v>0.61712582916333414</v>
      </c>
    </row>
    <row r="11" spans="1:19" x14ac:dyDescent="0.3">
      <c r="A11" t="str">
        <f>name!C8</f>
        <v>Business and other services</v>
      </c>
      <c r="B11" s="11">
        <v>10766.368999966546</v>
      </c>
      <c r="C11" s="11">
        <v>11478.555999953876</v>
      </c>
      <c r="D11" s="11">
        <v>11274.012999979986</v>
      </c>
      <c r="E11" s="11">
        <v>11689.746000110048</v>
      </c>
      <c r="F11" s="11">
        <v>12346.753000035324</v>
      </c>
      <c r="G11" s="11"/>
      <c r="H11" s="11">
        <f t="shared" si="3"/>
        <v>1072.7400000553371</v>
      </c>
      <c r="I11" s="11">
        <v>5663.574091964163</v>
      </c>
      <c r="J11" s="11">
        <f t="shared" si="4"/>
        <v>6736.3140920195001</v>
      </c>
      <c r="K11" s="11"/>
      <c r="M11" s="11"/>
      <c r="N11" s="11"/>
      <c r="O11" s="11"/>
      <c r="P11" s="11"/>
      <c r="Q11" s="11"/>
      <c r="R11" s="39"/>
      <c r="S11" s="39"/>
    </row>
    <row r="12" spans="1:19" x14ac:dyDescent="0.3">
      <c r="A12" t="str">
        <f>name!C9</f>
        <v>Non-marketed services</v>
      </c>
      <c r="B12" s="11">
        <v>8512.4629999130666</v>
      </c>
      <c r="C12" s="11">
        <v>8714.177999940568</v>
      </c>
      <c r="D12" s="11">
        <v>8780.9900000097841</v>
      </c>
      <c r="E12" s="11">
        <v>9151.5599997551762</v>
      </c>
      <c r="F12" s="11">
        <v>9629.9070000282736</v>
      </c>
      <c r="G12" s="11"/>
      <c r="H12" s="11">
        <f t="shared" si="3"/>
        <v>848.91700001848949</v>
      </c>
      <c r="I12" s="11">
        <v>4905.60107447068</v>
      </c>
      <c r="J12" s="11">
        <f t="shared" si="4"/>
        <v>5754.5180744891695</v>
      </c>
      <c r="K12" s="11"/>
      <c r="L12" s="23" t="str">
        <f t="shared" ref="L12:Q12" si="5">A14</f>
        <v>All industries</v>
      </c>
      <c r="M12" s="33">
        <f t="shared" si="5"/>
        <v>33655.985000000044</v>
      </c>
      <c r="N12" s="33">
        <f t="shared" si="5"/>
        <v>35365.004000000197</v>
      </c>
      <c r="O12" s="33">
        <f t="shared" si="5"/>
        <v>34974.967999999826</v>
      </c>
      <c r="P12" s="33">
        <f t="shared" si="5"/>
        <v>36022.323999999811</v>
      </c>
      <c r="Q12" s="33">
        <f t="shared" si="5"/>
        <v>37567.872000000105</v>
      </c>
      <c r="R12" s="42">
        <f>IF(D$5-B$5 &lt;&gt; 0,(EXP(LN(D14/B14)/(D$5-B$5))-1)*100,0)</f>
        <v>0.77179721851199368</v>
      </c>
      <c r="S12" s="42">
        <f t="shared" si="2"/>
        <v>0.47791580152367619</v>
      </c>
    </row>
    <row r="13" spans="1:19" x14ac:dyDescent="0.3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3">
      <c r="A14" s="23" t="str">
        <f>name!C3</f>
        <v>All industries</v>
      </c>
      <c r="B14" s="33">
        <f>SUM(B7:B12)</f>
        <v>33655.985000000044</v>
      </c>
      <c r="C14" s="33">
        <f t="shared" ref="C14:F14" si="6">SUM(C7:C12)</f>
        <v>35365.004000000197</v>
      </c>
      <c r="D14" s="33">
        <f t="shared" si="6"/>
        <v>34974.967999999826</v>
      </c>
      <c r="E14" s="33">
        <f t="shared" si="6"/>
        <v>36022.323999999811</v>
      </c>
      <c r="F14" s="33">
        <f t="shared" si="6"/>
        <v>37567.872000000105</v>
      </c>
      <c r="G14" s="33"/>
      <c r="H14" s="33">
        <f>SUM(H7:H12)</f>
        <v>2592.904000000276</v>
      </c>
      <c r="I14" s="33">
        <f>SUM(I7:I12)</f>
        <v>17534.355663602433</v>
      </c>
      <c r="J14" s="33">
        <f t="shared" ref="J14" si="7">SUM(J7:J12)</f>
        <v>20127.259663602708</v>
      </c>
      <c r="K14" s="11"/>
      <c r="L14" s="11"/>
    </row>
    <row r="15" spans="1:19" x14ac:dyDescent="0.3">
      <c r="B15" s="11"/>
      <c r="C15" s="11"/>
      <c r="D15" s="11"/>
      <c r="E15" s="11"/>
      <c r="F15" s="11"/>
      <c r="G15" s="16"/>
      <c r="H15" s="11"/>
      <c r="I15" s="11"/>
      <c r="J15" s="11"/>
      <c r="K15" s="16"/>
      <c r="L15" s="11"/>
    </row>
    <row r="16" spans="1:19" x14ac:dyDescent="0.3">
      <c r="B16" s="11"/>
      <c r="C16" s="11"/>
      <c r="D16" s="11"/>
      <c r="E16" s="11"/>
      <c r="F16" s="11"/>
      <c r="G16" s="17"/>
      <c r="H16" s="16"/>
      <c r="I16" s="16"/>
      <c r="J16" s="347" t="s">
        <v>34</v>
      </c>
      <c r="K16" s="17"/>
      <c r="L16" s="11"/>
    </row>
    <row r="17" spans="1:12" x14ac:dyDescent="0.3">
      <c r="A17" s="35"/>
      <c r="B17" s="64"/>
      <c r="C17" s="64"/>
      <c r="D17" s="64"/>
      <c r="E17" s="64"/>
      <c r="F17" s="64"/>
      <c r="G17" s="17"/>
      <c r="H17" s="27" t="str">
        <f>CONCATENATE(D19,"-",F19)</f>
        <v>2020-2035</v>
      </c>
      <c r="I17" s="35"/>
      <c r="J17" s="35"/>
      <c r="K17" s="17"/>
      <c r="L17" s="11"/>
    </row>
    <row r="18" spans="1:12" x14ac:dyDescent="0.3">
      <c r="B18" s="11"/>
      <c r="C18" s="11"/>
      <c r="D18" s="11"/>
      <c r="E18" s="11"/>
      <c r="F18" s="11"/>
      <c r="G18" s="17"/>
      <c r="H18" s="15" t="s">
        <v>29</v>
      </c>
      <c r="I18" s="15" t="s">
        <v>30</v>
      </c>
      <c r="J18" s="15" t="s">
        <v>32</v>
      </c>
      <c r="K18" s="17"/>
      <c r="L18" s="11"/>
    </row>
    <row r="19" spans="1:12" x14ac:dyDescent="0.3">
      <c r="A19" s="40" t="s">
        <v>463</v>
      </c>
      <c r="B19" s="34">
        <f>B$5</f>
        <v>2015</v>
      </c>
      <c r="C19" s="34">
        <f>C$5</f>
        <v>2019</v>
      </c>
      <c r="D19" s="34">
        <f>D$5</f>
        <v>2020</v>
      </c>
      <c r="E19" s="34">
        <f>E$5</f>
        <v>2025</v>
      </c>
      <c r="F19" s="34">
        <f>F$5</f>
        <v>2035</v>
      </c>
      <c r="G19" s="17"/>
      <c r="H19" s="62" t="s">
        <v>18</v>
      </c>
      <c r="I19" s="62" t="s">
        <v>31</v>
      </c>
      <c r="J19" s="62" t="s">
        <v>33</v>
      </c>
      <c r="K19" s="17"/>
      <c r="L19" s="11"/>
    </row>
    <row r="20" spans="1:12" x14ac:dyDescent="0.3">
      <c r="A20" t="str">
        <f>$A$7</f>
        <v>Primary sector and utilities</v>
      </c>
      <c r="B20" s="17">
        <f>B7/B$14*100</f>
        <v>2.3590544148404846</v>
      </c>
      <c r="C20" s="17">
        <f>C7/C$14*100</f>
        <v>2.3296392105660506</v>
      </c>
      <c r="D20" s="17">
        <f>D7/D$14*100</f>
        <v>2.2587154332664237</v>
      </c>
      <c r="E20" s="17">
        <f>E7/E$14*100</f>
        <v>2.2093827150063259</v>
      </c>
      <c r="F20" s="17">
        <f>F7/F$14*100</f>
        <v>2.1510188279970048</v>
      </c>
      <c r="G20" s="17"/>
      <c r="H20" s="39">
        <f>IF(D7&gt;0,(H7/D7)*100,0)</f>
        <v>2.2920688369931348</v>
      </c>
      <c r="I20" s="39">
        <f>IF(D7&gt;0,(I7/D7)*100,0)</f>
        <v>46.975538515826628</v>
      </c>
      <c r="J20" s="39">
        <f>IF(D7&gt;0,(J7/D7)*100,0)</f>
        <v>49.267607352819766</v>
      </c>
      <c r="K20" s="17"/>
      <c r="L20" s="11"/>
    </row>
    <row r="21" spans="1:12" x14ac:dyDescent="0.3">
      <c r="A21" t="str">
        <f>$A$8</f>
        <v>Manufacturing</v>
      </c>
      <c r="B21" s="17">
        <f t="shared" ref="B21:F27" si="8">B8/B$14*100</f>
        <v>7.8376223426524572</v>
      </c>
      <c r="C21" s="17">
        <f t="shared" si="8"/>
        <v>7.5972478329044257</v>
      </c>
      <c r="D21" s="17">
        <f t="shared" si="8"/>
        <v>7.5110633410581604</v>
      </c>
      <c r="E21" s="17">
        <f t="shared" si="8"/>
        <v>7.0529041935646628</v>
      </c>
      <c r="F21" s="17">
        <f t="shared" si="8"/>
        <v>6.2318382047365715</v>
      </c>
      <c r="G21" s="17"/>
      <c r="H21" s="39">
        <f t="shared" ref="H21:H25" si="9">IF(D8&gt;0,(H8/D8)*100,0)</f>
        <v>-10.880238690975624</v>
      </c>
      <c r="I21" s="39">
        <f t="shared" ref="I21:I25" si="10">IF(D8&gt;0,(I8/D8)*100,0)</f>
        <v>40.163858837017195</v>
      </c>
      <c r="J21" s="39">
        <f t="shared" ref="J21:J25" si="11">IF(D8&gt;0,(J8/D8)*100,0)</f>
        <v>29.283620146041571</v>
      </c>
      <c r="K21" s="17"/>
      <c r="L21" s="11"/>
    </row>
    <row r="22" spans="1:12" x14ac:dyDescent="0.3">
      <c r="A22" t="str">
        <f>$A$9</f>
        <v>Construction</v>
      </c>
      <c r="B22" s="17">
        <f t="shared" si="8"/>
        <v>6.3047033090240303</v>
      </c>
      <c r="C22" s="17">
        <f t="shared" si="8"/>
        <v>6.5984270778605039</v>
      </c>
      <c r="D22" s="17">
        <f t="shared" si="8"/>
        <v>6.6304478104679179</v>
      </c>
      <c r="E22" s="17">
        <f t="shared" si="8"/>
        <v>6.7156744243594426</v>
      </c>
      <c r="F22" s="17">
        <f t="shared" si="8"/>
        <v>6.8756968719071168</v>
      </c>
      <c r="G22" s="17"/>
      <c r="H22" s="39">
        <f t="shared" si="9"/>
        <v>11.386646898719343</v>
      </c>
      <c r="I22" s="39">
        <f t="shared" si="10"/>
        <v>44.144249563507984</v>
      </c>
      <c r="J22" s="39">
        <f t="shared" si="11"/>
        <v>55.530896462227332</v>
      </c>
      <c r="K22" s="17"/>
      <c r="L22" s="11"/>
    </row>
    <row r="23" spans="1:12" x14ac:dyDescent="0.3">
      <c r="A23" t="str">
        <f>$A$10</f>
        <v>Trade, accomod. and transport</v>
      </c>
      <c r="B23" s="17">
        <f t="shared" si="8"/>
        <v>26.216588223878979</v>
      </c>
      <c r="C23" s="17">
        <f t="shared" si="8"/>
        <v>26.376617969799753</v>
      </c>
      <c r="D23" s="17">
        <f t="shared" si="8"/>
        <v>26.258754547113405</v>
      </c>
      <c r="E23" s="17">
        <f t="shared" si="8"/>
        <v>26.165399545547778</v>
      </c>
      <c r="F23" s="17">
        <f t="shared" si="8"/>
        <v>26.242897122280556</v>
      </c>
      <c r="G23" s="17"/>
      <c r="H23" s="39">
        <f t="shared" si="9"/>
        <v>7.3487332460896271</v>
      </c>
      <c r="I23" s="39">
        <f t="shared" si="10"/>
        <v>49.164634499600716</v>
      </c>
      <c r="J23" s="39">
        <f t="shared" si="11"/>
        <v>56.513367745690346</v>
      </c>
      <c r="K23" s="17"/>
      <c r="L23" s="11"/>
    </row>
    <row r="24" spans="1:12" x14ac:dyDescent="0.3">
      <c r="A24" t="str">
        <f>$A$11</f>
        <v>Business and other services</v>
      </c>
      <c r="B24" s="17">
        <f t="shared" si="8"/>
        <v>31.9894633895473</v>
      </c>
      <c r="C24" s="17">
        <f t="shared" si="8"/>
        <v>32.4573864036713</v>
      </c>
      <c r="D24" s="17">
        <f t="shared" si="8"/>
        <v>32.234519842820283</v>
      </c>
      <c r="E24" s="17">
        <f t="shared" si="8"/>
        <v>32.451393197479732</v>
      </c>
      <c r="F24" s="17">
        <f t="shared" si="8"/>
        <v>32.86519129972357</v>
      </c>
      <c r="G24" s="17"/>
      <c r="H24" s="39">
        <f t="shared" si="9"/>
        <v>9.515156670985224</v>
      </c>
      <c r="I24" s="39">
        <f t="shared" si="10"/>
        <v>50.235653373596577</v>
      </c>
      <c r="J24" s="39">
        <f t="shared" si="11"/>
        <v>59.750810044581804</v>
      </c>
      <c r="K24" s="17"/>
    </row>
    <row r="25" spans="1:12" x14ac:dyDescent="0.3">
      <c r="A25" t="str">
        <f>$A$12</f>
        <v>Non-marketed services</v>
      </c>
      <c r="B25" s="17">
        <f t="shared" si="8"/>
        <v>25.292568320056763</v>
      </c>
      <c r="C25" s="17">
        <f t="shared" si="8"/>
        <v>24.640681505197961</v>
      </c>
      <c r="D25" s="17">
        <f t="shared" si="8"/>
        <v>25.106499025273809</v>
      </c>
      <c r="E25" s="17">
        <f t="shared" si="8"/>
        <v>25.40524592404206</v>
      </c>
      <c r="F25" s="17">
        <f t="shared" si="8"/>
        <v>25.633357673355167</v>
      </c>
      <c r="G25" s="17"/>
      <c r="H25" s="39">
        <f t="shared" si="9"/>
        <v>9.6676684521624967</v>
      </c>
      <c r="I25" s="39">
        <f t="shared" si="10"/>
        <v>55.866150336866504</v>
      </c>
      <c r="J25" s="39">
        <f t="shared" si="11"/>
        <v>65.533818789028999</v>
      </c>
      <c r="K25" s="17"/>
      <c r="L25" s="11"/>
    </row>
    <row r="26" spans="1:12" x14ac:dyDescent="0.3">
      <c r="B26" s="17"/>
      <c r="C26" s="17"/>
      <c r="D26" s="17"/>
      <c r="E26" s="17"/>
      <c r="F26" s="17"/>
      <c r="G26" s="17"/>
      <c r="H26" s="39"/>
      <c r="I26" s="39"/>
      <c r="J26" s="39"/>
      <c r="K26" s="17"/>
      <c r="L26" s="11"/>
    </row>
    <row r="27" spans="1:12" x14ac:dyDescent="0.3">
      <c r="A27" s="23" t="str">
        <f>$A$14</f>
        <v>All industries</v>
      </c>
      <c r="B27" s="25">
        <f t="shared" si="8"/>
        <v>100</v>
      </c>
      <c r="C27" s="25">
        <f t="shared" si="8"/>
        <v>100</v>
      </c>
      <c r="D27" s="25">
        <f t="shared" si="8"/>
        <v>100</v>
      </c>
      <c r="E27" s="25">
        <f t="shared" si="8"/>
        <v>100</v>
      </c>
      <c r="F27" s="25">
        <f t="shared" si="8"/>
        <v>100</v>
      </c>
      <c r="G27" s="17"/>
      <c r="H27" s="42">
        <f>IF(D14&gt;0,(H14/D14)*100,0)</f>
        <v>7.4135993491124541</v>
      </c>
      <c r="I27" s="42">
        <f>IF(D14&gt;0,(I14/D14)*100,0)</f>
        <v>50.134014886311029</v>
      </c>
      <c r="J27" s="42">
        <f>IF(D14&gt;0,(J14/D14)*100,0)</f>
        <v>57.547614235423481</v>
      </c>
      <c r="K27" s="17"/>
      <c r="L27" s="11"/>
    </row>
    <row r="28" spans="1:12" x14ac:dyDescent="0.3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1"/>
    </row>
    <row r="29" spans="1:12" x14ac:dyDescent="0.3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1"/>
    </row>
    <row r="30" spans="1:12" x14ac:dyDescent="0.3">
      <c r="B30" s="17"/>
      <c r="C30" s="17"/>
      <c r="D30" s="17"/>
      <c r="E30" s="17"/>
      <c r="F30" s="17"/>
      <c r="H30" s="17"/>
      <c r="I30" s="17"/>
      <c r="J30" s="17"/>
    </row>
    <row r="31" spans="1:12" ht="15.45" x14ac:dyDescent="0.4">
      <c r="A31" s="193" t="str">
        <f>CONCATENATE(A1," (Continued)")</f>
        <v>Industry Table 1  Employment by Industry Sector (SIC 2007), 2015-2035, United Kingdom (Continued)</v>
      </c>
      <c r="B31" s="17"/>
      <c r="C31" s="17"/>
      <c r="D31" s="17"/>
      <c r="E31" s="17"/>
      <c r="F31" s="17"/>
      <c r="G31" s="19"/>
      <c r="K31" s="19"/>
    </row>
    <row r="32" spans="1:12" x14ac:dyDescent="0.3">
      <c r="G32" s="17"/>
      <c r="H32" s="19"/>
      <c r="I32" s="19"/>
      <c r="J32" s="19"/>
      <c r="K32" s="17"/>
    </row>
    <row r="33" spans="1:11" x14ac:dyDescent="0.3">
      <c r="A33" s="194" t="s">
        <v>14</v>
      </c>
      <c r="B33" s="24" t="str">
        <f>CONCATENATE(B$5,"-",C$5)</f>
        <v>2015-2019</v>
      </c>
      <c r="C33" s="24" t="str">
        <f>CONCATENATE(C$5,"-",D$5)</f>
        <v>2019-2020</v>
      </c>
      <c r="D33" s="24" t="str">
        <f>CONCATENATE(D$5,"-",E$5)</f>
        <v>2020-2025</v>
      </c>
      <c r="E33" s="24" t="str">
        <f>CONCATENATE(E$5,"-",F$5)</f>
        <v>2025-2035</v>
      </c>
      <c r="F33" s="24" t="str">
        <f>CONCATENATE(D$5,"-",F$5)</f>
        <v>2020-2035</v>
      </c>
      <c r="G33" s="17"/>
      <c r="H33" s="17"/>
      <c r="I33" s="17"/>
      <c r="J33" s="17"/>
      <c r="K33" s="17"/>
    </row>
    <row r="34" spans="1:11" x14ac:dyDescent="0.3">
      <c r="A34" t="str">
        <f>$A$7</f>
        <v>Primary sector and utilities</v>
      </c>
      <c r="B34" s="17">
        <f>IF(C$5-B$5 &lt;&gt; 0,(EXP(LN(C7/B7)/(C$5-B$5))-1)*100,0)</f>
        <v>0.92889737627583902</v>
      </c>
      <c r="C34" s="17">
        <f>IF(D$5-C$5 &lt;&gt; 0,(EXP(LN(D7/C7)/(D$5-C$5))-1)*100,0)</f>
        <v>-4.1137208595670272</v>
      </c>
      <c r="D34" s="17">
        <f>IF(E$5-D$5 &lt;&gt; 0,(EXP(LN(E7/D7)/(E$5-D$5))-1)*100,0)</f>
        <v>0.14857335050744158</v>
      </c>
      <c r="E34" s="17">
        <f>IF(F$5-E$5 &lt;&gt; 0,(EXP(LN(F7/E7)/(F$5-E$5))-1)*100,0)</f>
        <v>0.15250417966685692</v>
      </c>
      <c r="F34" s="17">
        <f>IF(F$5-D$5 &lt;&gt; 0,(EXP(LN(F7/D7)/(F$5-D$5))-1)*100,0)</f>
        <v>0.15119388613791251</v>
      </c>
      <c r="G34" s="17"/>
      <c r="H34" s="17"/>
      <c r="I34" s="17"/>
      <c r="J34" s="17"/>
      <c r="K34" s="17"/>
    </row>
    <row r="35" spans="1:11" x14ac:dyDescent="0.3">
      <c r="A35" t="str">
        <f>$A$8</f>
        <v>Manufacturing</v>
      </c>
      <c r="B35" s="17">
        <f t="shared" ref="B35:B41" si="12">IF(C$5-B$5 &lt;&gt; 0,(EXP(LN(C8/B8)/(C$5-B$5))-1)*100,0)</f>
        <v>0.46061713698037909</v>
      </c>
      <c r="C35" s="17">
        <f t="shared" ref="C35:C41" si="13">IF(D$5-C$5 &lt;&gt; 0,(EXP(LN(D8/C8)/(D$5-C$5))-1)*100,0)</f>
        <v>-2.2247928458941746</v>
      </c>
      <c r="D35" s="17">
        <f t="shared" ref="D35:E39" si="14">IF(E$5-D$5 &lt;&gt; 0,(EXP(LN(E8/D8)/(E$5-D$5))-1)*100,0)</f>
        <v>-0.66639606055379774</v>
      </c>
      <c r="E35" s="17">
        <f t="shared" si="14"/>
        <v>-0.81424460796135634</v>
      </c>
      <c r="F35" s="17">
        <f t="shared" ref="F35:F41" si="15">IF(F$5-D$5 &lt;&gt; 0,(EXP(LN(F8/D8)/(F$5-D$5))-1)*100,0)</f>
        <v>-0.76498622594640686</v>
      </c>
      <c r="G35" s="17"/>
      <c r="H35" s="17"/>
      <c r="I35" s="17"/>
      <c r="J35" s="17"/>
      <c r="K35" s="17"/>
    </row>
    <row r="36" spans="1:11" x14ac:dyDescent="0.3">
      <c r="A36" t="str">
        <f>$A$9</f>
        <v>Construction</v>
      </c>
      <c r="B36" s="17">
        <f t="shared" si="12"/>
        <v>2.4051488978319435</v>
      </c>
      <c r="C36" s="17">
        <f t="shared" si="13"/>
        <v>-0.62296071342776704</v>
      </c>
      <c r="D36" s="17">
        <f t="shared" si="14"/>
        <v>0.84914832857057032</v>
      </c>
      <c r="E36" s="17">
        <f t="shared" si="14"/>
        <v>0.6577447101788314</v>
      </c>
      <c r="F36" s="17">
        <f t="shared" si="15"/>
        <v>0.7215055190288755</v>
      </c>
      <c r="G36" s="17"/>
      <c r="H36" s="17"/>
      <c r="I36" s="17"/>
      <c r="J36" s="17"/>
      <c r="K36" s="17"/>
    </row>
    <row r="37" spans="1:11" x14ac:dyDescent="0.3">
      <c r="A37" t="str">
        <f>$A$10</f>
        <v>Trade, accomod. and transport</v>
      </c>
      <c r="B37" s="17">
        <f t="shared" si="12"/>
        <v>1.4001472410571925</v>
      </c>
      <c r="C37" s="17">
        <f t="shared" si="13"/>
        <v>-1.5448068054188968</v>
      </c>
      <c r="D37" s="17">
        <f t="shared" si="14"/>
        <v>0.52024302293049995</v>
      </c>
      <c r="E37" s="17">
        <f t="shared" si="14"/>
        <v>0.45069073280219474</v>
      </c>
      <c r="F37" s="17">
        <f t="shared" si="15"/>
        <v>0.47386948066163725</v>
      </c>
      <c r="G37" s="17"/>
      <c r="H37" s="17"/>
      <c r="I37" s="17"/>
      <c r="J37" s="17"/>
      <c r="K37" s="17"/>
    </row>
    <row r="38" spans="1:11" x14ac:dyDescent="0.3">
      <c r="A38" t="str">
        <f>$A$11</f>
        <v>Business and other services</v>
      </c>
      <c r="B38" s="17">
        <f t="shared" si="12"/>
        <v>1.6142226652617886</v>
      </c>
      <c r="C38" s="17">
        <f t="shared" si="13"/>
        <v>-1.7819575909610252</v>
      </c>
      <c r="D38" s="17">
        <f t="shared" si="14"/>
        <v>0.72686300840727469</v>
      </c>
      <c r="E38" s="17">
        <f t="shared" si="14"/>
        <v>0.54830840063087027</v>
      </c>
      <c r="F38" s="17">
        <f t="shared" si="15"/>
        <v>0.60779140694950939</v>
      </c>
      <c r="G38" s="17"/>
      <c r="H38" s="17"/>
      <c r="I38" s="17"/>
      <c r="J38" s="17"/>
      <c r="K38" s="17"/>
    </row>
    <row r="39" spans="1:11" x14ac:dyDescent="0.3">
      <c r="A39" t="str">
        <f>$A$12</f>
        <v>Non-marketed services</v>
      </c>
      <c r="B39" s="17">
        <f t="shared" si="12"/>
        <v>0.58721814254238947</v>
      </c>
      <c r="C39" s="17">
        <f t="shared" si="13"/>
        <v>0.7667045597378408</v>
      </c>
      <c r="D39" s="17">
        <f t="shared" si="14"/>
        <v>0.83013061306549396</v>
      </c>
      <c r="E39" s="17">
        <f t="shared" si="14"/>
        <v>0.51079223729522116</v>
      </c>
      <c r="F39" s="17">
        <f t="shared" si="15"/>
        <v>0.61712582916333414</v>
      </c>
      <c r="G39" s="17"/>
      <c r="H39" s="17"/>
      <c r="I39" s="17"/>
      <c r="J39" s="17"/>
      <c r="K39" s="17"/>
    </row>
    <row r="40" spans="1:11" x14ac:dyDescent="0.3"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1" x14ac:dyDescent="0.3">
      <c r="A41" t="str">
        <f>$A$14</f>
        <v>All industries</v>
      </c>
      <c r="B41" s="17">
        <f t="shared" si="12"/>
        <v>1.2459947050990516</v>
      </c>
      <c r="C41" s="17">
        <f t="shared" si="13"/>
        <v>-1.1028869104620198</v>
      </c>
      <c r="D41" s="17">
        <f>IF(E$5-D$5 &lt;&gt; 0,(EXP(LN(E14/D14)/(E$5-D$5))-1)*100,0)</f>
        <v>0.59186970332352207</v>
      </c>
      <c r="E41" s="17">
        <f>IF(F$5-E$5 &lt;&gt; 0,(EXP(LN(F14/E14)/(F$5-E$5))-1)*100,0)</f>
        <v>0.42098726884287618</v>
      </c>
      <c r="F41" s="17">
        <f t="shared" si="15"/>
        <v>0.47791580152367619</v>
      </c>
      <c r="H41" s="17"/>
      <c r="I41" s="17"/>
      <c r="J41" s="17"/>
    </row>
    <row r="42" spans="1:11" x14ac:dyDescent="0.3">
      <c r="B42" s="17"/>
      <c r="C42" s="17"/>
      <c r="D42" s="17"/>
      <c r="E42" s="17"/>
      <c r="F42" s="17"/>
      <c r="G42" s="19"/>
      <c r="K42" s="19"/>
    </row>
    <row r="43" spans="1:11" x14ac:dyDescent="0.3">
      <c r="G43" s="26"/>
      <c r="H43" s="19"/>
      <c r="I43" s="19"/>
      <c r="J43" s="19"/>
      <c r="K43" s="26"/>
    </row>
    <row r="44" spans="1:11" x14ac:dyDescent="0.3">
      <c r="A44" s="1" t="s">
        <v>15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6"/>
      <c r="H44" s="26"/>
      <c r="I44" s="26"/>
      <c r="J44" s="26"/>
      <c r="K44" s="26"/>
    </row>
    <row r="45" spans="1:11" x14ac:dyDescent="0.3">
      <c r="A45" t="str">
        <f>$A$7</f>
        <v>Primary sector and utilities</v>
      </c>
      <c r="B45" s="26">
        <f>C7-B7</f>
        <v>29.914000001704608</v>
      </c>
      <c r="C45" s="26">
        <f>D7-C7</f>
        <v>-33.892000006267835</v>
      </c>
      <c r="D45" s="26">
        <f>E7-D7</f>
        <v>5.8860000035822395</v>
      </c>
      <c r="E45" s="26">
        <f>F7-E7</f>
        <v>12.220999998246043</v>
      </c>
      <c r="F45" s="26">
        <f>F7-D7</f>
        <v>18.107000001828283</v>
      </c>
      <c r="G45" s="26"/>
      <c r="H45" s="26"/>
      <c r="I45" s="26"/>
      <c r="J45" s="26"/>
      <c r="K45" s="26"/>
    </row>
    <row r="46" spans="1:11" x14ac:dyDescent="0.3">
      <c r="A46" t="str">
        <f>$A$8</f>
        <v>Manufacturing</v>
      </c>
      <c r="B46" s="26">
        <f t="shared" ref="B46:E52" si="16">C8-B8</f>
        <v>48.937999996815506</v>
      </c>
      <c r="C46" s="26">
        <f>D8-C8</f>
        <v>-59.775000001769513</v>
      </c>
      <c r="D46" s="26">
        <f t="shared" si="16"/>
        <v>-86.371999979372504</v>
      </c>
      <c r="E46" s="26">
        <f t="shared" si="16"/>
        <v>-199.45100001289711</v>
      </c>
      <c r="F46" s="26">
        <f t="shared" ref="F46:F52" si="17">F8-D8</f>
        <v>-285.82299999226962</v>
      </c>
      <c r="G46" s="26"/>
      <c r="H46" s="26"/>
      <c r="I46" s="26"/>
      <c r="J46" s="26"/>
      <c r="K46" s="26"/>
    </row>
    <row r="47" spans="1:11" x14ac:dyDescent="0.3">
      <c r="A47" t="str">
        <f>$A$9</f>
        <v>Construction</v>
      </c>
      <c r="B47" s="26">
        <f t="shared" si="16"/>
        <v>211.62400004282927</v>
      </c>
      <c r="C47" s="26">
        <f t="shared" ref="C47:C50" si="18">D9-C9</f>
        <v>-14.537000054619512</v>
      </c>
      <c r="D47" s="26">
        <f t="shared" si="16"/>
        <v>100.14499996003678</v>
      </c>
      <c r="E47" s="26">
        <f t="shared" si="16"/>
        <v>163.91100001819632</v>
      </c>
      <c r="F47" s="26">
        <f t="shared" si="17"/>
        <v>264.0559999782331</v>
      </c>
      <c r="G47" s="26"/>
      <c r="H47" s="26"/>
      <c r="I47" s="26"/>
      <c r="J47" s="26"/>
      <c r="K47" s="26"/>
    </row>
    <row r="48" spans="1:11" x14ac:dyDescent="0.3">
      <c r="A48" t="str">
        <f>$A$10</f>
        <v>Trade, accomod. and transport</v>
      </c>
      <c r="B48" s="26">
        <f t="shared" si="16"/>
        <v>504.64099994396747</v>
      </c>
      <c r="C48" s="26">
        <f t="shared" si="18"/>
        <v>-144.10100003304069</v>
      </c>
      <c r="D48" s="26">
        <f t="shared" si="16"/>
        <v>241.39400014028615</v>
      </c>
      <c r="E48" s="26">
        <f t="shared" si="16"/>
        <v>433.51299979837131</v>
      </c>
      <c r="F48" s="26">
        <f t="shared" si="17"/>
        <v>674.90699993865746</v>
      </c>
      <c r="G48" s="26"/>
      <c r="H48" s="26"/>
      <c r="I48" s="26"/>
      <c r="J48" s="26"/>
      <c r="K48" s="26"/>
    </row>
    <row r="49" spans="1:11" x14ac:dyDescent="0.3">
      <c r="A49" t="str">
        <f>$A$11</f>
        <v>Business and other services</v>
      </c>
      <c r="B49" s="26">
        <f t="shared" si="16"/>
        <v>712.18699998733064</v>
      </c>
      <c r="C49" s="26">
        <f t="shared" si="18"/>
        <v>-204.54299997388989</v>
      </c>
      <c r="D49" s="26">
        <f t="shared" si="16"/>
        <v>415.73300013006155</v>
      </c>
      <c r="E49" s="26">
        <f t="shared" si="16"/>
        <v>657.00699992527552</v>
      </c>
      <c r="F49" s="26">
        <f t="shared" si="17"/>
        <v>1072.7400000553371</v>
      </c>
      <c r="G49" s="26"/>
      <c r="H49" s="26"/>
      <c r="I49" s="26"/>
      <c r="J49" s="26"/>
      <c r="K49" s="26"/>
    </row>
    <row r="50" spans="1:11" x14ac:dyDescent="0.3">
      <c r="A50" t="str">
        <f>$A$12</f>
        <v>Non-marketed services</v>
      </c>
      <c r="B50" s="26">
        <f t="shared" si="16"/>
        <v>201.71500002750145</v>
      </c>
      <c r="C50" s="26">
        <f t="shared" si="18"/>
        <v>66.812000069216083</v>
      </c>
      <c r="D50" s="26">
        <f t="shared" si="16"/>
        <v>370.56999974539212</v>
      </c>
      <c r="E50" s="26">
        <f t="shared" si="16"/>
        <v>478.34700027309736</v>
      </c>
      <c r="F50" s="26">
        <f t="shared" si="17"/>
        <v>848.91700001848949</v>
      </c>
      <c r="G50" s="26"/>
      <c r="H50" s="26"/>
      <c r="I50" s="26"/>
      <c r="J50" s="26"/>
      <c r="K50" s="26"/>
    </row>
    <row r="51" spans="1:11" x14ac:dyDescent="0.3">
      <c r="B51" s="26"/>
      <c r="C51" s="26"/>
      <c r="D51" s="26"/>
      <c r="E51" s="26"/>
      <c r="F51" s="26"/>
      <c r="H51" s="26"/>
      <c r="I51" s="26"/>
      <c r="J51" s="26"/>
    </row>
    <row r="52" spans="1:11" x14ac:dyDescent="0.3">
      <c r="A52" s="23" t="str">
        <f>$A$14</f>
        <v>All industries</v>
      </c>
      <c r="B52" s="28">
        <f>C14-B14</f>
        <v>1709.019000000153</v>
      </c>
      <c r="C52" s="28">
        <f>D14-C14</f>
        <v>-390.03600000037113</v>
      </c>
      <c r="D52" s="28">
        <f t="shared" si="16"/>
        <v>1047.3559999999852</v>
      </c>
      <c r="E52" s="28">
        <f t="shared" si="16"/>
        <v>1545.5480000002935</v>
      </c>
      <c r="F52" s="28">
        <f t="shared" si="17"/>
        <v>2592.9040000002788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3"/>
  <sheetViews>
    <sheetView showGridLines="0" zoomScale="85" zoomScaleNormal="85" workbookViewId="0"/>
  </sheetViews>
  <sheetFormatPr defaultRowHeight="12.45" x14ac:dyDescent="0.3"/>
  <cols>
    <col min="1" max="1" width="26.69140625" customWidth="1"/>
    <col min="2" max="6" width="11.69140625" customWidth="1"/>
  </cols>
  <sheetData>
    <row r="1" spans="1:7" ht="15.45" x14ac:dyDescent="0.4">
      <c r="A1" s="18" t="str">
        <f>CONCATENATE("Industry Table 2  Employment by Industry Group (SIC 2007), ",B$3,"-",F$3,", ",Info!B5)</f>
        <v>Industry Table 2  Employment by Industry Group (SIC 2007), 2015-2035, United Kingdom</v>
      </c>
    </row>
    <row r="2" spans="1:7" x14ac:dyDescent="0.3">
      <c r="A2" s="1" t="s">
        <v>530</v>
      </c>
    </row>
    <row r="3" spans="1:7" x14ac:dyDescent="0.3">
      <c r="A3" s="21"/>
      <c r="B3" s="22">
        <f>'Ind T3'!B3</f>
        <v>2015</v>
      </c>
      <c r="C3" s="22">
        <f>'Ind T3'!C3</f>
        <v>2019</v>
      </c>
      <c r="D3" s="22">
        <f>'Ind T3'!D3</f>
        <v>2020</v>
      </c>
      <c r="E3" s="22">
        <f>'Ind T3'!E3</f>
        <v>2025</v>
      </c>
      <c r="F3" s="22">
        <f>'Ind T3'!F3</f>
        <v>2035</v>
      </c>
    </row>
    <row r="4" spans="1:7" x14ac:dyDescent="0.3">
      <c r="A4" s="1" t="s">
        <v>13</v>
      </c>
    </row>
    <row r="5" spans="1:7" x14ac:dyDescent="0.3">
      <c r="A5" s="10" t="str">
        <f>name!B4</f>
        <v>Agriculture</v>
      </c>
      <c r="B5" s="11">
        <f t="array" ref="B5:B26">MMULT(aggregation!$B$3:$BX$24,'Ind T3'!B5:B79)</f>
        <v>386.98700000151018</v>
      </c>
      <c r="C5" s="11">
        <f t="array" ref="C5:C26">MMULT(aggregation!$B$3:$BX$24,'Ind T3'!C5:C79)</f>
        <v>395.90500000286579</v>
      </c>
      <c r="D5" s="11">
        <f t="array" ref="D5:D26">MMULT(aggregation!$B$3:$BX$24,'Ind T3'!D5:D79)</f>
        <v>372.00199999699367</v>
      </c>
      <c r="E5" s="11">
        <f t="array" ref="E5:E26">MMULT(aggregation!$B$3:$BX$24,'Ind T3'!E5:E79)</f>
        <v>381.17099999725599</v>
      </c>
      <c r="F5" s="11">
        <f t="array" ref="F5:F26">MMULT(aggregation!$B$3:$BX$24,'Ind T3'!F5:F79)</f>
        <v>385.17799999710059</v>
      </c>
      <c r="G5" s="10"/>
    </row>
    <row r="6" spans="1:7" x14ac:dyDescent="0.3">
      <c r="A6" s="10" t="str">
        <f>name!B5</f>
        <v>Mining and quarrying</v>
      </c>
      <c r="B6" s="11">
        <v>74.000999999618358</v>
      </c>
      <c r="C6" s="11">
        <v>60.993999999880636</v>
      </c>
      <c r="D6" s="11">
        <v>61.989999999907816</v>
      </c>
      <c r="E6" s="11">
        <v>54.095000000151984</v>
      </c>
      <c r="F6" s="11">
        <v>46.898000000171301</v>
      </c>
    </row>
    <row r="7" spans="1:7" x14ac:dyDescent="0.3">
      <c r="A7" s="10" t="str">
        <f>name!B6</f>
        <v>Food drink and tobacco</v>
      </c>
      <c r="B7" s="11">
        <v>426.80600000178686</v>
      </c>
      <c r="C7" s="11">
        <v>452.71200000046281</v>
      </c>
      <c r="D7" s="11">
        <v>452.26199999991479</v>
      </c>
      <c r="E7" s="11">
        <v>459.38400000572176</v>
      </c>
      <c r="F7" s="11">
        <v>448.88600000038093</v>
      </c>
      <c r="G7" s="11"/>
    </row>
    <row r="8" spans="1:7" x14ac:dyDescent="0.3">
      <c r="A8" s="10" t="str">
        <f>name!B7</f>
        <v>Engineering</v>
      </c>
      <c r="B8" s="11">
        <v>394.82099999887174</v>
      </c>
      <c r="C8" s="11">
        <v>402.64999999893882</v>
      </c>
      <c r="D8" s="11">
        <v>384.18599999891455</v>
      </c>
      <c r="E8" s="11">
        <v>393.4140000017203</v>
      </c>
      <c r="F8" s="11">
        <v>349.43700000037802</v>
      </c>
      <c r="G8" s="11"/>
    </row>
    <row r="9" spans="1:7" x14ac:dyDescent="0.3">
      <c r="A9" s="10" t="str">
        <f>name!B8</f>
        <v>Rest of manufacturing</v>
      </c>
      <c r="B9" s="11">
        <v>1816.2019999991046</v>
      </c>
      <c r="C9" s="11">
        <v>1831.4049999971764</v>
      </c>
      <c r="D9" s="11">
        <v>1790.5439999959799</v>
      </c>
      <c r="E9" s="11">
        <v>1687.8220000079953</v>
      </c>
      <c r="F9" s="11">
        <v>1542.8460000017808</v>
      </c>
      <c r="G9" s="11"/>
    </row>
    <row r="10" spans="1:7" x14ac:dyDescent="0.3">
      <c r="A10" s="10" t="str">
        <f>name!B9</f>
        <v>Electricity and gas</v>
      </c>
      <c r="B10" s="11">
        <v>132.99599999935342</v>
      </c>
      <c r="C10" s="11">
        <v>143.9939999993542</v>
      </c>
      <c r="D10" s="11">
        <v>145.99299999949051</v>
      </c>
      <c r="E10" s="11">
        <v>140.01800000093294</v>
      </c>
      <c r="F10" s="11">
        <v>138.5459999994923</v>
      </c>
      <c r="G10" s="11"/>
    </row>
    <row r="11" spans="1:7" x14ac:dyDescent="0.3">
      <c r="A11" s="10" t="str">
        <f>name!B10</f>
        <v>Water and sewerage</v>
      </c>
      <c r="B11" s="11">
        <v>199.97900000007024</v>
      </c>
      <c r="C11" s="11">
        <v>222.98400000015621</v>
      </c>
      <c r="D11" s="11">
        <v>209.99999999959704</v>
      </c>
      <c r="E11" s="11">
        <v>220.58700000123025</v>
      </c>
      <c r="F11" s="11">
        <v>237.47000000105308</v>
      </c>
      <c r="G11" s="11"/>
    </row>
    <row r="12" spans="1:7" x14ac:dyDescent="0.3">
      <c r="A12" s="10" t="str">
        <f>name!B11</f>
        <v>Construction</v>
      </c>
      <c r="B12" s="11">
        <v>2121.909999979634</v>
      </c>
      <c r="C12" s="11">
        <v>2333.5340000224633</v>
      </c>
      <c r="D12" s="11">
        <v>2318.9969999678437</v>
      </c>
      <c r="E12" s="11">
        <v>2419.1419999278805</v>
      </c>
      <c r="F12" s="11">
        <v>2583.0529999460769</v>
      </c>
      <c r="G12" s="11"/>
    </row>
    <row r="13" spans="1:7" x14ac:dyDescent="0.3">
      <c r="A13" s="10" t="str">
        <f>name!B12</f>
        <v>Wholesale and retail trade</v>
      </c>
      <c r="B13" s="11">
        <v>4970.689000089862</v>
      </c>
      <c r="C13" s="11">
        <v>4991.5540000616602</v>
      </c>
      <c r="D13" s="11">
        <v>4979.9930000385002</v>
      </c>
      <c r="E13" s="11">
        <v>5007.1890001147076</v>
      </c>
      <c r="F13" s="11">
        <v>5058.9209999896593</v>
      </c>
      <c r="G13" s="11"/>
    </row>
    <row r="14" spans="1:7" x14ac:dyDescent="0.3">
      <c r="A14" s="10" t="str">
        <f>name!B13</f>
        <v>Transport and storage</v>
      </c>
      <c r="B14" s="11">
        <v>1608.9080000135</v>
      </c>
      <c r="C14" s="11">
        <v>1811.763999990661</v>
      </c>
      <c r="D14" s="11">
        <v>1788.0020000024331</v>
      </c>
      <c r="E14" s="11">
        <v>1904.4200000279934</v>
      </c>
      <c r="F14" s="11">
        <v>1940.5480000121872</v>
      </c>
      <c r="G14" s="11"/>
    </row>
    <row r="15" spans="1:7" x14ac:dyDescent="0.3">
      <c r="A15" s="10" t="str">
        <f>name!B14</f>
        <v>Accommodation and food</v>
      </c>
      <c r="B15" s="11">
        <v>2243.8540000371245</v>
      </c>
      <c r="C15" s="11">
        <v>2524.7740000321319</v>
      </c>
      <c r="D15" s="11">
        <v>2415.9960000104807</v>
      </c>
      <c r="E15" s="11">
        <v>2513.7760000489993</v>
      </c>
      <c r="F15" s="11">
        <v>2859.4289999882239</v>
      </c>
      <c r="G15" s="11"/>
    </row>
    <row r="16" spans="1:7" x14ac:dyDescent="0.3">
      <c r="A16" s="10" t="str">
        <f>name!B15</f>
        <v>Media</v>
      </c>
      <c r="B16" s="11">
        <v>364.73499999974388</v>
      </c>
      <c r="C16" s="11">
        <v>379.56299999890007</v>
      </c>
      <c r="D16" s="11">
        <v>377.52300000078952</v>
      </c>
      <c r="E16" s="11">
        <v>381.39600000564673</v>
      </c>
      <c r="F16" s="11">
        <v>385.73300000349366</v>
      </c>
      <c r="G16" s="11"/>
    </row>
    <row r="17" spans="1:7" x14ac:dyDescent="0.3">
      <c r="A17" s="10" t="str">
        <f>name!B16</f>
        <v>Information technology</v>
      </c>
      <c r="B17" s="11">
        <v>1025.1799999874218</v>
      </c>
      <c r="C17" s="11">
        <v>1117.2739999872433</v>
      </c>
      <c r="D17" s="11">
        <v>1114.4829999960457</v>
      </c>
      <c r="E17" s="11">
        <v>1198.4030000068362</v>
      </c>
      <c r="F17" s="11">
        <v>1295.671999997531</v>
      </c>
      <c r="G17" s="11"/>
    </row>
    <row r="18" spans="1:7" x14ac:dyDescent="0.3">
      <c r="A18" s="10" t="str">
        <f>name!B17</f>
        <v>Finance and insurance</v>
      </c>
      <c r="B18" s="11">
        <v>1112.9259999897026</v>
      </c>
      <c r="C18" s="11">
        <v>1134.9019999887487</v>
      </c>
      <c r="D18" s="11">
        <v>1150.001999996904</v>
      </c>
      <c r="E18" s="11">
        <v>1156.948000015336</v>
      </c>
      <c r="F18" s="11">
        <v>1136.1170000037719</v>
      </c>
      <c r="G18" s="11"/>
    </row>
    <row r="19" spans="1:7" x14ac:dyDescent="0.3">
      <c r="A19" s="10" t="str">
        <f>name!B18</f>
        <v>Real estate</v>
      </c>
      <c r="B19" s="11">
        <v>567.9639999983068</v>
      </c>
      <c r="C19" s="11">
        <v>589.93499999883011</v>
      </c>
      <c r="D19" s="11">
        <v>642.99899999800766</v>
      </c>
      <c r="E19" s="11">
        <v>618.73400000524055</v>
      </c>
      <c r="F19" s="11">
        <v>672.2139999999257</v>
      </c>
      <c r="G19" s="11"/>
    </row>
    <row r="20" spans="1:7" x14ac:dyDescent="0.3">
      <c r="A20" s="10" t="str">
        <f>name!B19</f>
        <v>Professional services</v>
      </c>
      <c r="B20" s="11">
        <v>2905.843999962251</v>
      </c>
      <c r="C20" s="11">
        <v>3211.5779999596052</v>
      </c>
      <c r="D20" s="11">
        <v>3151.9959999898488</v>
      </c>
      <c r="E20" s="11">
        <v>3312.1770000340839</v>
      </c>
      <c r="F20" s="11">
        <v>3532.0960000137475</v>
      </c>
      <c r="G20" s="11"/>
    </row>
    <row r="21" spans="1:7" x14ac:dyDescent="0.3">
      <c r="A21" s="10" t="str">
        <f>name!B20</f>
        <v>Support services</v>
      </c>
      <c r="B21" s="11">
        <v>2845.8150000202299</v>
      </c>
      <c r="C21" s="11">
        <v>3011.6740000154059</v>
      </c>
      <c r="D21" s="11">
        <v>2837.0159999997268</v>
      </c>
      <c r="E21" s="11">
        <v>3004.6220000189205</v>
      </c>
      <c r="F21" s="11">
        <v>3213.9980000022347</v>
      </c>
      <c r="G21" s="11"/>
    </row>
    <row r="22" spans="1:7" x14ac:dyDescent="0.3">
      <c r="A22" s="10" t="str">
        <f>name!B21</f>
        <v>Public admin. and defence</v>
      </c>
      <c r="B22" s="11">
        <v>1330.9139999902939</v>
      </c>
      <c r="C22" s="11">
        <v>1358.8989999937271</v>
      </c>
      <c r="D22" s="11">
        <v>1402.9949999971047</v>
      </c>
      <c r="E22" s="11">
        <v>1426.146000000607</v>
      </c>
      <c r="F22" s="11">
        <v>1451.2490000022112</v>
      </c>
      <c r="G22" s="11"/>
    </row>
    <row r="23" spans="1:7" x14ac:dyDescent="0.3">
      <c r="A23" s="10" t="str">
        <f>name!B22</f>
        <v>Education</v>
      </c>
      <c r="B23" s="11">
        <v>2955.812999982074</v>
      </c>
      <c r="C23" s="11">
        <v>2945.7029999933557</v>
      </c>
      <c r="D23" s="11">
        <v>2955.9990000195403</v>
      </c>
      <c r="E23" s="11">
        <v>2996.5779997995442</v>
      </c>
      <c r="F23" s="11">
        <v>3100.350000033804</v>
      </c>
      <c r="G23" s="11"/>
    </row>
    <row r="24" spans="1:7" x14ac:dyDescent="0.3">
      <c r="A24" s="10" t="str">
        <f>name!B23</f>
        <v>Health and social work</v>
      </c>
      <c r="B24" s="11">
        <v>4225.735999940699</v>
      </c>
      <c r="C24" s="11">
        <v>4409.5759999534866</v>
      </c>
      <c r="D24" s="11">
        <v>4421.9959999931389</v>
      </c>
      <c r="E24" s="11">
        <v>4728.8359999550248</v>
      </c>
      <c r="F24" s="11">
        <v>5078.3079999922593</v>
      </c>
      <c r="G24" s="11"/>
    </row>
    <row r="25" spans="1:7" x14ac:dyDescent="0.3">
      <c r="A25" s="10" t="str">
        <f>name!B24</f>
        <v>Arts and entertainment</v>
      </c>
      <c r="B25" s="11">
        <v>981.94500000564767</v>
      </c>
      <c r="C25" s="11">
        <v>1028.8340000018816</v>
      </c>
      <c r="D25" s="11">
        <v>999.99600000192049</v>
      </c>
      <c r="E25" s="11">
        <v>1030.7410000150874</v>
      </c>
      <c r="F25" s="11">
        <v>1118.7630000101731</v>
      </c>
      <c r="G25" s="11"/>
    </row>
    <row r="26" spans="1:7" x14ac:dyDescent="0.3">
      <c r="A26" s="10" t="str">
        <f>name!B25</f>
        <v>Other services</v>
      </c>
      <c r="B26" s="11">
        <v>961.96000000324352</v>
      </c>
      <c r="C26" s="11">
        <v>1004.7960000032627</v>
      </c>
      <c r="D26" s="11">
        <v>999.99799999674599</v>
      </c>
      <c r="E26" s="11">
        <v>986.72500000890125</v>
      </c>
      <c r="F26" s="11">
        <v>992.16000000444581</v>
      </c>
      <c r="G26" s="11"/>
    </row>
    <row r="27" spans="1:7" x14ac:dyDescent="0.3">
      <c r="B27" s="11"/>
      <c r="C27" s="11"/>
      <c r="D27" s="11"/>
      <c r="E27" s="11"/>
      <c r="F27" s="11"/>
      <c r="G27" s="11"/>
    </row>
    <row r="28" spans="1:7" x14ac:dyDescent="0.3">
      <c r="A28" s="10" t="str">
        <f>name!B3</f>
        <v>All industries</v>
      </c>
      <c r="B28" s="11">
        <f>SUM(B5:B26)</f>
        <v>33655.985000000052</v>
      </c>
      <c r="C28" s="11">
        <f t="shared" ref="C28:F28" si="0">SUM(C5:C26)</f>
        <v>35365.004000000197</v>
      </c>
      <c r="D28" s="11">
        <f t="shared" si="0"/>
        <v>34974.967999999826</v>
      </c>
      <c r="E28" s="11">
        <f t="shared" si="0"/>
        <v>36022.323999999819</v>
      </c>
      <c r="F28" s="11">
        <f t="shared" si="0"/>
        <v>37567.872000000105</v>
      </c>
      <c r="G28" s="11"/>
    </row>
    <row r="29" spans="1:7" x14ac:dyDescent="0.3">
      <c r="B29" s="11"/>
      <c r="C29" s="11"/>
      <c r="D29" s="11"/>
      <c r="E29" s="11"/>
      <c r="F29" s="11"/>
      <c r="G29" s="11"/>
    </row>
    <row r="31" spans="1:7" x14ac:dyDescent="0.3">
      <c r="A31" s="40" t="s">
        <v>463</v>
      </c>
      <c r="B31" s="16">
        <f>B$3</f>
        <v>2015</v>
      </c>
      <c r="C31" s="16">
        <f>C$3</f>
        <v>2019</v>
      </c>
      <c r="D31" s="16">
        <f>D$3</f>
        <v>2020</v>
      </c>
      <c r="E31" s="16">
        <f>E$3</f>
        <v>2025</v>
      </c>
      <c r="F31" s="16">
        <f>F$3</f>
        <v>2035</v>
      </c>
      <c r="G31" s="11"/>
    </row>
    <row r="32" spans="1:7" x14ac:dyDescent="0.3">
      <c r="A32" t="str">
        <f>$A$5</f>
        <v>Agriculture</v>
      </c>
      <c r="B32" s="17">
        <f>B5/B$28*100</f>
        <v>1.1498311518783646</v>
      </c>
      <c r="C32" s="17">
        <f t="shared" ref="C32:E32" si="1">C5/C$28*100</f>
        <v>1.1194824126214253</v>
      </c>
      <c r="D32" s="17">
        <f t="shared" si="1"/>
        <v>1.0636235607048892</v>
      </c>
      <c r="E32" s="17">
        <f t="shared" si="1"/>
        <v>1.0581521614131779</v>
      </c>
      <c r="F32" s="17">
        <f>F5/F$28*100</f>
        <v>1.0252856483249824</v>
      </c>
    </row>
    <row r="33" spans="1:6" x14ac:dyDescent="0.3">
      <c r="A33" t="str">
        <f>$A$6</f>
        <v>Mining and quarrying</v>
      </c>
      <c r="B33" s="17">
        <f t="shared" ref="B33:F53" si="2">B6/B$28*100</f>
        <v>0.21987471173290055</v>
      </c>
      <c r="C33" s="17">
        <f t="shared" si="2"/>
        <v>0.17246993666360194</v>
      </c>
      <c r="D33" s="17">
        <f t="shared" si="2"/>
        <v>0.17724104851191894</v>
      </c>
      <c r="E33" s="17">
        <f t="shared" si="2"/>
        <v>0.15017076632854742</v>
      </c>
      <c r="F33" s="17">
        <f t="shared" si="2"/>
        <v>0.12483539126243609</v>
      </c>
    </row>
    <row r="34" spans="1:6" x14ac:dyDescent="0.3">
      <c r="A34" t="str">
        <f>$A$7</f>
        <v>Food drink and tobacco</v>
      </c>
      <c r="B34" s="17">
        <f t="shared" si="2"/>
        <v>1.2681429469432739</v>
      </c>
      <c r="C34" s="17">
        <f t="shared" si="2"/>
        <v>1.2801129613910416</v>
      </c>
      <c r="D34" s="17">
        <f t="shared" si="2"/>
        <v>1.2931019693854102</v>
      </c>
      <c r="E34" s="17">
        <f t="shared" si="2"/>
        <v>1.2752758539557973</v>
      </c>
      <c r="F34" s="17">
        <f t="shared" si="2"/>
        <v>1.1948667201601935</v>
      </c>
    </row>
    <row r="35" spans="1:6" x14ac:dyDescent="0.3">
      <c r="A35" t="str">
        <f>$A$8</f>
        <v>Engineering</v>
      </c>
      <c r="B35" s="17">
        <f t="shared" si="2"/>
        <v>1.1731078439655567</v>
      </c>
      <c r="C35" s="17">
        <f t="shared" si="2"/>
        <v>1.1385549397900157</v>
      </c>
      <c r="D35" s="17">
        <f t="shared" si="2"/>
        <v>1.0984599042346985</v>
      </c>
      <c r="E35" s="17">
        <f t="shared" si="2"/>
        <v>1.0921394188829192</v>
      </c>
      <c r="F35" s="17">
        <f t="shared" si="2"/>
        <v>0.93014850561771789</v>
      </c>
    </row>
    <row r="36" spans="1:6" x14ac:dyDescent="0.3">
      <c r="A36" t="str">
        <f>$A$9</f>
        <v>Rest of manufacturing</v>
      </c>
      <c r="B36" s="17">
        <f t="shared" si="2"/>
        <v>5.3963715517436253</v>
      </c>
      <c r="C36" s="17">
        <f t="shared" si="2"/>
        <v>5.1785799317233678</v>
      </c>
      <c r="D36" s="17">
        <f t="shared" si="2"/>
        <v>5.1195014674380515</v>
      </c>
      <c r="E36" s="17">
        <f t="shared" si="2"/>
        <v>4.6854889207259474</v>
      </c>
      <c r="F36" s="17">
        <f t="shared" si="2"/>
        <v>4.1068229789586601</v>
      </c>
    </row>
    <row r="37" spans="1:6" x14ac:dyDescent="0.3">
      <c r="A37" t="str">
        <f>$A$10</f>
        <v>Electricity and gas</v>
      </c>
      <c r="B37" s="17">
        <f t="shared" si="2"/>
        <v>0.39516299998158783</v>
      </c>
      <c r="C37" s="17">
        <f t="shared" si="2"/>
        <v>0.40716523034849195</v>
      </c>
      <c r="D37" s="17">
        <f t="shared" si="2"/>
        <v>0.41742139692448393</v>
      </c>
      <c r="E37" s="17">
        <f t="shared" si="2"/>
        <v>0.38869785303395099</v>
      </c>
      <c r="F37" s="17">
        <f t="shared" si="2"/>
        <v>0.36878852227640657</v>
      </c>
    </row>
    <row r="38" spans="1:6" x14ac:dyDescent="0.3">
      <c r="A38" t="str">
        <f>$A$11</f>
        <v>Water and sewerage</v>
      </c>
      <c r="B38" s="17">
        <f t="shared" si="2"/>
        <v>0.59418555124763084</v>
      </c>
      <c r="C38" s="17">
        <f t="shared" si="2"/>
        <v>0.63052163093253144</v>
      </c>
      <c r="D38" s="17">
        <f t="shared" si="2"/>
        <v>0.60042942712513148</v>
      </c>
      <c r="E38" s="17">
        <f t="shared" si="2"/>
        <v>0.61236193423064911</v>
      </c>
      <c r="F38" s="17">
        <f t="shared" si="2"/>
        <v>0.63210926613318008</v>
      </c>
    </row>
    <row r="39" spans="1:6" x14ac:dyDescent="0.3">
      <c r="A39" t="str">
        <f>$A$12</f>
        <v>Construction</v>
      </c>
      <c r="B39" s="17">
        <f t="shared" si="2"/>
        <v>6.3047033090240294</v>
      </c>
      <c r="C39" s="17">
        <f t="shared" si="2"/>
        <v>6.5984270778605039</v>
      </c>
      <c r="D39" s="17">
        <f t="shared" si="2"/>
        <v>6.6304478104679179</v>
      </c>
      <c r="E39" s="17">
        <f t="shared" si="2"/>
        <v>6.7156744243594417</v>
      </c>
      <c r="F39" s="17">
        <f t="shared" si="2"/>
        <v>6.8756968719071168</v>
      </c>
    </row>
    <row r="40" spans="1:6" x14ac:dyDescent="0.3">
      <c r="A40" t="str">
        <f>$A$13</f>
        <v>Wholesale and retail trade</v>
      </c>
      <c r="B40" s="17">
        <f t="shared" si="2"/>
        <v>14.769108674400272</v>
      </c>
      <c r="C40" s="17">
        <f t="shared" si="2"/>
        <v>14.114388337299868</v>
      </c>
      <c r="D40" s="17">
        <f t="shared" si="2"/>
        <v>14.238734971933425</v>
      </c>
      <c r="E40" s="17">
        <f t="shared" si="2"/>
        <v>13.900238641223517</v>
      </c>
      <c r="F40" s="17">
        <f t="shared" si="2"/>
        <v>13.466083466185269</v>
      </c>
    </row>
    <row r="41" spans="1:6" x14ac:dyDescent="0.3">
      <c r="A41" t="str">
        <f>$A$14</f>
        <v>Transport and storage</v>
      </c>
      <c r="B41" s="17">
        <f t="shared" si="2"/>
        <v>4.7804513818671408</v>
      </c>
      <c r="C41" s="17">
        <f t="shared" si="2"/>
        <v>5.1230419767254967</v>
      </c>
      <c r="D41" s="17">
        <f t="shared" si="2"/>
        <v>5.112233412200526</v>
      </c>
      <c r="E41" s="17">
        <f t="shared" si="2"/>
        <v>5.2867771663705074</v>
      </c>
      <c r="F41" s="17">
        <f t="shared" si="2"/>
        <v>5.1654456233565256</v>
      </c>
    </row>
    <row r="42" spans="1:6" x14ac:dyDescent="0.3">
      <c r="A42" t="str">
        <f>$A$15</f>
        <v>Accommodation and food</v>
      </c>
      <c r="B42" s="17">
        <f t="shared" si="2"/>
        <v>6.6670281676115595</v>
      </c>
      <c r="C42" s="17">
        <f t="shared" si="2"/>
        <v>7.1391876557743856</v>
      </c>
      <c r="D42" s="17">
        <f t="shared" si="2"/>
        <v>6.9077861629794572</v>
      </c>
      <c r="E42" s="17">
        <f t="shared" si="2"/>
        <v>6.9783837379537523</v>
      </c>
      <c r="F42" s="17">
        <f t="shared" si="2"/>
        <v>7.6113680327387616</v>
      </c>
    </row>
    <row r="43" spans="1:6" x14ac:dyDescent="0.3">
      <c r="A43" t="str">
        <f>$A$16</f>
        <v>Media</v>
      </c>
      <c r="B43" s="17">
        <f t="shared" si="2"/>
        <v>1.0837151252585338</v>
      </c>
      <c r="C43" s="17">
        <f t="shared" si="2"/>
        <v>1.0732728886412624</v>
      </c>
      <c r="D43" s="17">
        <f t="shared" si="2"/>
        <v>1.0794091362736669</v>
      </c>
      <c r="E43" s="17">
        <f t="shared" si="2"/>
        <v>1.0587767741072138</v>
      </c>
      <c r="F43" s="17">
        <f t="shared" si="2"/>
        <v>1.0267629744998401</v>
      </c>
    </row>
    <row r="44" spans="1:6" x14ac:dyDescent="0.3">
      <c r="A44" t="str">
        <f>$A$17</f>
        <v>Information technology</v>
      </c>
      <c r="B44" s="17">
        <f t="shared" si="2"/>
        <v>3.0460555529348499</v>
      </c>
      <c r="C44" s="17">
        <f t="shared" si="2"/>
        <v>3.1592644524718194</v>
      </c>
      <c r="D44" s="17">
        <f t="shared" si="2"/>
        <v>3.1865161391886083</v>
      </c>
      <c r="E44" s="17">
        <f t="shared" si="2"/>
        <v>3.326834215379447</v>
      </c>
      <c r="F44" s="17">
        <f t="shared" si="2"/>
        <v>3.4488831307706946</v>
      </c>
    </row>
    <row r="45" spans="1:6" x14ac:dyDescent="0.3">
      <c r="A45" t="str">
        <f>$A$18</f>
        <v>Finance and insurance</v>
      </c>
      <c r="B45" s="17">
        <f t="shared" si="2"/>
        <v>3.3067699548526091</v>
      </c>
      <c r="C45" s="17">
        <f t="shared" si="2"/>
        <v>3.2091103396700937</v>
      </c>
      <c r="D45" s="17">
        <f t="shared" si="2"/>
        <v>3.2880716288201031</v>
      </c>
      <c r="E45" s="17">
        <f t="shared" si="2"/>
        <v>3.2117528008890872</v>
      </c>
      <c r="F45" s="17">
        <f t="shared" si="2"/>
        <v>3.0241718242751912</v>
      </c>
    </row>
    <row r="46" spans="1:6" x14ac:dyDescent="0.3">
      <c r="A46" t="str">
        <f>$A$19</f>
        <v>Real estate</v>
      </c>
      <c r="B46" s="17">
        <f t="shared" si="2"/>
        <v>1.6875572056450165</v>
      </c>
      <c r="C46" s="17">
        <f t="shared" si="2"/>
        <v>1.6681321455493878</v>
      </c>
      <c r="D46" s="17">
        <f t="shared" si="2"/>
        <v>1.8384548629122717</v>
      </c>
      <c r="E46" s="17">
        <f t="shared" si="2"/>
        <v>1.7176404276560382</v>
      </c>
      <c r="F46" s="17">
        <f t="shared" si="2"/>
        <v>1.7893321186782254</v>
      </c>
    </row>
    <row r="47" spans="1:6" x14ac:dyDescent="0.3">
      <c r="A47" s="10" t="str">
        <f>$A$20</f>
        <v>Professional services</v>
      </c>
      <c r="B47" s="17">
        <f t="shared" si="2"/>
        <v>8.6339591604947721</v>
      </c>
      <c r="C47" s="17">
        <f t="shared" si="2"/>
        <v>9.0812318300871322</v>
      </c>
      <c r="D47" s="17">
        <f t="shared" si="2"/>
        <v>9.0121483456106795</v>
      </c>
      <c r="E47" s="17">
        <f t="shared" si="2"/>
        <v>9.1947898753953261</v>
      </c>
      <c r="F47" s="17">
        <f t="shared" si="2"/>
        <v>9.4019059690517928</v>
      </c>
    </row>
    <row r="48" spans="1:6" x14ac:dyDescent="0.3">
      <c r="A48" s="10" t="str">
        <f>$A$21</f>
        <v>Support services</v>
      </c>
      <c r="B48" s="17">
        <f t="shared" si="2"/>
        <v>8.4555986105301191</v>
      </c>
      <c r="C48" s="17">
        <f t="shared" si="2"/>
        <v>8.5159724568824853</v>
      </c>
      <c r="D48" s="17">
        <f t="shared" si="2"/>
        <v>8.1115613887044606</v>
      </c>
      <c r="E48" s="17">
        <f t="shared" si="2"/>
        <v>8.3409998755742016</v>
      </c>
      <c r="F48" s="17">
        <f t="shared" si="2"/>
        <v>8.555177147117158</v>
      </c>
    </row>
    <row r="49" spans="1:6" x14ac:dyDescent="0.3">
      <c r="A49" s="10" t="str">
        <f>$A$22</f>
        <v>Public admin. and defence</v>
      </c>
      <c r="B49" s="17">
        <f t="shared" si="2"/>
        <v>3.9544645625147852</v>
      </c>
      <c r="C49" s="17">
        <f t="shared" si="2"/>
        <v>3.8424963842608912</v>
      </c>
      <c r="D49" s="17">
        <f t="shared" si="2"/>
        <v>4.0114261148062003</v>
      </c>
      <c r="E49" s="17">
        <f t="shared" si="2"/>
        <v>3.9590616085753219</v>
      </c>
      <c r="F49" s="17">
        <f t="shared" si="2"/>
        <v>3.8630056022396135</v>
      </c>
    </row>
    <row r="50" spans="1:6" x14ac:dyDescent="0.3">
      <c r="A50" s="10" t="str">
        <f>$A$23</f>
        <v>Education</v>
      </c>
      <c r="B50" s="17">
        <f t="shared" si="2"/>
        <v>8.7824290389423147</v>
      </c>
      <c r="C50" s="17">
        <f t="shared" si="2"/>
        <v>8.3294292854974348</v>
      </c>
      <c r="D50" s="17">
        <f t="shared" si="2"/>
        <v>8.4517561246076198</v>
      </c>
      <c r="E50" s="17">
        <f t="shared" si="2"/>
        <v>8.3186692779720683</v>
      </c>
      <c r="F50" s="17">
        <f t="shared" si="2"/>
        <v>8.2526633396584064</v>
      </c>
    </row>
    <row r="51" spans="1:6" x14ac:dyDescent="0.3">
      <c r="A51" s="10" t="str">
        <f>$A$24</f>
        <v>Health and social work</v>
      </c>
      <c r="B51" s="17">
        <f t="shared" si="2"/>
        <v>12.555674718599658</v>
      </c>
      <c r="C51" s="17">
        <f t="shared" si="2"/>
        <v>12.468755835439641</v>
      </c>
      <c r="D51" s="17">
        <f t="shared" si="2"/>
        <v>12.643316785859993</v>
      </c>
      <c r="E51" s="17">
        <f t="shared" si="2"/>
        <v>13.127515037494661</v>
      </c>
      <c r="F51" s="17">
        <f t="shared" si="2"/>
        <v>13.517688731457147</v>
      </c>
    </row>
    <row r="52" spans="1:6" x14ac:dyDescent="0.3">
      <c r="A52" s="10" t="str">
        <f>$A$25</f>
        <v>Arts and entertainment</v>
      </c>
      <c r="B52" s="17">
        <f t="shared" si="2"/>
        <v>2.9175940029853416</v>
      </c>
      <c r="C52" s="17">
        <f t="shared" si="2"/>
        <v>2.9091867203008821</v>
      </c>
      <c r="D52" s="17">
        <f t="shared" si="2"/>
        <v>2.8591763114748967</v>
      </c>
      <c r="E52" s="17">
        <f t="shared" si="2"/>
        <v>2.861395061615382</v>
      </c>
      <c r="F52" s="17">
        <f t="shared" si="2"/>
        <v>2.9779780979081538</v>
      </c>
    </row>
    <row r="53" spans="1:6" x14ac:dyDescent="0.3">
      <c r="A53" s="10" t="str">
        <f>$A$26</f>
        <v>Other services</v>
      </c>
      <c r="B53" s="17">
        <f t="shared" si="2"/>
        <v>2.858213776846056</v>
      </c>
      <c r="C53" s="17">
        <f t="shared" si="2"/>
        <v>2.8412155700682438</v>
      </c>
      <c r="D53" s="17">
        <f t="shared" si="2"/>
        <v>2.8591820298355981</v>
      </c>
      <c r="E53" s="17">
        <f t="shared" si="2"/>
        <v>2.7392041668630434</v>
      </c>
      <c r="F53" s="17">
        <f t="shared" si="2"/>
        <v>2.6409800374225161</v>
      </c>
    </row>
    <row r="54" spans="1:6" x14ac:dyDescent="0.3">
      <c r="B54" s="17"/>
      <c r="C54" s="17"/>
      <c r="D54" s="17"/>
      <c r="E54" s="17"/>
      <c r="F54" s="17"/>
    </row>
    <row r="55" spans="1:6" x14ac:dyDescent="0.3">
      <c r="A55" s="23" t="str">
        <f>$A$28</f>
        <v>All industries</v>
      </c>
      <c r="B55" s="25">
        <f>B28/B$28*100</f>
        <v>100</v>
      </c>
      <c r="C55" s="25">
        <f>C28/C$28*100</f>
        <v>100</v>
      </c>
      <c r="D55" s="25">
        <f>D28/D$28*100</f>
        <v>100</v>
      </c>
      <c r="E55" s="25">
        <f>E28/E$28*100</f>
        <v>100</v>
      </c>
      <c r="F55" s="25">
        <f>F28/F$28*100</f>
        <v>100</v>
      </c>
    </row>
    <row r="56" spans="1:6" x14ac:dyDescent="0.3">
      <c r="B56" s="17"/>
      <c r="C56" s="17"/>
      <c r="D56" s="17"/>
      <c r="E56" s="17"/>
      <c r="F56" s="17"/>
    </row>
    <row r="57" spans="1:6" x14ac:dyDescent="0.3">
      <c r="B57" s="17"/>
      <c r="C57" s="17"/>
      <c r="D57" s="17"/>
      <c r="E57" s="17"/>
      <c r="F57" s="17"/>
    </row>
    <row r="58" spans="1:6" x14ac:dyDescent="0.3">
      <c r="B58" s="17"/>
      <c r="C58" s="17"/>
      <c r="D58" s="17"/>
      <c r="E58" s="17"/>
      <c r="F58" s="17"/>
    </row>
    <row r="59" spans="1:6" ht="15.45" x14ac:dyDescent="0.4">
      <c r="A59" s="18" t="str">
        <f>CONCATENATE(A1," (Continued)")</f>
        <v>Industry Table 2  Employment by Industry Group (SIC 2007), 2015-2035, United Kingdom (Continued)</v>
      </c>
      <c r="B59" s="17"/>
      <c r="C59" s="17"/>
      <c r="D59" s="17"/>
      <c r="E59" s="17"/>
      <c r="F59" s="17"/>
    </row>
    <row r="61" spans="1:6" x14ac:dyDescent="0.3">
      <c r="A61" s="21"/>
      <c r="B61" s="24" t="str">
        <f>CONCATENATE(B$3,"-",C$3)</f>
        <v>2015-2019</v>
      </c>
      <c r="C61" s="24" t="str">
        <f>CONCATENATE(C$3,"-",D$3)</f>
        <v>2019-2020</v>
      </c>
      <c r="D61" s="24" t="str">
        <f>CONCATENATE(D$3,"-",E$3)</f>
        <v>2020-2025</v>
      </c>
      <c r="E61" s="24" t="str">
        <f>CONCATENATE(E$3,"-",F$3)</f>
        <v>2025-2035</v>
      </c>
      <c r="F61" s="24" t="str">
        <f>CONCATENATE(D$3,"-",F$3)</f>
        <v>2020-2035</v>
      </c>
    </row>
    <row r="62" spans="1:6" x14ac:dyDescent="0.3">
      <c r="A62" s="27" t="s">
        <v>14</v>
      </c>
    </row>
    <row r="63" spans="1:6" x14ac:dyDescent="0.3">
      <c r="A63" t="str">
        <f>$A$5</f>
        <v>Agriculture</v>
      </c>
      <c r="B63" s="17">
        <f>IF(AND(C$3-B$3 &lt;&gt; 0,B5&lt;&gt;0,C5&lt;&gt;0),(EXP(LN(C5/B5)/(C$3-B$3))-1)*100,0)</f>
        <v>0.57120475737293397</v>
      </c>
      <c r="C63" s="17">
        <f>IF(AND(D$3-C$3 &lt;&gt; 0,C5&lt;&gt;0,D5&lt;&gt;0),(EXP(LN(D5/C5)/(D$3-C$3))-1)*100,0)</f>
        <v>-6.0375595169798508</v>
      </c>
      <c r="D63" s="17">
        <f t="shared" ref="B63:E78" si="3">IF(AND(E$3-D$3 &lt;&gt; 0,D5&lt;&gt;0,E5&lt;&gt;0),(EXP(LN(E5/D5)/(E$3-D$3))-1)*100,0)</f>
        <v>0.48816491599770195</v>
      </c>
      <c r="E63" s="17">
        <f t="shared" si="3"/>
        <v>0.10462941611719678</v>
      </c>
      <c r="F63" s="17">
        <f>IF(AND(F$3-D$3 &lt;&gt; 0,D5&lt;&gt;0,F5&lt;&gt;0),(EXP(LN(F5/D5)/(F$3-D$3))-1)*100,0)</f>
        <v>0.23231165635502204</v>
      </c>
    </row>
    <row r="64" spans="1:6" x14ac:dyDescent="0.3">
      <c r="A64" t="str">
        <f>$A$6</f>
        <v>Mining and quarrying</v>
      </c>
      <c r="B64" s="17">
        <f t="shared" si="3"/>
        <v>-4.7176671401884747</v>
      </c>
      <c r="C64" s="17">
        <f t="shared" ref="C64:C78" si="4">IF(AND(D$3-C$3 &lt;&gt; 0,C6&lt;&gt;0,D6&lt;&gt;0),(EXP(LN(D6/C6)/(D$3-C$3))-1)*100,0)</f>
        <v>1.6329475030808505</v>
      </c>
      <c r="D64" s="17">
        <f t="shared" si="3"/>
        <v>-2.6878433101215404</v>
      </c>
      <c r="E64" s="17">
        <f t="shared" si="3"/>
        <v>-1.4175244517189878</v>
      </c>
      <c r="F64" s="17">
        <f t="shared" ref="F64:F86" si="5">IF(AND(F$3-D$3 &lt;&gt; 0,D6&lt;&gt;0,F6&lt;&gt;0),(EXP(LN(F6/D6)/(F$3-D$3))-1)*100,0)</f>
        <v>-1.84279599743844</v>
      </c>
    </row>
    <row r="65" spans="1:6" x14ac:dyDescent="0.3">
      <c r="A65" t="str">
        <f>$A$7</f>
        <v>Food drink and tobacco</v>
      </c>
      <c r="B65" s="17">
        <f t="shared" si="3"/>
        <v>1.4840691581415211</v>
      </c>
      <c r="C65" s="17">
        <f t="shared" si="4"/>
        <v>-9.9400943767247174E-2</v>
      </c>
      <c r="D65" s="17">
        <f t="shared" si="3"/>
        <v>0.31298485207622573</v>
      </c>
      <c r="E65" s="17">
        <f t="shared" si="3"/>
        <v>-0.23090803298854157</v>
      </c>
      <c r="F65" s="17">
        <f t="shared" si="5"/>
        <v>-4.9938859494125243E-2</v>
      </c>
    </row>
    <row r="66" spans="1:6" x14ac:dyDescent="0.3">
      <c r="A66" t="str">
        <f>$A$8</f>
        <v>Engineering</v>
      </c>
      <c r="B66" s="17">
        <f t="shared" si="3"/>
        <v>0.49208680496111157</v>
      </c>
      <c r="C66" s="17">
        <f t="shared" si="4"/>
        <v>-4.5856202657575835</v>
      </c>
      <c r="D66" s="17">
        <f t="shared" si="3"/>
        <v>0.47584219433727259</v>
      </c>
      <c r="E66" s="17">
        <f t="shared" si="3"/>
        <v>-1.1783939533795307</v>
      </c>
      <c r="F66" s="17">
        <f t="shared" si="5"/>
        <v>-0.63003041533075121</v>
      </c>
    </row>
    <row r="67" spans="1:6" x14ac:dyDescent="0.3">
      <c r="A67" t="str">
        <f>$A$9</f>
        <v>Rest of manufacturing</v>
      </c>
      <c r="B67" s="17">
        <f t="shared" si="3"/>
        <v>0.20861540891334851</v>
      </c>
      <c r="C67" s="17">
        <f t="shared" si="4"/>
        <v>-2.2311285598357267</v>
      </c>
      <c r="D67" s="17">
        <f t="shared" si="3"/>
        <v>-1.1746572720423787</v>
      </c>
      <c r="E67" s="17">
        <f t="shared" si="3"/>
        <v>-0.89408088776442574</v>
      </c>
      <c r="F67" s="17">
        <f t="shared" si="5"/>
        <v>-0.98769474749706987</v>
      </c>
    </row>
    <row r="68" spans="1:6" x14ac:dyDescent="0.3">
      <c r="A68" t="str">
        <f>$A$10</f>
        <v>Electricity and gas</v>
      </c>
      <c r="B68" s="17">
        <f t="shared" si="3"/>
        <v>2.0061729788075411</v>
      </c>
      <c r="C68" s="17">
        <f t="shared" si="4"/>
        <v>1.3882522883906789</v>
      </c>
      <c r="D68" s="17">
        <f t="shared" si="3"/>
        <v>-0.8322710784564924</v>
      </c>
      <c r="E68" s="17">
        <f t="shared" si="3"/>
        <v>-0.10563002552371747</v>
      </c>
      <c r="F68" s="17">
        <f t="shared" si="5"/>
        <v>-0.34843338980957705</v>
      </c>
    </row>
    <row r="69" spans="1:6" x14ac:dyDescent="0.3">
      <c r="A69" t="str">
        <f>$A$11</f>
        <v>Water and sewerage</v>
      </c>
      <c r="B69" s="17">
        <f t="shared" si="3"/>
        <v>2.759581612431572</v>
      </c>
      <c r="C69" s="17">
        <f t="shared" si="4"/>
        <v>-5.8228393071027895</v>
      </c>
      <c r="D69" s="17">
        <f t="shared" si="3"/>
        <v>0.98854704572461927</v>
      </c>
      <c r="E69" s="17">
        <f t="shared" si="3"/>
        <v>0.74021741245577921</v>
      </c>
      <c r="F69" s="17">
        <f t="shared" si="5"/>
        <v>0.82292603377598361</v>
      </c>
    </row>
    <row r="70" spans="1:6" x14ac:dyDescent="0.3">
      <c r="A70" t="str">
        <f>$A$12</f>
        <v>Construction</v>
      </c>
      <c r="B70" s="17">
        <f t="shared" si="3"/>
        <v>2.4051488978319435</v>
      </c>
      <c r="C70" s="17">
        <f t="shared" si="4"/>
        <v>-0.62296071342776704</v>
      </c>
      <c r="D70" s="17">
        <f t="shared" si="3"/>
        <v>0.84914832857057032</v>
      </c>
      <c r="E70" s="17">
        <f t="shared" si="3"/>
        <v>0.6577447101788314</v>
      </c>
      <c r="F70" s="17">
        <f t="shared" si="5"/>
        <v>0.7215055190288755</v>
      </c>
    </row>
    <row r="71" spans="1:6" x14ac:dyDescent="0.3">
      <c r="A71" t="str">
        <f>$A$13</f>
        <v>Wholesale and retail trade</v>
      </c>
      <c r="B71" s="17">
        <f t="shared" si="3"/>
        <v>0.10477539687316906</v>
      </c>
      <c r="C71" s="17">
        <f t="shared" si="4"/>
        <v>-0.23161123816385354</v>
      </c>
      <c r="D71" s="17">
        <f t="shared" si="3"/>
        <v>0.10898323144079569</v>
      </c>
      <c r="E71" s="17">
        <f t="shared" si="3"/>
        <v>0.10283823868371123</v>
      </c>
      <c r="F71" s="17">
        <f t="shared" si="5"/>
        <v>0.10488652769067297</v>
      </c>
    </row>
    <row r="72" spans="1:6" x14ac:dyDescent="0.3">
      <c r="A72" t="str">
        <f>$A$14</f>
        <v>Transport and storage</v>
      </c>
      <c r="B72" s="17">
        <f t="shared" si="3"/>
        <v>3.0131348651562861</v>
      </c>
      <c r="C72" s="17">
        <f t="shared" si="4"/>
        <v>-1.3115394713853701</v>
      </c>
      <c r="D72" s="17">
        <f t="shared" si="3"/>
        <v>1.2695655160200658</v>
      </c>
      <c r="E72" s="17">
        <f t="shared" si="3"/>
        <v>0.18810576861865158</v>
      </c>
      <c r="F72" s="17">
        <f t="shared" si="5"/>
        <v>0.54730300792840136</v>
      </c>
    </row>
    <row r="73" spans="1:6" x14ac:dyDescent="0.3">
      <c r="A73" t="str">
        <f>$A$15</f>
        <v>Accommodation and food</v>
      </c>
      <c r="B73" s="17">
        <f t="shared" si="3"/>
        <v>2.9928268571679517</v>
      </c>
      <c r="C73" s="17">
        <f t="shared" si="4"/>
        <v>-4.3084252301499815</v>
      </c>
      <c r="D73" s="17">
        <f t="shared" si="3"/>
        <v>0.79664407089075073</v>
      </c>
      <c r="E73" s="17">
        <f t="shared" si="3"/>
        <v>1.2966946014602909</v>
      </c>
      <c r="F73" s="17">
        <f t="shared" si="5"/>
        <v>1.1297360591954853</v>
      </c>
    </row>
    <row r="74" spans="1:6" x14ac:dyDescent="0.3">
      <c r="A74" t="str">
        <f>$A$16</f>
        <v>Media</v>
      </c>
      <c r="B74" s="17">
        <f t="shared" si="3"/>
        <v>1.0012171848079898</v>
      </c>
      <c r="C74" s="17">
        <f t="shared" si="4"/>
        <v>-0.53746018397906603</v>
      </c>
      <c r="D74" s="17">
        <f t="shared" si="3"/>
        <v>0.20434272499685324</v>
      </c>
      <c r="E74" s="17">
        <f t="shared" si="3"/>
        <v>0.11313609904037847</v>
      </c>
      <c r="F74" s="17">
        <f t="shared" si="5"/>
        <v>0.14352907986494579</v>
      </c>
    </row>
    <row r="75" spans="1:6" x14ac:dyDescent="0.3">
      <c r="A75" t="str">
        <f>$A$17</f>
        <v>Information technology</v>
      </c>
      <c r="B75" s="17">
        <f t="shared" si="3"/>
        <v>2.1738814233276615</v>
      </c>
      <c r="C75" s="17">
        <f t="shared" si="4"/>
        <v>-0.24980443393737284</v>
      </c>
      <c r="D75" s="17">
        <f t="shared" si="3"/>
        <v>1.4625768351077317</v>
      </c>
      <c r="E75" s="17">
        <f t="shared" si="3"/>
        <v>0.78344945318808978</v>
      </c>
      <c r="F75" s="17">
        <f t="shared" si="5"/>
        <v>1.0093186658386211</v>
      </c>
    </row>
    <row r="76" spans="1:6" x14ac:dyDescent="0.3">
      <c r="A76" t="str">
        <f>$A$18</f>
        <v>Finance and insurance</v>
      </c>
      <c r="B76" s="17">
        <f t="shared" si="3"/>
        <v>0.49003979883466275</v>
      </c>
      <c r="C76" s="17">
        <f t="shared" si="4"/>
        <v>1.330511357659514</v>
      </c>
      <c r="D76" s="17">
        <f t="shared" si="3"/>
        <v>0.12050899166553553</v>
      </c>
      <c r="E76" s="17">
        <f t="shared" si="3"/>
        <v>-0.18152699446950527</v>
      </c>
      <c r="F76" s="17">
        <f t="shared" si="5"/>
        <v>-8.0949708329636216E-2</v>
      </c>
    </row>
    <row r="77" spans="1:6" x14ac:dyDescent="0.3">
      <c r="A77" t="str">
        <f>$A$19</f>
        <v>Real estate</v>
      </c>
      <c r="B77" s="17">
        <f t="shared" si="3"/>
        <v>0.95337405337467818</v>
      </c>
      <c r="C77" s="17">
        <f t="shared" si="4"/>
        <v>8.9948892673400884</v>
      </c>
      <c r="D77" s="17">
        <f t="shared" si="3"/>
        <v>-0.76640232617636306</v>
      </c>
      <c r="E77" s="17">
        <f t="shared" si="3"/>
        <v>0.83245869962427221</v>
      </c>
      <c r="F77" s="17">
        <f t="shared" si="5"/>
        <v>0.296662997538788</v>
      </c>
    </row>
    <row r="78" spans="1:6" x14ac:dyDescent="0.3">
      <c r="A78" t="str">
        <f>$A$20</f>
        <v>Professional services</v>
      </c>
      <c r="B78" s="17">
        <f t="shared" si="3"/>
        <v>2.532499524533538</v>
      </c>
      <c r="C78" s="17">
        <f t="shared" si="4"/>
        <v>-1.8552250628976141</v>
      </c>
      <c r="D78" s="17">
        <f t="shared" si="3"/>
        <v>0.99632608905202424</v>
      </c>
      <c r="E78" s="17">
        <f t="shared" si="3"/>
        <v>0.64492861917775368</v>
      </c>
      <c r="F78" s="17">
        <f t="shared" si="5"/>
        <v>0.76192505191492454</v>
      </c>
    </row>
    <row r="79" spans="1:6" x14ac:dyDescent="0.3">
      <c r="A79" s="10" t="str">
        <f>$A$21</f>
        <v>Support services</v>
      </c>
      <c r="B79" s="17">
        <f t="shared" ref="B79:B84" si="6">IF(AND(C$3-B$3 &lt;&gt; 0,B21&lt;&gt;0,C21&lt;&gt;0),(EXP(LN(C21/B21)/(C$3-B$3))-1)*100,0)</f>
        <v>1.4262395196440902</v>
      </c>
      <c r="C79" s="17">
        <f t="shared" ref="C79:C84" si="7">IF(AND(D$3-C$3 &lt;&gt; 0,C21&lt;&gt;0,D21&lt;&gt;0),(EXP(LN(D21/C21)/(D$3-C$3))-1)*100,0)</f>
        <v>-5.7993660673361642</v>
      </c>
      <c r="D79" s="17">
        <f t="shared" ref="D79:D84" si="8">IF(AND(E$3-D$3 &lt;&gt; 0,D21&lt;&gt;0,E21&lt;&gt;0),(EXP(LN(E21/D21)/(E$3-D$3))-1)*100,0)</f>
        <v>1.1545940547600386</v>
      </c>
      <c r="E79" s="17">
        <f t="shared" ref="E79:E84" si="9">IF(AND(F$3-E$3 &lt;&gt; 0,E21&lt;&gt;0,F21&lt;&gt;0),(EXP(LN(F21/E21)/(F$3-E$3))-1)*100,0)</f>
        <v>0.67591280233780804</v>
      </c>
      <c r="F79" s="17">
        <f t="shared" si="5"/>
        <v>0.83522099971713448</v>
      </c>
    </row>
    <row r="80" spans="1:6" x14ac:dyDescent="0.3">
      <c r="A80" s="10" t="str">
        <f>$A$22</f>
        <v>Public admin. and defence</v>
      </c>
      <c r="B80" s="17">
        <f t="shared" si="6"/>
        <v>0.5215777254391929</v>
      </c>
      <c r="C80" s="17">
        <f t="shared" si="7"/>
        <v>3.2449799435853022</v>
      </c>
      <c r="D80" s="17">
        <f t="shared" si="8"/>
        <v>0.3278655817396503</v>
      </c>
      <c r="E80" s="17">
        <f t="shared" si="9"/>
        <v>0.17464095927453016</v>
      </c>
      <c r="F80" s="17">
        <f t="shared" si="5"/>
        <v>0.22568981458614967</v>
      </c>
    </row>
    <row r="81" spans="1:6" x14ac:dyDescent="0.3">
      <c r="A81" s="10" t="str">
        <f>$A$23</f>
        <v>Education</v>
      </c>
      <c r="B81" s="17">
        <f t="shared" si="6"/>
        <v>-8.5619366260369922E-2</v>
      </c>
      <c r="C81" s="17">
        <f t="shared" si="7"/>
        <v>0.34952607327378704</v>
      </c>
      <c r="D81" s="17">
        <f t="shared" si="8"/>
        <v>0.27305824840724302</v>
      </c>
      <c r="E81" s="17">
        <f t="shared" si="9"/>
        <v>0.34102053117455178</v>
      </c>
      <c r="F81" s="17">
        <f t="shared" si="5"/>
        <v>0.31836132035545361</v>
      </c>
    </row>
    <row r="82" spans="1:6" x14ac:dyDescent="0.3">
      <c r="A82" s="10" t="str">
        <f>$A$24</f>
        <v>Health and social work</v>
      </c>
      <c r="B82" s="17">
        <f t="shared" si="6"/>
        <v>1.070314644035042</v>
      </c>
      <c r="C82" s="17">
        <f t="shared" si="7"/>
        <v>0.28165973417360046</v>
      </c>
      <c r="D82" s="17">
        <f t="shared" si="8"/>
        <v>1.3508000803234443</v>
      </c>
      <c r="E82" s="17">
        <f t="shared" si="9"/>
        <v>0.7155383473332888</v>
      </c>
      <c r="F82" s="17">
        <f t="shared" si="5"/>
        <v>0.92684860036267303</v>
      </c>
    </row>
    <row r="83" spans="1:6" x14ac:dyDescent="0.3">
      <c r="A83" s="10" t="str">
        <f>$A$25</f>
        <v>Arts and entertainment</v>
      </c>
      <c r="B83" s="17">
        <f>IF(AND(C$3-B$3 &lt;&gt; 0,B25&lt;&gt;0,C25&lt;&gt;0),(EXP(LN(C25/B25)/(C$3-B$3))-1)*100,0)</f>
        <v>1.1729786299493838</v>
      </c>
      <c r="C83" s="17">
        <f t="shared" si="7"/>
        <v>-2.802978906209197</v>
      </c>
      <c r="D83" s="17">
        <f t="shared" si="8"/>
        <v>0.607476924035244</v>
      </c>
      <c r="E83" s="17">
        <f t="shared" si="9"/>
        <v>0.82282323061881879</v>
      </c>
      <c r="F83" s="17">
        <f t="shared" si="5"/>
        <v>0.75098996150659847</v>
      </c>
    </row>
    <row r="84" spans="1:6" x14ac:dyDescent="0.3">
      <c r="A84" s="10" t="str">
        <f>$A$26</f>
        <v>Other services</v>
      </c>
      <c r="B84" s="17">
        <f t="shared" si="6"/>
        <v>1.0951267158335165</v>
      </c>
      <c r="C84" s="17">
        <f t="shared" si="7"/>
        <v>-0.47750986334551548</v>
      </c>
      <c r="D84" s="17">
        <f t="shared" si="8"/>
        <v>-0.26688124598299723</v>
      </c>
      <c r="E84" s="17">
        <f t="shared" si="9"/>
        <v>5.4945150050822456E-2</v>
      </c>
      <c r="F84" s="17">
        <f t="shared" si="5"/>
        <v>-5.2445538322776208E-2</v>
      </c>
    </row>
    <row r="85" spans="1:6" x14ac:dyDescent="0.3">
      <c r="B85" s="17"/>
      <c r="C85" s="17"/>
      <c r="D85" s="17"/>
      <c r="E85" s="17"/>
      <c r="F85" s="17"/>
    </row>
    <row r="86" spans="1:6" x14ac:dyDescent="0.3">
      <c r="A86" t="str">
        <f>$A$28</f>
        <v>All industries</v>
      </c>
      <c r="B86" s="17">
        <f>IF(AND(C$3-B$3 &lt;&gt; 0,B28&lt;&gt;0,C28&lt;&gt;0),(EXP(LN(C28/B28)/(C$3-B$3))-1)*100,0)</f>
        <v>1.2459947050990516</v>
      </c>
      <c r="C86" s="17">
        <f>IF(AND(D$3-C$3 &lt;&gt; 0,C28&lt;&gt;0,D28&lt;&gt;0),(EXP(LN(D28/C28)/(D$3-C$3))-1)*100,0)</f>
        <v>-1.1028869104620198</v>
      </c>
      <c r="D86" s="17">
        <f>IF(AND(E$3-D$3 &lt;&gt; 0,D28&lt;&gt;0,E28&lt;&gt;0),(EXP(LN(E28/D28)/(E$3-D$3))-1)*100,0)</f>
        <v>0.59186970332354427</v>
      </c>
      <c r="E86" s="17">
        <f>IF(AND(F$3-E$3 &lt;&gt; 0,E28&lt;&gt;0,F28&lt;&gt;0),(EXP(LN(F28/E28)/(F$3-E$3))-1)*100,0)</f>
        <v>0.42098726884287618</v>
      </c>
      <c r="F86" s="17">
        <f t="shared" si="5"/>
        <v>0.47791580152367619</v>
      </c>
    </row>
    <row r="89" spans="1:6" x14ac:dyDescent="0.3">
      <c r="A89" s="1" t="s">
        <v>15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3">
      <c r="A90" t="str">
        <f>$A$5</f>
        <v>Agriculture</v>
      </c>
      <c r="B90" s="26">
        <f t="shared" ref="B90:E105" si="10">C5-B5</f>
        <v>8.9180000013556082</v>
      </c>
      <c r="C90" s="26">
        <f>D5-C5</f>
        <v>-23.903000005872116</v>
      </c>
      <c r="D90" s="26">
        <f t="shared" si="10"/>
        <v>9.1690000002623151</v>
      </c>
      <c r="E90" s="26">
        <f t="shared" si="10"/>
        <v>4.0069999998445951</v>
      </c>
      <c r="F90" s="26">
        <f>F5-D5</f>
        <v>13.17600000010691</v>
      </c>
    </row>
    <row r="91" spans="1:6" x14ac:dyDescent="0.3">
      <c r="A91" t="str">
        <f>$A$6</f>
        <v>Mining and quarrying</v>
      </c>
      <c r="B91" s="26">
        <f t="shared" si="10"/>
        <v>-13.006999999737722</v>
      </c>
      <c r="C91" s="26">
        <f t="shared" ref="C91:C105" si="11">D6-C6</f>
        <v>0.99600000002718048</v>
      </c>
      <c r="D91" s="26">
        <f t="shared" si="10"/>
        <v>-7.8949999997558322</v>
      </c>
      <c r="E91" s="26">
        <f t="shared" si="10"/>
        <v>-7.1969999999806831</v>
      </c>
      <c r="F91" s="26">
        <f t="shared" ref="F91:F113" si="12">F6-D6</f>
        <v>-15.091999999736515</v>
      </c>
    </row>
    <row r="92" spans="1:6" x14ac:dyDescent="0.3">
      <c r="A92" t="str">
        <f>$A$7</f>
        <v>Food drink and tobacco</v>
      </c>
      <c r="B92" s="26">
        <f t="shared" si="10"/>
        <v>25.905999998675952</v>
      </c>
      <c r="C92" s="26">
        <f t="shared" si="11"/>
        <v>-0.45000000054801603</v>
      </c>
      <c r="D92" s="26">
        <f t="shared" si="10"/>
        <v>7.1220000058069672</v>
      </c>
      <c r="E92" s="26">
        <f t="shared" si="10"/>
        <v>-10.498000005340828</v>
      </c>
      <c r="F92" s="26">
        <f t="shared" si="12"/>
        <v>-3.3759999995338603</v>
      </c>
    </row>
    <row r="93" spans="1:6" x14ac:dyDescent="0.3">
      <c r="A93" t="str">
        <f>$A$8</f>
        <v>Engineering</v>
      </c>
      <c r="B93" s="26">
        <f t="shared" si="10"/>
        <v>7.829000000067083</v>
      </c>
      <c r="C93" s="26">
        <f t="shared" si="11"/>
        <v>-18.464000000024271</v>
      </c>
      <c r="D93" s="26">
        <f t="shared" si="10"/>
        <v>9.228000002805743</v>
      </c>
      <c r="E93" s="26">
        <f t="shared" si="10"/>
        <v>-43.977000001342276</v>
      </c>
      <c r="F93" s="26">
        <f t="shared" si="12"/>
        <v>-34.748999998536533</v>
      </c>
    </row>
    <row r="94" spans="1:6" x14ac:dyDescent="0.3">
      <c r="A94" t="str">
        <f>$A$9</f>
        <v>Rest of manufacturing</v>
      </c>
      <c r="B94" s="26">
        <f t="shared" si="10"/>
        <v>15.202999998071846</v>
      </c>
      <c r="C94" s="26">
        <f t="shared" si="11"/>
        <v>-40.861000001196544</v>
      </c>
      <c r="D94" s="26">
        <f t="shared" si="10"/>
        <v>-102.72199998798465</v>
      </c>
      <c r="E94" s="26">
        <f t="shared" si="10"/>
        <v>-144.97600000621446</v>
      </c>
      <c r="F94" s="26">
        <f t="shared" si="12"/>
        <v>-247.69799999419911</v>
      </c>
    </row>
    <row r="95" spans="1:6" x14ac:dyDescent="0.3">
      <c r="A95" t="str">
        <f>$A$10</f>
        <v>Electricity and gas</v>
      </c>
      <c r="B95" s="26">
        <f t="shared" si="10"/>
        <v>10.998000000000786</v>
      </c>
      <c r="C95" s="26">
        <f t="shared" si="11"/>
        <v>1.9990000001363057</v>
      </c>
      <c r="D95" s="26">
        <f t="shared" si="10"/>
        <v>-5.9749999985575641</v>
      </c>
      <c r="E95" s="26">
        <f t="shared" si="10"/>
        <v>-1.472000001440648</v>
      </c>
      <c r="F95" s="26">
        <f t="shared" si="12"/>
        <v>-7.4469999999982122</v>
      </c>
    </row>
    <row r="96" spans="1:6" x14ac:dyDescent="0.3">
      <c r="A96" t="str">
        <f>$A$11</f>
        <v>Water and sewerage</v>
      </c>
      <c r="B96" s="26">
        <f t="shared" si="10"/>
        <v>23.005000000085971</v>
      </c>
      <c r="C96" s="26">
        <f t="shared" si="11"/>
        <v>-12.984000000559178</v>
      </c>
      <c r="D96" s="26">
        <f t="shared" si="10"/>
        <v>10.587000001633214</v>
      </c>
      <c r="E96" s="26">
        <f t="shared" si="10"/>
        <v>16.882999999822829</v>
      </c>
      <c r="F96" s="26">
        <f t="shared" si="12"/>
        <v>27.470000001456043</v>
      </c>
    </row>
    <row r="97" spans="1:6" x14ac:dyDescent="0.3">
      <c r="A97" t="str">
        <f>$A$12</f>
        <v>Construction</v>
      </c>
      <c r="B97" s="26">
        <f t="shared" si="10"/>
        <v>211.62400004282927</v>
      </c>
      <c r="C97" s="26">
        <f t="shared" si="11"/>
        <v>-14.537000054619512</v>
      </c>
      <c r="D97" s="26">
        <f t="shared" si="10"/>
        <v>100.14499996003678</v>
      </c>
      <c r="E97" s="26">
        <f t="shared" si="10"/>
        <v>163.91100001819632</v>
      </c>
      <c r="F97" s="26">
        <f t="shared" si="12"/>
        <v>264.0559999782331</v>
      </c>
    </row>
    <row r="98" spans="1:6" x14ac:dyDescent="0.3">
      <c r="A98" t="str">
        <f>$A$13</f>
        <v>Wholesale and retail trade</v>
      </c>
      <c r="B98" s="26">
        <f t="shared" si="10"/>
        <v>20.86499997179817</v>
      </c>
      <c r="C98" s="26">
        <f t="shared" si="11"/>
        <v>-11.561000023159977</v>
      </c>
      <c r="D98" s="26">
        <f t="shared" si="10"/>
        <v>27.196000076207383</v>
      </c>
      <c r="E98" s="26">
        <f t="shared" si="10"/>
        <v>51.731999874951725</v>
      </c>
      <c r="F98" s="26">
        <f t="shared" si="12"/>
        <v>78.927999951159109</v>
      </c>
    </row>
    <row r="99" spans="1:6" x14ac:dyDescent="0.3">
      <c r="A99" t="str">
        <f>$A$14</f>
        <v>Transport and storage</v>
      </c>
      <c r="B99" s="26">
        <f t="shared" si="10"/>
        <v>202.85599997716099</v>
      </c>
      <c r="C99" s="26">
        <f t="shared" si="11"/>
        <v>-23.761999988227899</v>
      </c>
      <c r="D99" s="26">
        <f t="shared" si="10"/>
        <v>116.41800002556033</v>
      </c>
      <c r="E99" s="26">
        <f t="shared" si="10"/>
        <v>36.127999984193821</v>
      </c>
      <c r="F99" s="26">
        <f t="shared" si="12"/>
        <v>152.54600000975415</v>
      </c>
    </row>
    <row r="100" spans="1:6" x14ac:dyDescent="0.3">
      <c r="A100" t="str">
        <f>$A$15</f>
        <v>Accommodation and food</v>
      </c>
      <c r="B100" s="26">
        <f t="shared" si="10"/>
        <v>280.9199999950074</v>
      </c>
      <c r="C100" s="26">
        <f t="shared" si="11"/>
        <v>-108.77800002165122</v>
      </c>
      <c r="D100" s="26">
        <f t="shared" si="10"/>
        <v>97.780000038518665</v>
      </c>
      <c r="E100" s="26">
        <f t="shared" si="10"/>
        <v>345.65299993922463</v>
      </c>
      <c r="F100" s="26">
        <f t="shared" si="12"/>
        <v>443.43299997774329</v>
      </c>
    </row>
    <row r="101" spans="1:6" x14ac:dyDescent="0.3">
      <c r="A101" t="str">
        <f>$A$16</f>
        <v>Media</v>
      </c>
      <c r="B101" s="26">
        <f t="shared" si="10"/>
        <v>14.827999999156191</v>
      </c>
      <c r="C101" s="26">
        <f t="shared" si="11"/>
        <v>-2.0399999981105452</v>
      </c>
      <c r="D101" s="26">
        <f t="shared" si="10"/>
        <v>3.8730000048572037</v>
      </c>
      <c r="E101" s="26">
        <f t="shared" si="10"/>
        <v>4.3369999978469309</v>
      </c>
      <c r="F101" s="26">
        <f t="shared" si="12"/>
        <v>8.2100000027041347</v>
      </c>
    </row>
    <row r="102" spans="1:6" x14ac:dyDescent="0.3">
      <c r="A102" t="str">
        <f>$A$17</f>
        <v>Information technology</v>
      </c>
      <c r="B102" s="26">
        <f t="shared" si="10"/>
        <v>92.093999999821563</v>
      </c>
      <c r="C102" s="26">
        <f t="shared" si="11"/>
        <v>-2.7909999911976229</v>
      </c>
      <c r="D102" s="26">
        <f t="shared" si="10"/>
        <v>83.920000010790545</v>
      </c>
      <c r="E102" s="26">
        <f t="shared" si="10"/>
        <v>97.268999990694738</v>
      </c>
      <c r="F102" s="26">
        <f t="shared" si="12"/>
        <v>181.18900000148528</v>
      </c>
    </row>
    <row r="103" spans="1:6" x14ac:dyDescent="0.3">
      <c r="A103" t="str">
        <f>$A$18</f>
        <v>Finance and insurance</v>
      </c>
      <c r="B103" s="26">
        <f t="shared" si="10"/>
        <v>21.975999999046053</v>
      </c>
      <c r="C103" s="26">
        <f t="shared" si="11"/>
        <v>15.100000008155348</v>
      </c>
      <c r="D103" s="26">
        <f t="shared" si="10"/>
        <v>6.9460000184319597</v>
      </c>
      <c r="E103" s="26">
        <f t="shared" si="10"/>
        <v>-20.831000011564129</v>
      </c>
      <c r="F103" s="26">
        <f t="shared" si="12"/>
        <v>-13.884999993132169</v>
      </c>
    </row>
    <row r="104" spans="1:6" x14ac:dyDescent="0.3">
      <c r="A104" t="str">
        <f>$A$19</f>
        <v>Real estate</v>
      </c>
      <c r="B104" s="26">
        <f t="shared" si="10"/>
        <v>21.971000000523304</v>
      </c>
      <c r="C104" s="26">
        <f t="shared" si="11"/>
        <v>53.063999999177554</v>
      </c>
      <c r="D104" s="26">
        <f t="shared" si="10"/>
        <v>-24.264999992767116</v>
      </c>
      <c r="E104" s="26">
        <f t="shared" si="10"/>
        <v>53.479999994685159</v>
      </c>
      <c r="F104" s="26">
        <f t="shared" si="12"/>
        <v>29.215000001918042</v>
      </c>
    </row>
    <row r="105" spans="1:6" x14ac:dyDescent="0.3">
      <c r="A105" t="str">
        <f>$A$20</f>
        <v>Professional services</v>
      </c>
      <c r="B105" s="26">
        <f t="shared" si="10"/>
        <v>305.7339999973542</v>
      </c>
      <c r="C105" s="26">
        <f t="shared" si="11"/>
        <v>-59.581999969756453</v>
      </c>
      <c r="D105" s="26">
        <f t="shared" si="10"/>
        <v>160.18100004423513</v>
      </c>
      <c r="E105" s="26">
        <f t="shared" si="10"/>
        <v>219.91899997966357</v>
      </c>
      <c r="F105" s="26">
        <f t="shared" si="12"/>
        <v>380.1000000238987</v>
      </c>
    </row>
    <row r="106" spans="1:6" x14ac:dyDescent="0.3">
      <c r="A106" s="10" t="str">
        <f>$A$21</f>
        <v>Support services</v>
      </c>
      <c r="B106" s="26">
        <f t="shared" ref="B106:B111" si="13">C21-B21</f>
        <v>165.85899999517596</v>
      </c>
      <c r="C106" s="26">
        <f t="shared" ref="C106:C111" si="14">D21-C21</f>
        <v>-174.65800001567914</v>
      </c>
      <c r="D106" s="26">
        <f t="shared" ref="D106:D111" si="15">E21-D21</f>
        <v>167.60600001919374</v>
      </c>
      <c r="E106" s="26">
        <f t="shared" ref="E106:E111" si="16">F21-E21</f>
        <v>209.37599998331416</v>
      </c>
      <c r="F106" s="26">
        <f t="shared" si="12"/>
        <v>376.9820000025079</v>
      </c>
    </row>
    <row r="107" spans="1:6" x14ac:dyDescent="0.3">
      <c r="A107" s="10" t="str">
        <f>$A$22</f>
        <v>Public admin. and defence</v>
      </c>
      <c r="B107" s="26">
        <f t="shared" si="13"/>
        <v>27.985000003433242</v>
      </c>
      <c r="C107" s="26">
        <f t="shared" si="14"/>
        <v>44.09600000337764</v>
      </c>
      <c r="D107" s="26">
        <f t="shared" si="15"/>
        <v>23.151000003502304</v>
      </c>
      <c r="E107" s="26">
        <f t="shared" si="16"/>
        <v>25.103000001604187</v>
      </c>
      <c r="F107" s="26">
        <f t="shared" si="12"/>
        <v>48.254000005106491</v>
      </c>
    </row>
    <row r="108" spans="1:6" x14ac:dyDescent="0.3">
      <c r="A108" s="10" t="str">
        <f>$A$23</f>
        <v>Education</v>
      </c>
      <c r="B108" s="26">
        <f t="shared" si="13"/>
        <v>-10.1099999887183</v>
      </c>
      <c r="C108" s="26">
        <f t="shared" si="14"/>
        <v>10.296000026184629</v>
      </c>
      <c r="D108" s="26">
        <f t="shared" si="15"/>
        <v>40.578999780003869</v>
      </c>
      <c r="E108" s="26">
        <f t="shared" si="16"/>
        <v>103.77200023425985</v>
      </c>
      <c r="F108" s="26">
        <f t="shared" si="12"/>
        <v>144.35100001426372</v>
      </c>
    </row>
    <row r="109" spans="1:6" x14ac:dyDescent="0.3">
      <c r="A109" s="10" t="str">
        <f>$A$24</f>
        <v>Health and social work</v>
      </c>
      <c r="B109" s="26">
        <f t="shared" si="13"/>
        <v>183.84000001278764</v>
      </c>
      <c r="C109" s="26">
        <f t="shared" si="14"/>
        <v>12.420000039652223</v>
      </c>
      <c r="D109" s="26">
        <f t="shared" si="15"/>
        <v>306.83999996188595</v>
      </c>
      <c r="E109" s="26">
        <f t="shared" si="16"/>
        <v>349.47200003723447</v>
      </c>
      <c r="F109" s="26">
        <f t="shared" si="12"/>
        <v>656.31199999912042</v>
      </c>
    </row>
    <row r="110" spans="1:6" x14ac:dyDescent="0.3">
      <c r="A110" s="10" t="str">
        <f>$A$25</f>
        <v>Arts and entertainment</v>
      </c>
      <c r="B110" s="26">
        <f t="shared" si="13"/>
        <v>46.888999996233906</v>
      </c>
      <c r="C110" s="26">
        <f t="shared" si="14"/>
        <v>-28.837999999961085</v>
      </c>
      <c r="D110" s="26">
        <f t="shared" si="15"/>
        <v>30.745000013166873</v>
      </c>
      <c r="E110" s="26">
        <f t="shared" si="16"/>
        <v>88.021999995085707</v>
      </c>
      <c r="F110" s="26">
        <f t="shared" si="12"/>
        <v>118.76700000825258</v>
      </c>
    </row>
    <row r="111" spans="1:6" x14ac:dyDescent="0.3">
      <c r="A111" s="10" t="str">
        <f>$A$26</f>
        <v>Other services</v>
      </c>
      <c r="B111" s="26">
        <f t="shared" si="13"/>
        <v>42.836000000019226</v>
      </c>
      <c r="C111" s="26">
        <f t="shared" si="14"/>
        <v>-4.7980000065167587</v>
      </c>
      <c r="D111" s="26">
        <f t="shared" si="15"/>
        <v>-13.272999987844742</v>
      </c>
      <c r="E111" s="26">
        <f t="shared" si="16"/>
        <v>5.4349999955445583</v>
      </c>
      <c r="F111" s="26">
        <f t="shared" si="12"/>
        <v>-7.8379999923001833</v>
      </c>
    </row>
    <row r="112" spans="1:6" x14ac:dyDescent="0.3">
      <c r="B112" s="26"/>
      <c r="C112" s="26"/>
      <c r="D112" s="26"/>
      <c r="E112" s="26"/>
      <c r="F112" s="26"/>
    </row>
    <row r="113" spans="1:6" x14ac:dyDescent="0.3">
      <c r="A113" s="23" t="str">
        <f>$A$28</f>
        <v>All industries</v>
      </c>
      <c r="B113" s="28">
        <f>C28-B28</f>
        <v>1709.0190000001458</v>
      </c>
      <c r="C113" s="28">
        <f>D28-C28</f>
        <v>-390.03600000037113</v>
      </c>
      <c r="D113" s="28">
        <f>E28-D28</f>
        <v>1047.3559999999925</v>
      </c>
      <c r="E113" s="28">
        <f>F28-E28</f>
        <v>1545.5480000002863</v>
      </c>
      <c r="F113" s="28">
        <f t="shared" si="12"/>
        <v>2592.9040000002788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333"/>
  <sheetViews>
    <sheetView showGridLines="0" zoomScale="85" zoomScaleNormal="85" workbookViewId="0"/>
  </sheetViews>
  <sheetFormatPr defaultColWidth="9.15234375" defaultRowHeight="12.45" x14ac:dyDescent="0.3"/>
  <cols>
    <col min="1" max="1" width="26.69140625" customWidth="1"/>
    <col min="2" max="6" width="11.69140625" customWidth="1"/>
  </cols>
  <sheetData>
    <row r="1" spans="1:7" ht="15.45" x14ac:dyDescent="0.4">
      <c r="A1" s="18" t="str">
        <f>CONCATENATE("Industry Table 3  Employment by Industry (SIC 2007), ",B$3,"-",F$3,", ",Info!B5)</f>
        <v>Industry Table 3  Employment by Industry (SIC 2007), 2015-2035, United Kingdom</v>
      </c>
    </row>
    <row r="2" spans="1:7" x14ac:dyDescent="0.3">
      <c r="A2" s="1" t="s">
        <v>531</v>
      </c>
    </row>
    <row r="3" spans="1:7" x14ac:dyDescent="0.3">
      <c r="A3" s="21"/>
      <c r="B3" s="22">
        <v>2015</v>
      </c>
      <c r="C3" s="22">
        <v>2019</v>
      </c>
      <c r="D3" s="22">
        <v>2020</v>
      </c>
      <c r="E3" s="22">
        <v>2025</v>
      </c>
      <c r="F3" s="22">
        <v>2035</v>
      </c>
    </row>
    <row r="4" spans="1:7" x14ac:dyDescent="0.3">
      <c r="A4" s="1" t="s">
        <v>13</v>
      </c>
    </row>
    <row r="5" spans="1:7" x14ac:dyDescent="0.3">
      <c r="A5" t="str">
        <f>name!A4</f>
        <v>Agriculture, etc</v>
      </c>
      <c r="B5" s="11">
        <v>386.98700000151018</v>
      </c>
      <c r="C5" s="11">
        <v>395.90500000286579</v>
      </c>
      <c r="D5" s="11">
        <v>372.00199999699367</v>
      </c>
      <c r="E5" s="11">
        <v>381.17099999725599</v>
      </c>
      <c r="F5" s="11">
        <v>385.17799999710059</v>
      </c>
      <c r="G5" s="10"/>
    </row>
    <row r="6" spans="1:7" x14ac:dyDescent="0.3">
      <c r="A6" t="str">
        <f>name!A5</f>
        <v>Coal, oil &amp; gas; Mining &amp; related</v>
      </c>
      <c r="B6" s="11">
        <v>74.000999999618358</v>
      </c>
      <c r="C6" s="11">
        <v>60.993999999880636</v>
      </c>
      <c r="D6" s="11">
        <v>61.989999999907816</v>
      </c>
      <c r="E6" s="11">
        <v>54.095000000151984</v>
      </c>
      <c r="F6" s="11">
        <v>46.898000000171301</v>
      </c>
    </row>
    <row r="7" spans="1:7" x14ac:dyDescent="0.3">
      <c r="A7" t="str">
        <f>name!A6</f>
        <v>Food products</v>
      </c>
      <c r="B7" s="11">
        <v>386.28900000176191</v>
      </c>
      <c r="C7" s="11">
        <v>405.29200000045489</v>
      </c>
      <c r="D7" s="11">
        <v>403.35400000010196</v>
      </c>
      <c r="E7" s="11">
        <v>409.96300000539549</v>
      </c>
      <c r="F7" s="11">
        <v>400.93300000040688</v>
      </c>
      <c r="G7" s="11"/>
    </row>
    <row r="8" spans="1:7" x14ac:dyDescent="0.3">
      <c r="A8" t="str">
        <f>name!A7</f>
        <v>Beverages and tobacco</v>
      </c>
      <c r="B8" s="11">
        <v>40.517000000024936</v>
      </c>
      <c r="C8" s="11">
        <v>47.420000000007889</v>
      </c>
      <c r="D8" s="11">
        <v>48.907999999812809</v>
      </c>
      <c r="E8" s="11">
        <v>49.421000000326266</v>
      </c>
      <c r="F8" s="11">
        <v>47.952999999974061</v>
      </c>
      <c r="G8" s="11"/>
    </row>
    <row r="9" spans="1:7" x14ac:dyDescent="0.3">
      <c r="A9" t="str">
        <f>name!A8</f>
        <v>Textiles</v>
      </c>
      <c r="B9" s="11">
        <v>57.640000000233201</v>
      </c>
      <c r="C9" s="11">
        <v>65.168000000070364</v>
      </c>
      <c r="D9" s="11">
        <v>68.213999999973495</v>
      </c>
      <c r="E9" s="11">
        <v>60.32800000066559</v>
      </c>
      <c r="F9" s="11">
        <v>51.580000000143414</v>
      </c>
      <c r="G9" s="11"/>
    </row>
    <row r="10" spans="1:7" x14ac:dyDescent="0.3">
      <c r="A10" t="str">
        <f>name!A9</f>
        <v>Wearing apparel; Leather, etc</v>
      </c>
      <c r="B10" s="11">
        <v>56.312000000419395</v>
      </c>
      <c r="C10" s="11">
        <v>49.666000000218837</v>
      </c>
      <c r="D10" s="11">
        <v>54.71799999999228</v>
      </c>
      <c r="E10" s="11">
        <v>48.440000000250997</v>
      </c>
      <c r="F10" s="11">
        <v>41.756000000138918</v>
      </c>
      <c r="G10" s="11"/>
    </row>
    <row r="11" spans="1:7" x14ac:dyDescent="0.3">
      <c r="A11" t="str">
        <f>name!A10</f>
        <v xml:space="preserve">Wood and cork </v>
      </c>
      <c r="B11" s="11">
        <v>79.771999999945066</v>
      </c>
      <c r="C11" s="11">
        <v>87.298000000277796</v>
      </c>
      <c r="D11" s="11">
        <v>89.911999999736508</v>
      </c>
      <c r="E11" s="11">
        <v>89.054999999911814</v>
      </c>
      <c r="F11" s="11">
        <v>85.231000000082744</v>
      </c>
      <c r="G11" s="11"/>
    </row>
    <row r="12" spans="1:7" x14ac:dyDescent="0.3">
      <c r="A12" t="str">
        <f>name!A11</f>
        <v>Paper, etc</v>
      </c>
      <c r="B12" s="11">
        <v>66.167000000149898</v>
      </c>
      <c r="C12" s="11">
        <v>59.547999999989472</v>
      </c>
      <c r="D12" s="11">
        <v>53.091000000035081</v>
      </c>
      <c r="E12" s="11">
        <v>52.606000000403753</v>
      </c>
      <c r="F12" s="11">
        <v>50.318000000226462</v>
      </c>
      <c r="G12" s="11"/>
    </row>
    <row r="13" spans="1:7" x14ac:dyDescent="0.3">
      <c r="A13" t="str">
        <f>name!A12</f>
        <v>Printing and recording</v>
      </c>
      <c r="B13" s="11">
        <v>123.94799999995334</v>
      </c>
      <c r="C13" s="11">
        <v>96.93199999972083</v>
      </c>
      <c r="D13" s="11">
        <v>92.028999999906603</v>
      </c>
      <c r="E13" s="11">
        <v>85.580000000700664</v>
      </c>
      <c r="F13" s="11">
        <v>73.0400000002235</v>
      </c>
      <c r="G13" s="11"/>
    </row>
    <row r="14" spans="1:7" x14ac:dyDescent="0.3">
      <c r="A14" t="str">
        <f>name!A13</f>
        <v>Coke and petroleum; Chemicals, etc</v>
      </c>
      <c r="B14" s="11">
        <v>105.94899999967326</v>
      </c>
      <c r="C14" s="11">
        <v>115.88799999957004</v>
      </c>
      <c r="D14" s="11">
        <v>113.03699999956521</v>
      </c>
      <c r="E14" s="11">
        <v>107.37200000070708</v>
      </c>
      <c r="F14" s="11">
        <v>99.20999999996198</v>
      </c>
      <c r="G14" s="11"/>
    </row>
    <row r="15" spans="1:7" x14ac:dyDescent="0.3">
      <c r="A15" t="str">
        <f>name!A14</f>
        <v>Pharmaceuticals</v>
      </c>
      <c r="B15" s="11">
        <v>41.98299999986282</v>
      </c>
      <c r="C15" s="11">
        <v>48.950999999750856</v>
      </c>
      <c r="D15" s="11">
        <v>51.007999999823106</v>
      </c>
      <c r="E15" s="11">
        <v>54.400000000190118</v>
      </c>
      <c r="F15" s="11">
        <v>52.086000000052557</v>
      </c>
      <c r="G15" s="11"/>
    </row>
    <row r="16" spans="1:7" x14ac:dyDescent="0.3">
      <c r="A16" t="str">
        <f>name!A15</f>
        <v>Rubber and plastic</v>
      </c>
      <c r="B16" s="11">
        <v>181.149000000039</v>
      </c>
      <c r="C16" s="11">
        <v>176.55799999960288</v>
      </c>
      <c r="D16" s="11">
        <v>186.17899999963532</v>
      </c>
      <c r="E16" s="11">
        <v>182.97800000116737</v>
      </c>
      <c r="F16" s="11">
        <v>162.79600000022313</v>
      </c>
      <c r="G16" s="11"/>
    </row>
    <row r="17" spans="1:7" x14ac:dyDescent="0.3">
      <c r="A17" t="str">
        <f>name!A16</f>
        <v>Other non-metallic</v>
      </c>
      <c r="B17" s="11">
        <v>85.735999999887738</v>
      </c>
      <c r="C17" s="11">
        <v>93.229999999962004</v>
      </c>
      <c r="D17" s="11">
        <v>93.970999999898424</v>
      </c>
      <c r="E17" s="11">
        <v>92.210000000511329</v>
      </c>
      <c r="F17" s="11">
        <v>81.869000000050377</v>
      </c>
      <c r="G17" s="11"/>
    </row>
    <row r="18" spans="1:7" x14ac:dyDescent="0.3">
      <c r="A18" t="str">
        <f>name!A17</f>
        <v>Basic metals</v>
      </c>
      <c r="B18" s="11">
        <v>67.283999999964962</v>
      </c>
      <c r="C18" s="11">
        <v>72.322999999912</v>
      </c>
      <c r="D18" s="11">
        <v>61.690999999960979</v>
      </c>
      <c r="E18" s="11">
        <v>60.498000000232373</v>
      </c>
      <c r="F18" s="11">
        <v>53.181000000146554</v>
      </c>
      <c r="G18" s="11"/>
    </row>
    <row r="19" spans="1:7" x14ac:dyDescent="0.3">
      <c r="A19" t="str">
        <f>name!A18</f>
        <v>Metal products</v>
      </c>
      <c r="B19" s="11">
        <v>332.53299999962684</v>
      </c>
      <c r="C19" s="11">
        <v>319.3749999994817</v>
      </c>
      <c r="D19" s="11">
        <v>281.49899999927283</v>
      </c>
      <c r="E19" s="11">
        <v>274.45300000120301</v>
      </c>
      <c r="F19" s="11">
        <v>240.95400000030273</v>
      </c>
      <c r="G19" s="11"/>
    </row>
    <row r="20" spans="1:7" x14ac:dyDescent="0.3">
      <c r="A20" t="str">
        <f>name!A19</f>
        <v>Computer, etc</v>
      </c>
      <c r="B20" s="11">
        <v>119.9479999996616</v>
      </c>
      <c r="C20" s="11">
        <v>123.90399999953783</v>
      </c>
      <c r="D20" s="11">
        <v>128.06699999964999</v>
      </c>
      <c r="E20" s="11">
        <v>135.02700000069024</v>
      </c>
      <c r="F20" s="11">
        <v>117.04900000015016</v>
      </c>
      <c r="G20" s="11"/>
    </row>
    <row r="21" spans="1:7" x14ac:dyDescent="0.3">
      <c r="A21" t="str">
        <f>name!A20</f>
        <v>Electrical equipment</v>
      </c>
      <c r="B21" s="11">
        <v>89.95499999976505</v>
      </c>
      <c r="C21" s="11">
        <v>81.924999999816791</v>
      </c>
      <c r="D21" s="11">
        <v>73.031999999790429</v>
      </c>
      <c r="E21" s="11">
        <v>71.923000000388242</v>
      </c>
      <c r="F21" s="11">
        <v>69.085000000073691</v>
      </c>
      <c r="G21" s="11"/>
    </row>
    <row r="22" spans="1:7" x14ac:dyDescent="0.3">
      <c r="A22" t="str">
        <f>name!A21</f>
        <v>Machinery n.e.c.</v>
      </c>
      <c r="B22" s="11">
        <v>184.9179999994451</v>
      </c>
      <c r="C22" s="11">
        <v>196.82099999958422</v>
      </c>
      <c r="D22" s="11">
        <v>183.08699999947413</v>
      </c>
      <c r="E22" s="11">
        <v>186.46400000064182</v>
      </c>
      <c r="F22" s="11">
        <v>163.30300000015419</v>
      </c>
      <c r="G22" s="11"/>
    </row>
    <row r="23" spans="1:7" x14ac:dyDescent="0.3">
      <c r="A23" t="str">
        <f>name!A22</f>
        <v>Motor vehicles, etc</v>
      </c>
      <c r="B23" s="11">
        <v>154.92899999987264</v>
      </c>
      <c r="C23" s="11">
        <v>169.90699999933153</v>
      </c>
      <c r="D23" s="11">
        <v>150.10199999942225</v>
      </c>
      <c r="E23" s="11">
        <v>148.90400000042996</v>
      </c>
      <c r="F23" s="11">
        <v>137.84399999999374</v>
      </c>
      <c r="G23" s="11"/>
    </row>
    <row r="24" spans="1:7" x14ac:dyDescent="0.3">
      <c r="A24" t="str">
        <f>name!A23</f>
        <v>Other transport equipment</v>
      </c>
      <c r="B24" s="11">
        <v>137.93399999949679</v>
      </c>
      <c r="C24" s="11">
        <v>143.91699999968483</v>
      </c>
      <c r="D24" s="11">
        <v>144.07699999955437</v>
      </c>
      <c r="E24" s="11">
        <v>122.98900000020033</v>
      </c>
      <c r="F24" s="11">
        <v>121.82300000000795</v>
      </c>
      <c r="G24" s="11"/>
    </row>
    <row r="25" spans="1:7" x14ac:dyDescent="0.3">
      <c r="A25" t="str">
        <f>name!A24</f>
        <v>Furniture</v>
      </c>
      <c r="B25" s="11">
        <v>92.207999999979549</v>
      </c>
      <c r="C25" s="11">
        <v>95.284999999965365</v>
      </c>
      <c r="D25" s="11">
        <v>97.85199999990931</v>
      </c>
      <c r="E25" s="11">
        <v>85.951000000508714</v>
      </c>
      <c r="F25" s="11">
        <v>80.962000000195928</v>
      </c>
      <c r="G25" s="11"/>
    </row>
    <row r="26" spans="1:7" x14ac:dyDescent="0.3">
      <c r="A26" t="str">
        <f>name!A25</f>
        <v>Other manufacturing</v>
      </c>
      <c r="B26" s="11">
        <v>107.06200000011026</v>
      </c>
      <c r="C26" s="11">
        <v>100.67099999986803</v>
      </c>
      <c r="D26" s="11">
        <v>104.09399999973414</v>
      </c>
      <c r="E26" s="11">
        <v>91.094000000736031</v>
      </c>
      <c r="F26" s="11">
        <v>85.78000000013752</v>
      </c>
      <c r="G26" s="11"/>
    </row>
    <row r="27" spans="1:7" x14ac:dyDescent="0.3">
      <c r="A27" t="str">
        <f>name!A26</f>
        <v>Repair and installation</v>
      </c>
      <c r="B27" s="11">
        <v>125.59599999988986</v>
      </c>
      <c r="C27" s="11">
        <v>136.68799999977028</v>
      </c>
      <c r="D27" s="11">
        <v>149.06999999955988</v>
      </c>
      <c r="E27" s="11">
        <v>130.9640000001761</v>
      </c>
      <c r="F27" s="11">
        <v>124.41599999989337</v>
      </c>
      <c r="G27" s="11"/>
    </row>
    <row r="28" spans="1:7" x14ac:dyDescent="0.3">
      <c r="A28" t="str">
        <f>name!A27</f>
        <v>Electricity, gas, etc</v>
      </c>
      <c r="B28" s="11">
        <v>132.99599999935342</v>
      </c>
      <c r="C28" s="11">
        <v>143.9939999993542</v>
      </c>
      <c r="D28" s="11">
        <v>145.99299999949051</v>
      </c>
      <c r="E28" s="11">
        <v>140.01800000093294</v>
      </c>
      <c r="F28" s="11">
        <v>138.5459999994923</v>
      </c>
      <c r="G28" s="11"/>
    </row>
    <row r="29" spans="1:7" x14ac:dyDescent="0.3">
      <c r="A29" t="str">
        <f>name!A28</f>
        <v>Water</v>
      </c>
      <c r="B29" s="11">
        <v>38.702999999822808</v>
      </c>
      <c r="C29" s="11">
        <v>46.947999999822983</v>
      </c>
      <c r="D29" s="11">
        <v>45.078999999830756</v>
      </c>
      <c r="E29" s="11">
        <v>47.37700000029534</v>
      </c>
      <c r="F29" s="11">
        <v>51.075000000006845</v>
      </c>
      <c r="G29" s="11"/>
    </row>
    <row r="30" spans="1:7" x14ac:dyDescent="0.3">
      <c r="A30" t="str">
        <f>name!A29</f>
        <v>Sewerage</v>
      </c>
      <c r="B30" s="11">
        <v>25.185000000086664</v>
      </c>
      <c r="C30" s="11">
        <v>24.338000000049554</v>
      </c>
      <c r="D30" s="11">
        <v>22.515000000017348</v>
      </c>
      <c r="E30" s="11">
        <v>23.724000000230784</v>
      </c>
      <c r="F30" s="11">
        <v>25.694000000224548</v>
      </c>
      <c r="G30" s="11"/>
    </row>
    <row r="31" spans="1:7" x14ac:dyDescent="0.3">
      <c r="A31" t="str">
        <f>name!A30</f>
        <v>Waste management</v>
      </c>
      <c r="B31" s="11">
        <v>136.09100000016076</v>
      </c>
      <c r="C31" s="11">
        <v>151.69800000028368</v>
      </c>
      <c r="D31" s="11">
        <v>142.40599999974893</v>
      </c>
      <c r="E31" s="11">
        <v>149.48600000070411</v>
      </c>
      <c r="F31" s="11">
        <v>160.70100000082169</v>
      </c>
      <c r="G31" s="11"/>
    </row>
    <row r="32" spans="1:7" x14ac:dyDescent="0.3">
      <c r="A32" t="str">
        <f>name!A31</f>
        <v>Construction</v>
      </c>
      <c r="B32" s="11">
        <v>655.40799999449609</v>
      </c>
      <c r="C32" s="11">
        <v>755.95700000710508</v>
      </c>
      <c r="D32" s="11">
        <v>756.94499998924687</v>
      </c>
      <c r="E32" s="11">
        <v>794.2429999784041</v>
      </c>
      <c r="F32" s="11">
        <v>854.33299998294854</v>
      </c>
      <c r="G32" s="11"/>
    </row>
    <row r="33" spans="1:7" x14ac:dyDescent="0.3">
      <c r="A33" t="str">
        <f>name!A32</f>
        <v>Civil engineering</v>
      </c>
      <c r="B33" s="11">
        <v>298.19899999703421</v>
      </c>
      <c r="C33" s="11">
        <v>314.47000000333799</v>
      </c>
      <c r="D33" s="11">
        <v>310.04099999585242</v>
      </c>
      <c r="E33" s="11">
        <v>321.90899998995292</v>
      </c>
      <c r="F33" s="11">
        <v>341.76799999278114</v>
      </c>
      <c r="G33" s="11"/>
    </row>
    <row r="34" spans="1:7" x14ac:dyDescent="0.3">
      <c r="A34" t="str">
        <f>name!A33</f>
        <v>Specialised construction</v>
      </c>
      <c r="B34" s="11">
        <v>1168.3029999881037</v>
      </c>
      <c r="C34" s="11">
        <v>1263.1070000120203</v>
      </c>
      <c r="D34" s="11">
        <v>1252.0109999827446</v>
      </c>
      <c r="E34" s="11">
        <v>1302.9899999595236</v>
      </c>
      <c r="F34" s="11">
        <v>1386.9519999703471</v>
      </c>
      <c r="G34" s="11"/>
    </row>
    <row r="35" spans="1:7" x14ac:dyDescent="0.3">
      <c r="A35" t="str">
        <f>name!A34</f>
        <v>Motor vehicle trade</v>
      </c>
      <c r="B35" s="11">
        <v>588.96700000375608</v>
      </c>
      <c r="C35" s="11">
        <v>668.92500000421637</v>
      </c>
      <c r="D35" s="11">
        <v>620.00000000000102</v>
      </c>
      <c r="E35" s="11">
        <v>635.63400000380739</v>
      </c>
      <c r="F35" s="11">
        <v>659.12900000167406</v>
      </c>
      <c r="G35" s="11"/>
    </row>
    <row r="36" spans="1:7" x14ac:dyDescent="0.3">
      <c r="A36" t="str">
        <f>name!A35</f>
        <v>Wholesale trade</v>
      </c>
      <c r="B36" s="11">
        <v>1232.9220000086043</v>
      </c>
      <c r="C36" s="11">
        <v>1260.8950000032105</v>
      </c>
      <c r="D36" s="11">
        <v>1255.9939999991977</v>
      </c>
      <c r="E36" s="11">
        <v>1270.337000016068</v>
      </c>
      <c r="F36" s="11">
        <v>1277.4459999991575</v>
      </c>
      <c r="G36" s="11"/>
    </row>
    <row r="37" spans="1:7" x14ac:dyDescent="0.3">
      <c r="A37" t="str">
        <f>name!A36</f>
        <v>Retail trade</v>
      </c>
      <c r="B37" s="11">
        <v>3148.8000000775019</v>
      </c>
      <c r="C37" s="11">
        <v>3061.7340000542335</v>
      </c>
      <c r="D37" s="11">
        <v>3103.9990000393013</v>
      </c>
      <c r="E37" s="11">
        <v>3101.2180000948324</v>
      </c>
      <c r="F37" s="11">
        <v>3122.3459999888278</v>
      </c>
      <c r="G37" s="11"/>
    </row>
    <row r="38" spans="1:7" x14ac:dyDescent="0.3">
      <c r="A38" t="str">
        <f>name!A37</f>
        <v>Land transport, etc</v>
      </c>
      <c r="B38" s="11">
        <v>745.9620000069923</v>
      </c>
      <c r="C38" s="11">
        <v>856.84799998662004</v>
      </c>
      <c r="D38" s="11">
        <v>804.59700000234716</v>
      </c>
      <c r="E38" s="11">
        <v>872.47600001788794</v>
      </c>
      <c r="F38" s="11">
        <v>879.76600001214297</v>
      </c>
      <c r="G38" s="11"/>
    </row>
    <row r="39" spans="1:7" x14ac:dyDescent="0.3">
      <c r="A39" t="str">
        <f>name!A38</f>
        <v>Water transport</v>
      </c>
      <c r="B39" s="11">
        <v>17.999000000065447</v>
      </c>
      <c r="C39" s="11">
        <v>18.998000000093981</v>
      </c>
      <c r="D39" s="11">
        <v>18.993000000048372</v>
      </c>
      <c r="E39" s="11">
        <v>15.960000000221989</v>
      </c>
      <c r="F39" s="11">
        <v>15.074000000063839</v>
      </c>
      <c r="G39" s="11"/>
    </row>
    <row r="40" spans="1:7" x14ac:dyDescent="0.3">
      <c r="A40" t="str">
        <f>name!A39</f>
        <v>Air transport</v>
      </c>
      <c r="B40" s="11">
        <v>76.998000000534489</v>
      </c>
      <c r="C40" s="11">
        <v>80.993000000372973</v>
      </c>
      <c r="D40" s="11">
        <v>75.954999999799057</v>
      </c>
      <c r="E40" s="11">
        <v>81.600000000592686</v>
      </c>
      <c r="F40" s="11">
        <v>83.943999999784609</v>
      </c>
      <c r="G40" s="11"/>
    </row>
    <row r="41" spans="1:7" x14ac:dyDescent="0.3">
      <c r="A41" t="str">
        <f>name!A40</f>
        <v>Warehousing, etc</v>
      </c>
      <c r="B41" s="11">
        <v>483.5590000031512</v>
      </c>
      <c r="C41" s="11">
        <v>551.14600000169503</v>
      </c>
      <c r="D41" s="11">
        <v>567.38099999990709</v>
      </c>
      <c r="E41" s="11">
        <v>595.8530000044766</v>
      </c>
      <c r="F41" s="11">
        <v>610.64600000094879</v>
      </c>
      <c r="G41" s="11"/>
    </row>
    <row r="42" spans="1:7" x14ac:dyDescent="0.3">
      <c r="A42" t="str">
        <f>name!A41</f>
        <v>Postal and courier</v>
      </c>
      <c r="B42" s="11">
        <v>284.39000000275649</v>
      </c>
      <c r="C42" s="11">
        <v>303.7790000018789</v>
      </c>
      <c r="D42" s="11">
        <v>321.07600000033125</v>
      </c>
      <c r="E42" s="11">
        <v>338.53100000481436</v>
      </c>
      <c r="F42" s="11">
        <v>351.11799999924705</v>
      </c>
      <c r="G42" s="11"/>
    </row>
    <row r="43" spans="1:7" x14ac:dyDescent="0.3">
      <c r="A43" t="str">
        <f>name!A42</f>
        <v>Accommodation</v>
      </c>
      <c r="B43" s="11">
        <v>491.96700000671757</v>
      </c>
      <c r="C43" s="11">
        <v>561.15900000596093</v>
      </c>
      <c r="D43" s="11">
        <v>514.37500000199907</v>
      </c>
      <c r="E43" s="11">
        <v>571.60000001173648</v>
      </c>
      <c r="F43" s="11">
        <v>624.00799999742401</v>
      </c>
      <c r="G43" s="11"/>
    </row>
    <row r="44" spans="1:7" x14ac:dyDescent="0.3">
      <c r="A44" t="str">
        <f>name!A43</f>
        <v>Food and beverage services</v>
      </c>
      <c r="B44" s="11">
        <v>1751.8870000304071</v>
      </c>
      <c r="C44" s="11">
        <v>1963.6150000261712</v>
      </c>
      <c r="D44" s="11">
        <v>1901.6210000084816</v>
      </c>
      <c r="E44" s="11">
        <v>1942.1760000372628</v>
      </c>
      <c r="F44" s="11">
        <v>2235.4209999907998</v>
      </c>
      <c r="G44" s="11"/>
    </row>
    <row r="45" spans="1:7" x14ac:dyDescent="0.3">
      <c r="A45" t="str">
        <f>name!A44</f>
        <v>Publishing activities</v>
      </c>
      <c r="B45" s="11">
        <v>172.90099999936766</v>
      </c>
      <c r="C45" s="11">
        <v>157.64899999905901</v>
      </c>
      <c r="D45" s="11">
        <v>158.74899999987559</v>
      </c>
      <c r="E45" s="11">
        <v>159.24000000193365</v>
      </c>
      <c r="F45" s="11">
        <v>159.76500000097872</v>
      </c>
      <c r="G45" s="11"/>
    </row>
    <row r="46" spans="1:7" x14ac:dyDescent="0.3">
      <c r="A46" t="str">
        <f>name!A45</f>
        <v>Film and music</v>
      </c>
      <c r="B46" s="11">
        <v>151.01900000042585</v>
      </c>
      <c r="C46" s="11">
        <v>172.89599999991827</v>
      </c>
      <c r="D46" s="11">
        <v>170.32400000070891</v>
      </c>
      <c r="E46" s="11">
        <v>172.98700000279101</v>
      </c>
      <c r="F46" s="11">
        <v>176.48100000183862</v>
      </c>
      <c r="G46" s="11"/>
    </row>
    <row r="47" spans="1:7" x14ac:dyDescent="0.3">
      <c r="A47" t="str">
        <f>name!A46</f>
        <v>Broadcasting</v>
      </c>
      <c r="B47" s="11">
        <v>40.814999999950395</v>
      </c>
      <c r="C47" s="11">
        <v>49.0179999999228</v>
      </c>
      <c r="D47" s="11">
        <v>48.450000000205002</v>
      </c>
      <c r="E47" s="11">
        <v>49.169000000922019</v>
      </c>
      <c r="F47" s="11">
        <v>49.487000000676268</v>
      </c>
      <c r="G47" s="11"/>
    </row>
    <row r="48" spans="1:7" x14ac:dyDescent="0.3">
      <c r="A48" t="str">
        <f>name!A47</f>
        <v>Telecommunications</v>
      </c>
      <c r="B48" s="11">
        <v>223.62799999783326</v>
      </c>
      <c r="C48" s="11">
        <v>218.62899999816361</v>
      </c>
      <c r="D48" s="11">
        <v>209.64699999898374</v>
      </c>
      <c r="E48" s="11">
        <v>224.62700000098158</v>
      </c>
      <c r="F48" s="11">
        <v>241.69499999919952</v>
      </c>
      <c r="G48" s="11"/>
    </row>
    <row r="49" spans="1:7" x14ac:dyDescent="0.3">
      <c r="A49" t="str">
        <f>name!A48</f>
        <v>Computing services</v>
      </c>
      <c r="B49" s="11">
        <v>704.4549999903013</v>
      </c>
      <c r="C49" s="11">
        <v>801.92699998980493</v>
      </c>
      <c r="D49" s="11">
        <v>805.4179999971567</v>
      </c>
      <c r="E49" s="11">
        <v>866.1070000049325</v>
      </c>
      <c r="F49" s="11">
        <v>936.36099999820738</v>
      </c>
      <c r="G49" s="11"/>
    </row>
    <row r="50" spans="1:7" x14ac:dyDescent="0.3">
      <c r="A50" t="str">
        <f>name!A49</f>
        <v>Information services</v>
      </c>
      <c r="B50" s="11">
        <v>97.096999999287135</v>
      </c>
      <c r="C50" s="11">
        <v>96.717999999274724</v>
      </c>
      <c r="D50" s="11">
        <v>99.417999999905234</v>
      </c>
      <c r="E50" s="11">
        <v>107.66900000092213</v>
      </c>
      <c r="F50" s="11">
        <v>117.61600000012417</v>
      </c>
      <c r="G50" s="11"/>
    </row>
    <row r="51" spans="1:7" x14ac:dyDescent="0.3">
      <c r="A51" t="str">
        <f>name!A50</f>
        <v>Financial services</v>
      </c>
      <c r="B51" s="11">
        <v>527.99199999534403</v>
      </c>
      <c r="C51" s="11">
        <v>507.0129999953034</v>
      </c>
      <c r="D51" s="11">
        <v>505.38199999869619</v>
      </c>
      <c r="E51" s="11">
        <v>507.47400000629165</v>
      </c>
      <c r="F51" s="11">
        <v>499.68800000140004</v>
      </c>
      <c r="G51" s="11"/>
    </row>
    <row r="52" spans="1:7" x14ac:dyDescent="0.3">
      <c r="A52" t="str">
        <f>name!A51</f>
        <v>Insurance and pensions</v>
      </c>
      <c r="B52" s="11">
        <v>123.183999998994</v>
      </c>
      <c r="C52" s="11">
        <v>137.30699999876853</v>
      </c>
      <c r="D52" s="11">
        <v>137.4299999993103</v>
      </c>
      <c r="E52" s="11">
        <v>137.05200000155395</v>
      </c>
      <c r="F52" s="11">
        <v>132.92300000002928</v>
      </c>
      <c r="G52" s="11"/>
    </row>
    <row r="53" spans="1:7" x14ac:dyDescent="0.3">
      <c r="A53" t="str">
        <f>name!A52</f>
        <v>Auxiliary financial services</v>
      </c>
      <c r="B53" s="11">
        <v>461.74999999536465</v>
      </c>
      <c r="C53" s="11">
        <v>490.58199999467672</v>
      </c>
      <c r="D53" s="11">
        <v>507.18999999889752</v>
      </c>
      <c r="E53" s="11">
        <v>512.4220000074904</v>
      </c>
      <c r="F53" s="11">
        <v>503.50600000234249</v>
      </c>
      <c r="G53" s="11"/>
    </row>
    <row r="54" spans="1:7" x14ac:dyDescent="0.3">
      <c r="A54" t="str">
        <f>name!A53</f>
        <v>Real estate</v>
      </c>
      <c r="B54" s="11">
        <v>567.9639999983068</v>
      </c>
      <c r="C54" s="11">
        <v>589.93499999883011</v>
      </c>
      <c r="D54" s="11">
        <v>642.99899999800766</v>
      </c>
      <c r="E54" s="11">
        <v>618.73400000524055</v>
      </c>
      <c r="F54" s="11">
        <v>672.2139999999257</v>
      </c>
      <c r="G54" s="11"/>
    </row>
    <row r="55" spans="1:7" x14ac:dyDescent="0.3">
      <c r="A55" t="str">
        <f>name!A54</f>
        <v>Legal and accounting</v>
      </c>
      <c r="B55" s="11">
        <v>740.96199999002204</v>
      </c>
      <c r="C55" s="11">
        <v>854.15599998887603</v>
      </c>
      <c r="D55" s="11">
        <v>820.99699999628922</v>
      </c>
      <c r="E55" s="11">
        <v>861.8900000120243</v>
      </c>
      <c r="F55" s="11">
        <v>907.00100000541943</v>
      </c>
      <c r="G55" s="11"/>
    </row>
    <row r="56" spans="1:7" x14ac:dyDescent="0.3">
      <c r="A56" t="str">
        <f>name!A55</f>
        <v>Head offices, etc</v>
      </c>
      <c r="B56" s="11">
        <v>828.948999987717</v>
      </c>
      <c r="C56" s="11">
        <v>872.33799998848269</v>
      </c>
      <c r="D56" s="11">
        <v>881.99899999574052</v>
      </c>
      <c r="E56" s="11">
        <v>912.96800000932888</v>
      </c>
      <c r="F56" s="11">
        <v>945.97300000301641</v>
      </c>
      <c r="G56" s="11"/>
    </row>
    <row r="57" spans="1:7" x14ac:dyDescent="0.3">
      <c r="A57" t="str">
        <f>name!A56</f>
        <v>Architectural and related</v>
      </c>
      <c r="B57" s="11">
        <v>590.96499999156015</v>
      </c>
      <c r="C57" s="11">
        <v>658.18599999187165</v>
      </c>
      <c r="D57" s="11">
        <v>674.00099999701069</v>
      </c>
      <c r="E57" s="11">
        <v>666.62300000517212</v>
      </c>
      <c r="F57" s="11">
        <v>695.60100000011766</v>
      </c>
      <c r="G57" s="11"/>
    </row>
    <row r="58" spans="1:7" x14ac:dyDescent="0.3">
      <c r="A58" t="str">
        <f>name!A57</f>
        <v>Scientific research and development</v>
      </c>
      <c r="B58" s="11">
        <v>162.02899999906302</v>
      </c>
      <c r="C58" s="11">
        <v>183.59899999842276</v>
      </c>
      <c r="D58" s="11">
        <v>167.6040000005236</v>
      </c>
      <c r="E58" s="11">
        <v>187.49699999940864</v>
      </c>
      <c r="F58" s="11">
        <v>212.77300000038647</v>
      </c>
      <c r="G58" s="11"/>
    </row>
    <row r="59" spans="1:7" x14ac:dyDescent="0.3">
      <c r="A59" t="str">
        <f>name!A58</f>
        <v>Advertising, etc</v>
      </c>
      <c r="B59" s="11">
        <v>269.21499999660688</v>
      </c>
      <c r="C59" s="11">
        <v>249.60199999620266</v>
      </c>
      <c r="D59" s="11">
        <v>234.44699999980119</v>
      </c>
      <c r="E59" s="11">
        <v>263.67200000495296</v>
      </c>
      <c r="F59" s="11">
        <v>294.4100000024614</v>
      </c>
      <c r="G59" s="11"/>
    </row>
    <row r="60" spans="1:7" x14ac:dyDescent="0.3">
      <c r="A60" t="str">
        <f>name!A59</f>
        <v>Other professional</v>
      </c>
      <c r="B60" s="11">
        <v>231.74099999903342</v>
      </c>
      <c r="C60" s="11">
        <v>273.93199999838373</v>
      </c>
      <c r="D60" s="11">
        <v>259.66499999946109</v>
      </c>
      <c r="E60" s="11">
        <v>291.01900000384632</v>
      </c>
      <c r="F60" s="11">
        <v>327.76600000213443</v>
      </c>
      <c r="G60" s="11"/>
    </row>
    <row r="61" spans="1:7" x14ac:dyDescent="0.3">
      <c r="A61" t="str">
        <f>name!A60</f>
        <v>Veterinary</v>
      </c>
      <c r="B61" s="11">
        <v>81.982999998248204</v>
      </c>
      <c r="C61" s="11">
        <v>119.76499999736598</v>
      </c>
      <c r="D61" s="11">
        <v>113.28300000102203</v>
      </c>
      <c r="E61" s="11">
        <v>128.50799999935066</v>
      </c>
      <c r="F61" s="11">
        <v>148.57200000021123</v>
      </c>
      <c r="G61" s="11"/>
    </row>
    <row r="62" spans="1:7" x14ac:dyDescent="0.3">
      <c r="A62" t="str">
        <f>name!A61</f>
        <v>Rental and leasing</v>
      </c>
      <c r="B62" s="11">
        <v>172.62000000037156</v>
      </c>
      <c r="C62" s="11">
        <v>171.4400000000621</v>
      </c>
      <c r="D62" s="11">
        <v>161.10999999995076</v>
      </c>
      <c r="E62" s="11">
        <v>170.87100000132665</v>
      </c>
      <c r="F62" s="11">
        <v>183.41500000032084</v>
      </c>
      <c r="G62" s="11"/>
    </row>
    <row r="63" spans="1:7" x14ac:dyDescent="0.3">
      <c r="A63" t="str">
        <f>name!A62</f>
        <v>Employment activities</v>
      </c>
      <c r="B63" s="11">
        <v>1015.2280000068804</v>
      </c>
      <c r="C63" s="11">
        <v>1038.1160000051148</v>
      </c>
      <c r="D63" s="11">
        <v>976.62699999978281</v>
      </c>
      <c r="E63" s="11">
        <v>1036.02600000606</v>
      </c>
      <c r="F63" s="11">
        <v>1109.7480000011983</v>
      </c>
      <c r="G63" s="11"/>
    </row>
    <row r="64" spans="1:7" x14ac:dyDescent="0.3">
      <c r="A64" t="str">
        <f>name!A63</f>
        <v>Travel, etc</v>
      </c>
      <c r="B64" s="11">
        <v>98.2930000009286</v>
      </c>
      <c r="C64" s="11">
        <v>104.82400000071267</v>
      </c>
      <c r="D64" s="11">
        <v>98.161999999480201</v>
      </c>
      <c r="E64" s="11">
        <v>103.80100000076877</v>
      </c>
      <c r="F64" s="11">
        <v>111.3149999998835</v>
      </c>
      <c r="G64" s="11"/>
    </row>
    <row r="65" spans="1:7" x14ac:dyDescent="0.3">
      <c r="A65" t="str">
        <f>name!A64</f>
        <v>Security, etc</v>
      </c>
      <c r="B65" s="11">
        <v>199.5560000015499</v>
      </c>
      <c r="C65" s="11">
        <v>221.7190000010244</v>
      </c>
      <c r="D65" s="11">
        <v>209.47500000018161</v>
      </c>
      <c r="E65" s="11">
        <v>221.85600000147312</v>
      </c>
      <c r="F65" s="11">
        <v>237.6060000003896</v>
      </c>
      <c r="G65" s="11"/>
    </row>
    <row r="66" spans="1:7" x14ac:dyDescent="0.3">
      <c r="A66" t="str">
        <f>name!A65</f>
        <v>Services to buildings</v>
      </c>
      <c r="B66" s="11">
        <v>867.77200000728669</v>
      </c>
      <c r="C66" s="11">
        <v>899.51500000582996</v>
      </c>
      <c r="D66" s="11">
        <v>849.80400000089367</v>
      </c>
      <c r="E66" s="11">
        <v>897.85200000678265</v>
      </c>
      <c r="F66" s="11">
        <v>956.54700000012178</v>
      </c>
      <c r="G66" s="11"/>
    </row>
    <row r="67" spans="1:7" x14ac:dyDescent="0.3">
      <c r="A67" t="str">
        <f>name!A66</f>
        <v>Office administrative</v>
      </c>
      <c r="B67" s="11">
        <v>492.34600000321279</v>
      </c>
      <c r="C67" s="11">
        <v>576.06000000266215</v>
      </c>
      <c r="D67" s="11">
        <v>541.83799999943778</v>
      </c>
      <c r="E67" s="11">
        <v>574.21600000250976</v>
      </c>
      <c r="F67" s="11">
        <v>615.36700000032067</v>
      </c>
      <c r="G67" s="11"/>
    </row>
    <row r="68" spans="1:7" x14ac:dyDescent="0.3">
      <c r="A68" t="str">
        <f>name!A67</f>
        <v>Public administration and defence</v>
      </c>
      <c r="B68" s="11">
        <v>1330.9139999902939</v>
      </c>
      <c r="C68" s="11">
        <v>1358.8989999937271</v>
      </c>
      <c r="D68" s="11">
        <v>1402.9949999971047</v>
      </c>
      <c r="E68" s="11">
        <v>1426.146000000607</v>
      </c>
      <c r="F68" s="11">
        <v>1451.2490000022112</v>
      </c>
      <c r="G68" s="11"/>
    </row>
    <row r="69" spans="1:7" x14ac:dyDescent="0.3">
      <c r="A69" t="str">
        <f>name!A68</f>
        <v xml:space="preserve">Education </v>
      </c>
      <c r="B69" s="11">
        <v>2955.812999982074</v>
      </c>
      <c r="C69" s="11">
        <v>2945.7029999933557</v>
      </c>
      <c r="D69" s="11">
        <v>2955.9990000195403</v>
      </c>
      <c r="E69" s="11">
        <v>2996.5779997995442</v>
      </c>
      <c r="F69" s="11">
        <v>3100.350000033804</v>
      </c>
      <c r="G69" s="11"/>
    </row>
    <row r="70" spans="1:7" x14ac:dyDescent="0.3">
      <c r="A70" t="str">
        <f>name!A69</f>
        <v>Health</v>
      </c>
      <c r="B70" s="11">
        <v>2378.4149999686806</v>
      </c>
      <c r="C70" s="11">
        <v>2569.3049999749583</v>
      </c>
      <c r="D70" s="11">
        <v>2661.3899999955383</v>
      </c>
      <c r="E70" s="11">
        <v>2833.5979999752594</v>
      </c>
      <c r="F70" s="11">
        <v>3030.0579999967026</v>
      </c>
      <c r="G70" s="11"/>
    </row>
    <row r="71" spans="1:7" x14ac:dyDescent="0.3">
      <c r="A71" t="str">
        <f>name!A70</f>
        <v>Residential care</v>
      </c>
      <c r="B71" s="11">
        <v>804.71899998795732</v>
      </c>
      <c r="C71" s="11">
        <v>799.61599999080568</v>
      </c>
      <c r="D71" s="11">
        <v>764.89099999917812</v>
      </c>
      <c r="E71" s="11">
        <v>827.17899999163762</v>
      </c>
      <c r="F71" s="11">
        <v>901.25399999790034</v>
      </c>
      <c r="G71" s="11"/>
    </row>
    <row r="72" spans="1:7" x14ac:dyDescent="0.3">
      <c r="A72" t="str">
        <f>name!A71</f>
        <v>Social work</v>
      </c>
      <c r="B72" s="11">
        <v>1042.6019999840607</v>
      </c>
      <c r="C72" s="11">
        <v>1040.6549999877222</v>
      </c>
      <c r="D72" s="11">
        <v>995.71499999842206</v>
      </c>
      <c r="E72" s="11">
        <v>1068.0589999881277</v>
      </c>
      <c r="F72" s="11">
        <v>1146.9959999976561</v>
      </c>
      <c r="G72" s="11"/>
    </row>
    <row r="73" spans="1:7" x14ac:dyDescent="0.3">
      <c r="A73" t="str">
        <f>name!A72</f>
        <v>Arts and entertainment</v>
      </c>
      <c r="B73" s="11">
        <v>167.76300000156772</v>
      </c>
      <c r="C73" s="11">
        <v>191.10900000024125</v>
      </c>
      <c r="D73" s="11">
        <v>198.39800000076798</v>
      </c>
      <c r="E73" s="11">
        <v>190.98300000414022</v>
      </c>
      <c r="F73" s="11">
        <v>201.4500000029692</v>
      </c>
      <c r="G73" s="11"/>
    </row>
    <row r="74" spans="1:7" x14ac:dyDescent="0.3">
      <c r="A74" t="str">
        <f>name!A73</f>
        <v>Libraries, etc</v>
      </c>
      <c r="B74" s="11">
        <v>187.94400000153263</v>
      </c>
      <c r="C74" s="11">
        <v>189.52200000052045</v>
      </c>
      <c r="D74" s="11">
        <v>196.25800000001627</v>
      </c>
      <c r="E74" s="11">
        <v>190.02200000318496</v>
      </c>
      <c r="F74" s="11">
        <v>204.89800000229093</v>
      </c>
      <c r="G74" s="11"/>
    </row>
    <row r="75" spans="1:7" x14ac:dyDescent="0.3">
      <c r="A75" t="str">
        <f>name!A74</f>
        <v>Gambling and betting</v>
      </c>
      <c r="B75" s="11">
        <v>112.95500000024826</v>
      </c>
      <c r="C75" s="11">
        <v>107.1590000001751</v>
      </c>
      <c r="D75" s="11">
        <v>100.1820000001414</v>
      </c>
      <c r="E75" s="11">
        <v>107.59100000113791</v>
      </c>
      <c r="F75" s="11">
        <v>118.35600000080578</v>
      </c>
      <c r="G75" s="11"/>
    </row>
    <row r="76" spans="1:7" x14ac:dyDescent="0.3">
      <c r="A76" t="str">
        <f>name!A75</f>
        <v>Sport and recreation</v>
      </c>
      <c r="B76" s="11">
        <v>513.2830000022991</v>
      </c>
      <c r="C76" s="11">
        <v>541.04400000094495</v>
      </c>
      <c r="D76" s="11">
        <v>505.15800000099483</v>
      </c>
      <c r="E76" s="11">
        <v>542.14500000662429</v>
      </c>
      <c r="F76" s="11">
        <v>594.05900000410713</v>
      </c>
      <c r="G76" s="11"/>
    </row>
    <row r="77" spans="1:7" x14ac:dyDescent="0.3">
      <c r="A77" t="str">
        <f>name!A76</f>
        <v>Membership organisations</v>
      </c>
      <c r="B77" s="11">
        <v>411.79499999766404</v>
      </c>
      <c r="C77" s="11">
        <v>420.55199999814334</v>
      </c>
      <c r="D77" s="11">
        <v>400.05599999843645</v>
      </c>
      <c r="E77" s="11">
        <v>395.31900000247947</v>
      </c>
      <c r="F77" s="11">
        <v>396.27400000287605</v>
      </c>
      <c r="G77" s="11"/>
    </row>
    <row r="78" spans="1:7" x14ac:dyDescent="0.3">
      <c r="A78" t="str">
        <f>name!A77</f>
        <v>Repair of goods</v>
      </c>
      <c r="B78" s="11">
        <v>68.776000000100069</v>
      </c>
      <c r="C78" s="11">
        <v>76.08200000017743</v>
      </c>
      <c r="D78" s="11">
        <v>88.583999999823163</v>
      </c>
      <c r="E78" s="11">
        <v>89.433000000915385</v>
      </c>
      <c r="F78" s="11">
        <v>92.124000000225379</v>
      </c>
      <c r="G78" s="11"/>
    </row>
    <row r="79" spans="1:7" x14ac:dyDescent="0.3">
      <c r="A79" t="str">
        <f>name!A78</f>
        <v>Other personal service</v>
      </c>
      <c r="B79" s="11">
        <v>481.38900000547937</v>
      </c>
      <c r="C79" s="11">
        <v>508.162000004942</v>
      </c>
      <c r="D79" s="11">
        <v>511.35799999848638</v>
      </c>
      <c r="E79" s="11">
        <v>501.97300000550638</v>
      </c>
      <c r="F79" s="11">
        <v>503.7620000013444</v>
      </c>
      <c r="G79" s="11"/>
    </row>
    <row r="80" spans="1:7" x14ac:dyDescent="0.3">
      <c r="B80" s="11"/>
      <c r="C80" s="11"/>
      <c r="D80" s="11"/>
      <c r="E80" s="11"/>
      <c r="F80" s="11"/>
      <c r="G80" s="11"/>
    </row>
    <row r="81" spans="1:7" x14ac:dyDescent="0.3">
      <c r="A81" s="23" t="str">
        <f>name!A3</f>
        <v>All industries</v>
      </c>
      <c r="B81" s="33">
        <f>SUM(B5:B79)</f>
        <v>33655.985000000052</v>
      </c>
      <c r="C81" s="33">
        <f t="shared" ref="C81:F81" si="0">SUM(C5:C79)</f>
        <v>35365.004000000197</v>
      </c>
      <c r="D81" s="33">
        <f t="shared" si="0"/>
        <v>34974.967999999812</v>
      </c>
      <c r="E81" s="33">
        <f t="shared" si="0"/>
        <v>36022.323999999811</v>
      </c>
      <c r="F81" s="33">
        <f t="shared" si="0"/>
        <v>37567.872000000105</v>
      </c>
      <c r="G81" s="11"/>
    </row>
    <row r="82" spans="1:7" x14ac:dyDescent="0.3">
      <c r="B82" s="11"/>
      <c r="C82" s="11"/>
      <c r="D82" s="11"/>
      <c r="E82" s="11"/>
      <c r="F82" s="11"/>
      <c r="G82" s="11"/>
    </row>
    <row r="83" spans="1:7" x14ac:dyDescent="0.3">
      <c r="B83" s="11"/>
      <c r="C83" s="11"/>
      <c r="D83" s="11"/>
      <c r="E83" s="11"/>
      <c r="F83" s="11"/>
      <c r="G83" s="11"/>
    </row>
    <row r="84" spans="1:7" x14ac:dyDescent="0.3">
      <c r="B84" s="11"/>
      <c r="C84" s="11"/>
      <c r="D84" s="11"/>
      <c r="E84" s="11"/>
      <c r="F84" s="11"/>
      <c r="G84" s="11"/>
    </row>
    <row r="85" spans="1:7" ht="15.45" x14ac:dyDescent="0.4">
      <c r="A85" s="18" t="str">
        <f>CONCATENATE($A$1," (Continued)")</f>
        <v>Industry Table 3  Employment by Industry (SIC 2007), 2015-2035, United Kingdom (Continued)</v>
      </c>
      <c r="B85" s="17"/>
      <c r="C85" s="17"/>
      <c r="D85" s="17"/>
      <c r="E85" s="17"/>
      <c r="F85" s="17"/>
      <c r="G85" s="11"/>
    </row>
    <row r="87" spans="1:7" x14ac:dyDescent="0.3">
      <c r="A87" s="35"/>
      <c r="B87" s="22">
        <f>B$3</f>
        <v>2015</v>
      </c>
      <c r="C87" s="22">
        <f>C$3</f>
        <v>2019</v>
      </c>
      <c r="D87" s="22">
        <f>D$3</f>
        <v>2020</v>
      </c>
      <c r="E87" s="22">
        <f>E$3</f>
        <v>2025</v>
      </c>
      <c r="F87" s="22">
        <f>F$3</f>
        <v>2035</v>
      </c>
      <c r="G87" s="11"/>
    </row>
    <row r="88" spans="1:7" x14ac:dyDescent="0.3">
      <c r="A88" s="27" t="s">
        <v>463</v>
      </c>
    </row>
    <row r="89" spans="1:7" x14ac:dyDescent="0.3">
      <c r="A89" t="str">
        <f>$A$5</f>
        <v>Agriculture, etc</v>
      </c>
      <c r="B89" s="17">
        <f t="shared" ref="B89:F98" si="1">B5/B$81*100</f>
        <v>1.1498311518783646</v>
      </c>
      <c r="C89" s="17">
        <f t="shared" si="1"/>
        <v>1.1194824126214253</v>
      </c>
      <c r="D89" s="17">
        <f t="shared" si="1"/>
        <v>1.0636235607048894</v>
      </c>
      <c r="E89" s="17">
        <f t="shared" si="1"/>
        <v>1.0581521614131779</v>
      </c>
      <c r="F89" s="17">
        <f t="shared" si="1"/>
        <v>1.0252856483249824</v>
      </c>
    </row>
    <row r="90" spans="1:7" x14ac:dyDescent="0.3">
      <c r="A90" t="str">
        <f>$A$6</f>
        <v>Coal, oil &amp; gas; Mining &amp; related</v>
      </c>
      <c r="B90" s="17">
        <f t="shared" si="1"/>
        <v>0.21987471173290055</v>
      </c>
      <c r="C90" s="17">
        <f t="shared" si="1"/>
        <v>0.17246993666360194</v>
      </c>
      <c r="D90" s="17">
        <f t="shared" si="1"/>
        <v>0.17724104851191902</v>
      </c>
      <c r="E90" s="17">
        <f t="shared" si="1"/>
        <v>0.15017076632854745</v>
      </c>
      <c r="F90" s="17">
        <f t="shared" si="1"/>
        <v>0.12483539126243609</v>
      </c>
    </row>
    <row r="91" spans="1:7" x14ac:dyDescent="0.3">
      <c r="A91" t="str">
        <f>$A$7</f>
        <v>Food products</v>
      </c>
      <c r="B91" s="17">
        <f t="shared" si="1"/>
        <v>1.1477572265430986</v>
      </c>
      <c r="C91" s="17">
        <f t="shared" si="1"/>
        <v>1.1460256020342954</v>
      </c>
      <c r="D91" s="17">
        <f t="shared" si="1"/>
        <v>1.1532648149959828</v>
      </c>
      <c r="E91" s="17">
        <f t="shared" si="1"/>
        <v>1.1380803748403285</v>
      </c>
      <c r="F91" s="17">
        <f t="shared" si="1"/>
        <v>1.0672230782739192</v>
      </c>
    </row>
    <row r="92" spans="1:7" x14ac:dyDescent="0.3">
      <c r="A92" t="str">
        <f>$A$8</f>
        <v>Beverages and tobacco</v>
      </c>
      <c r="B92" s="17">
        <f t="shared" si="1"/>
        <v>0.1203857204001751</v>
      </c>
      <c r="C92" s="17">
        <f t="shared" si="1"/>
        <v>0.13408735935674609</v>
      </c>
      <c r="D92" s="17">
        <f t="shared" si="1"/>
        <v>0.13983715438942809</v>
      </c>
      <c r="E92" s="17">
        <f t="shared" si="1"/>
        <v>0.13719547911546887</v>
      </c>
      <c r="F92" s="17">
        <f t="shared" si="1"/>
        <v>0.12764364188627433</v>
      </c>
    </row>
    <row r="93" spans="1:7" x14ac:dyDescent="0.3">
      <c r="A93" t="str">
        <f>$A$9</f>
        <v>Textiles</v>
      </c>
      <c r="B93" s="17">
        <f t="shared" si="1"/>
        <v>0.17126225840733264</v>
      </c>
      <c r="C93" s="17">
        <f t="shared" si="1"/>
        <v>0.18427256504783657</v>
      </c>
      <c r="D93" s="17">
        <f t="shared" si="1"/>
        <v>0.19503663305703056</v>
      </c>
      <c r="E93" s="17">
        <f t="shared" si="1"/>
        <v>0.16747392533770422</v>
      </c>
      <c r="F93" s="17">
        <f t="shared" si="1"/>
        <v>0.1372981679668821</v>
      </c>
    </row>
    <row r="94" spans="1:7" x14ac:dyDescent="0.3">
      <c r="A94" t="str">
        <f>$A$10</f>
        <v>Wearing apparel; Leather, etc</v>
      </c>
      <c r="B94" s="17">
        <f t="shared" si="1"/>
        <v>0.16731645203793413</v>
      </c>
      <c r="C94" s="17">
        <f t="shared" si="1"/>
        <v>0.14043827055757879</v>
      </c>
      <c r="D94" s="17">
        <f t="shared" si="1"/>
        <v>0.15644903520710177</v>
      </c>
      <c r="E94" s="17">
        <f t="shared" si="1"/>
        <v>0.13447216787082159</v>
      </c>
      <c r="F94" s="17">
        <f t="shared" si="1"/>
        <v>0.11114816404862858</v>
      </c>
    </row>
    <row r="95" spans="1:7" x14ac:dyDescent="0.3">
      <c r="A95" t="str">
        <f>$A$11</f>
        <v xml:space="preserve">Wood and cork </v>
      </c>
      <c r="B95" s="17">
        <f t="shared" si="1"/>
        <v>0.23702173625269013</v>
      </c>
      <c r="C95" s="17">
        <f t="shared" si="1"/>
        <v>0.24684855118432139</v>
      </c>
      <c r="D95" s="17">
        <f t="shared" si="1"/>
        <v>0.25707528881723918</v>
      </c>
      <c r="E95" s="17">
        <f t="shared" si="1"/>
        <v>0.24722169507972966</v>
      </c>
      <c r="F95" s="17">
        <f t="shared" si="1"/>
        <v>0.22687204641264352</v>
      </c>
    </row>
    <row r="96" spans="1:7" x14ac:dyDescent="0.3">
      <c r="A96" t="str">
        <f>$A$12</f>
        <v>Paper, etc</v>
      </c>
      <c r="B96" s="17">
        <f t="shared" si="1"/>
        <v>0.19659801963944837</v>
      </c>
      <c r="C96" s="17">
        <f t="shared" si="1"/>
        <v>0.16838114877631327</v>
      </c>
      <c r="D96" s="17">
        <f t="shared" si="1"/>
        <v>0.15179713674086953</v>
      </c>
      <c r="E96" s="17">
        <f t="shared" si="1"/>
        <v>0.14603721847708667</v>
      </c>
      <c r="F96" s="17">
        <f t="shared" si="1"/>
        <v>0.13393891461359941</v>
      </c>
    </row>
    <row r="97" spans="1:6" x14ac:dyDescent="0.3">
      <c r="A97" t="str">
        <f>$A$13</f>
        <v>Printing and recording</v>
      </c>
      <c r="B97" s="17">
        <f t="shared" si="1"/>
        <v>0.36827922284833781</v>
      </c>
      <c r="C97" s="17">
        <f t="shared" si="1"/>
        <v>0.27409017117521123</v>
      </c>
      <c r="D97" s="17">
        <f t="shared" si="1"/>
        <v>0.26312818928070814</v>
      </c>
      <c r="E97" s="17">
        <f t="shared" si="1"/>
        <v>0.23757489938933735</v>
      </c>
      <c r="F97" s="17">
        <f t="shared" si="1"/>
        <v>0.19442144607025733</v>
      </c>
    </row>
    <row r="98" spans="1:6" x14ac:dyDescent="0.3">
      <c r="A98" t="str">
        <f>$A$14</f>
        <v>Coke and petroleum; Chemicals, etc</v>
      </c>
      <c r="B98" s="17">
        <f t="shared" si="1"/>
        <v>0.31479987883187222</v>
      </c>
      <c r="C98" s="17">
        <f t="shared" si="1"/>
        <v>0.32769118306778472</v>
      </c>
      <c r="D98" s="17">
        <f t="shared" si="1"/>
        <v>0.32319400549434618</v>
      </c>
      <c r="E98" s="17">
        <f t="shared" si="1"/>
        <v>0.29807071859302481</v>
      </c>
      <c r="F98" s="17">
        <f t="shared" si="1"/>
        <v>0.26408203264736874</v>
      </c>
    </row>
    <row r="99" spans="1:6" x14ac:dyDescent="0.3">
      <c r="A99" t="str">
        <f>$A$15</f>
        <v>Pharmaceuticals</v>
      </c>
      <c r="B99" s="17">
        <f t="shared" ref="B99:F108" si="2">B15/B$81*100</f>
        <v>0.12474155785326965</v>
      </c>
      <c r="C99" s="17">
        <f t="shared" si="2"/>
        <v>0.13841649784558369</v>
      </c>
      <c r="D99" s="17">
        <f t="shared" si="2"/>
        <v>0.14584144866072038</v>
      </c>
      <c r="E99" s="17">
        <f t="shared" si="2"/>
        <v>0.151017463504549</v>
      </c>
      <c r="F99" s="17">
        <f t="shared" si="2"/>
        <v>0.13864506352676143</v>
      </c>
    </row>
    <row r="100" spans="1:6" x14ac:dyDescent="0.3">
      <c r="A100" t="str">
        <f>$A$16</f>
        <v>Rubber and plastic</v>
      </c>
      <c r="B100" s="17">
        <f t="shared" si="2"/>
        <v>0.5382371070109484</v>
      </c>
      <c r="C100" s="17">
        <f t="shared" si="2"/>
        <v>0.4992449597901979</v>
      </c>
      <c r="D100" s="17">
        <f t="shared" si="2"/>
        <v>0.53232071577488316</v>
      </c>
      <c r="E100" s="17">
        <f t="shared" si="2"/>
        <v>0.50795723230174805</v>
      </c>
      <c r="F100" s="17">
        <f t="shared" si="2"/>
        <v>0.43333835890471162</v>
      </c>
    </row>
    <row r="101" spans="1:6" x14ac:dyDescent="0.3">
      <c r="A101" t="str">
        <f>$A$17</f>
        <v>Other non-metallic</v>
      </c>
      <c r="B101" s="17">
        <f t="shared" si="2"/>
        <v>0.25474221004046566</v>
      </c>
      <c r="C101" s="17">
        <f t="shared" si="2"/>
        <v>0.2636221955466525</v>
      </c>
      <c r="D101" s="17">
        <f t="shared" si="2"/>
        <v>0.26868073188772879</v>
      </c>
      <c r="E101" s="17">
        <f t="shared" si="2"/>
        <v>0.25598015275336433</v>
      </c>
      <c r="F101" s="17">
        <f t="shared" si="2"/>
        <v>0.21792291029965752</v>
      </c>
    </row>
    <row r="102" spans="1:6" x14ac:dyDescent="0.3">
      <c r="A102" t="str">
        <f>$A$18</f>
        <v>Basic metals</v>
      </c>
      <c r="B102" s="17">
        <f t="shared" si="2"/>
        <v>0.19991689442446819</v>
      </c>
      <c r="C102" s="17">
        <f t="shared" si="2"/>
        <v>0.20450443042481092</v>
      </c>
      <c r="D102" s="17">
        <f t="shared" si="2"/>
        <v>0.1763861513753531</v>
      </c>
      <c r="E102" s="17">
        <f t="shared" si="2"/>
        <v>0.16794585490995165</v>
      </c>
      <c r="F102" s="17">
        <f t="shared" si="2"/>
        <v>0.14155978810869674</v>
      </c>
    </row>
    <row r="103" spans="1:6" x14ac:dyDescent="0.3">
      <c r="A103" t="str">
        <f>$A$19</f>
        <v>Metal products</v>
      </c>
      <c r="B103" s="17">
        <f t="shared" si="2"/>
        <v>0.9880352632663294</v>
      </c>
      <c r="C103" s="17">
        <f t="shared" si="2"/>
        <v>0.90308204121645219</v>
      </c>
      <c r="D103" s="17">
        <f t="shared" si="2"/>
        <v>0.80485849193421521</v>
      </c>
      <c r="E103" s="17">
        <f t="shared" si="2"/>
        <v>0.76189698366269887</v>
      </c>
      <c r="F103" s="17">
        <f t="shared" si="2"/>
        <v>0.64138314781391415</v>
      </c>
    </row>
    <row r="104" spans="1:6" x14ac:dyDescent="0.3">
      <c r="A104" t="str">
        <f>$A$20</f>
        <v>Computer, etc</v>
      </c>
      <c r="B104" s="17">
        <f t="shared" si="2"/>
        <v>0.35639426390183326</v>
      </c>
      <c r="C104" s="17">
        <f t="shared" si="2"/>
        <v>0.35035765866034435</v>
      </c>
      <c r="D104" s="17">
        <f t="shared" si="2"/>
        <v>0.36616759735034121</v>
      </c>
      <c r="E104" s="17">
        <f t="shared" si="2"/>
        <v>0.37484255596804622</v>
      </c>
      <c r="F104" s="17">
        <f t="shared" si="2"/>
        <v>0.31156675576447296</v>
      </c>
    </row>
    <row r="105" spans="1:6" x14ac:dyDescent="0.3">
      <c r="A105" t="str">
        <f>$A$21</f>
        <v>Electrical equipment</v>
      </c>
      <c r="B105" s="17">
        <f t="shared" si="2"/>
        <v>0.26727787048801249</v>
      </c>
      <c r="C105" s="17">
        <f t="shared" si="2"/>
        <v>0.23165556548450081</v>
      </c>
      <c r="D105" s="17">
        <f t="shared" si="2"/>
        <v>0.20881219962743305</v>
      </c>
      <c r="E105" s="17">
        <f t="shared" si="2"/>
        <v>0.19966229830254323</v>
      </c>
      <c r="F105" s="17">
        <f t="shared" si="2"/>
        <v>0.18389383353966257</v>
      </c>
    </row>
    <row r="106" spans="1:6" x14ac:dyDescent="0.3">
      <c r="A106" t="str">
        <f>$A$22</f>
        <v>Machinery n.e.c.</v>
      </c>
      <c r="B106" s="17">
        <f t="shared" si="2"/>
        <v>0.54943570957571086</v>
      </c>
      <c r="C106" s="17">
        <f t="shared" si="2"/>
        <v>0.55654171564517041</v>
      </c>
      <c r="D106" s="17">
        <f t="shared" si="2"/>
        <v>0.52348010725692473</v>
      </c>
      <c r="E106" s="17">
        <f t="shared" si="2"/>
        <v>0.51763456461232982</v>
      </c>
      <c r="F106" s="17">
        <f t="shared" si="2"/>
        <v>0.43468791631358233</v>
      </c>
    </row>
    <row r="107" spans="1:6" x14ac:dyDescent="0.3">
      <c r="A107" t="str">
        <f>$A$23</f>
        <v>Motor vehicles, etc</v>
      </c>
      <c r="B107" s="17">
        <f t="shared" si="2"/>
        <v>0.46033120112179876</v>
      </c>
      <c r="C107" s="17">
        <f t="shared" si="2"/>
        <v>0.48043823209897157</v>
      </c>
      <c r="D107" s="17">
        <f t="shared" si="2"/>
        <v>0.4291697993817265</v>
      </c>
      <c r="E107" s="17">
        <f t="shared" si="2"/>
        <v>0.4133658894424212</v>
      </c>
      <c r="F107" s="17">
        <f t="shared" si="2"/>
        <v>0.36691990432674321</v>
      </c>
    </row>
    <row r="108" spans="1:6" x14ac:dyDescent="0.3">
      <c r="A108" t="str">
        <f>$A$24</f>
        <v>Other transport equipment</v>
      </c>
      <c r="B108" s="17">
        <f t="shared" si="2"/>
        <v>0.40983498180040362</v>
      </c>
      <c r="C108" s="17">
        <f t="shared" si="2"/>
        <v>0.40694750098058524</v>
      </c>
      <c r="D108" s="17">
        <f t="shared" si="2"/>
        <v>0.41194319319907641</v>
      </c>
      <c r="E108" s="17">
        <f t="shared" si="2"/>
        <v>0.34142439005379266</v>
      </c>
      <c r="F108" s="17">
        <f t="shared" si="2"/>
        <v>0.32427442257045491</v>
      </c>
    </row>
    <row r="109" spans="1:6" x14ac:dyDescent="0.3">
      <c r="A109" t="str">
        <f>$A$25</f>
        <v>Furniture</v>
      </c>
      <c r="B109" s="17">
        <f t="shared" ref="B109:F118" si="3">B25/B$81*100</f>
        <v>0.27397207361478026</v>
      </c>
      <c r="C109" s="17">
        <f t="shared" si="3"/>
        <v>0.26943302480600545</v>
      </c>
      <c r="D109" s="17">
        <f t="shared" si="3"/>
        <v>0.27977723953860323</v>
      </c>
      <c r="E109" s="17">
        <f t="shared" si="3"/>
        <v>0.23860481628145136</v>
      </c>
      <c r="F109" s="17">
        <f t="shared" si="3"/>
        <v>0.21550861331777246</v>
      </c>
    </row>
    <row r="110" spans="1:6" x14ac:dyDescent="0.3">
      <c r="A110" t="str">
        <f>$A$26</f>
        <v>Other manufacturing</v>
      </c>
      <c r="B110" s="17">
        <f t="shared" si="3"/>
        <v>0.31810686865979437</v>
      </c>
      <c r="C110" s="17">
        <f t="shared" si="3"/>
        <v>0.28466277000807766</v>
      </c>
      <c r="D110" s="17">
        <f t="shared" si="3"/>
        <v>0.29762428946249414</v>
      </c>
      <c r="E110" s="17">
        <f t="shared" si="3"/>
        <v>0.2528820739071041</v>
      </c>
      <c r="F110" s="17">
        <f t="shared" si="3"/>
        <v>0.22833340147703143</v>
      </c>
    </row>
    <row r="111" spans="1:6" x14ac:dyDescent="0.3">
      <c r="A111" t="str">
        <f>$A$27</f>
        <v>Repair and installation</v>
      </c>
      <c r="B111" s="17">
        <f t="shared" si="3"/>
        <v>0.37317582593375193</v>
      </c>
      <c r="C111" s="17">
        <f t="shared" si="3"/>
        <v>0.3865063891969856</v>
      </c>
      <c r="D111" s="17">
        <f t="shared" si="3"/>
        <v>0.4262191176259566</v>
      </c>
      <c r="E111" s="17">
        <f t="shared" si="3"/>
        <v>0.36356343916116235</v>
      </c>
      <c r="F111" s="17">
        <f t="shared" si="3"/>
        <v>0.33117659685353762</v>
      </c>
    </row>
    <row r="112" spans="1:6" x14ac:dyDescent="0.3">
      <c r="A112" t="str">
        <f>$A$28</f>
        <v>Electricity, gas, etc</v>
      </c>
      <c r="B112" s="17">
        <f t="shared" si="3"/>
        <v>0.39516299998158783</v>
      </c>
      <c r="C112" s="17">
        <f t="shared" si="3"/>
        <v>0.40716523034849195</v>
      </c>
      <c r="D112" s="17">
        <f t="shared" si="3"/>
        <v>0.4174213969244841</v>
      </c>
      <c r="E112" s="17">
        <f t="shared" si="3"/>
        <v>0.38869785303395105</v>
      </c>
      <c r="F112" s="17">
        <f t="shared" si="3"/>
        <v>0.36878852227640657</v>
      </c>
    </row>
    <row r="113" spans="1:6" x14ac:dyDescent="0.3">
      <c r="A113" t="str">
        <f>$A$29</f>
        <v>Water</v>
      </c>
      <c r="B113" s="17">
        <f t="shared" si="3"/>
        <v>0.11499589151772784</v>
      </c>
      <c r="C113" s="17">
        <f t="shared" si="3"/>
        <v>0.13275270660176575</v>
      </c>
      <c r="D113" s="17">
        <f t="shared" si="3"/>
        <v>0.1288893245015435</v>
      </c>
      <c r="E113" s="17">
        <f t="shared" si="3"/>
        <v>0.13152122000872454</v>
      </c>
      <c r="F113" s="17">
        <f t="shared" si="3"/>
        <v>0.13595393425533045</v>
      </c>
    </row>
    <row r="114" spans="1:6" x14ac:dyDescent="0.3">
      <c r="A114" t="str">
        <f>$A$30</f>
        <v>Sewerage</v>
      </c>
      <c r="B114" s="17">
        <f t="shared" si="3"/>
        <v>7.483067276172907E-2</v>
      </c>
      <c r="C114" s="17">
        <f t="shared" si="3"/>
        <v>6.881944647892424E-2</v>
      </c>
      <c r="D114" s="17">
        <f t="shared" si="3"/>
        <v>6.43746121512319E-2</v>
      </c>
      <c r="E114" s="17">
        <f t="shared" si="3"/>
        <v>6.5859160003754635E-2</v>
      </c>
      <c r="F114" s="17">
        <f t="shared" si="3"/>
        <v>6.8393546486275492E-2</v>
      </c>
    </row>
    <row r="115" spans="1:6" x14ac:dyDescent="0.3">
      <c r="A115" t="str">
        <f>$A$31</f>
        <v>Waste management</v>
      </c>
      <c r="B115" s="17">
        <f t="shared" si="3"/>
        <v>0.40435898696817385</v>
      </c>
      <c r="C115" s="17">
        <f t="shared" si="3"/>
        <v>0.42894947785184145</v>
      </c>
      <c r="D115" s="17">
        <f t="shared" si="3"/>
        <v>0.40716549047235634</v>
      </c>
      <c r="E115" s="17">
        <f t="shared" si="3"/>
        <v>0.41498155421817007</v>
      </c>
      <c r="F115" s="17">
        <f t="shared" si="3"/>
        <v>0.427761785391574</v>
      </c>
    </row>
    <row r="116" spans="1:6" x14ac:dyDescent="0.3">
      <c r="A116" t="str">
        <f>$A$32</f>
        <v>Construction</v>
      </c>
      <c r="B116" s="17">
        <f t="shared" si="3"/>
        <v>1.9473742931442808</v>
      </c>
      <c r="C116" s="17">
        <f t="shared" si="3"/>
        <v>2.1375849413366415</v>
      </c>
      <c r="D116" s="17">
        <f t="shared" si="3"/>
        <v>2.1642478700459455</v>
      </c>
      <c r="E116" s="17">
        <f t="shared" si="3"/>
        <v>2.2048632952677019</v>
      </c>
      <c r="F116" s="17">
        <f t="shared" si="3"/>
        <v>2.2741053844703956</v>
      </c>
    </row>
    <row r="117" spans="1:6" x14ac:dyDescent="0.3">
      <c r="A117" t="str">
        <f>$A$33</f>
        <v>Civil engineering</v>
      </c>
      <c r="B117" s="17">
        <f t="shared" si="3"/>
        <v>0.8860207181487445</v>
      </c>
      <c r="C117" s="17">
        <f t="shared" si="3"/>
        <v>0.88921239766673354</v>
      </c>
      <c r="D117" s="17">
        <f t="shared" si="3"/>
        <v>0.88646542863414224</v>
      </c>
      <c r="E117" s="17">
        <f t="shared" si="3"/>
        <v>0.89363751208821118</v>
      </c>
      <c r="F117" s="17">
        <f t="shared" si="3"/>
        <v>0.90973478612996816</v>
      </c>
    </row>
    <row r="118" spans="1:6" x14ac:dyDescent="0.3">
      <c r="A118" t="str">
        <f>$A$34</f>
        <v>Specialised construction</v>
      </c>
      <c r="B118" s="17">
        <f t="shared" si="3"/>
        <v>3.4713082977310039</v>
      </c>
      <c r="C118" s="17">
        <f t="shared" si="3"/>
        <v>3.5716297388571294</v>
      </c>
      <c r="D118" s="17">
        <f t="shared" si="3"/>
        <v>3.5797345117878345</v>
      </c>
      <c r="E118" s="17">
        <f t="shared" si="3"/>
        <v>3.6171736170035294</v>
      </c>
      <c r="F118" s="17">
        <f t="shared" si="3"/>
        <v>3.6918567013067527</v>
      </c>
    </row>
    <row r="119" spans="1:6" x14ac:dyDescent="0.3">
      <c r="A119" t="str">
        <f>$A$35</f>
        <v>Motor vehicle trade</v>
      </c>
      <c r="B119" s="17">
        <f t="shared" ref="B119:F128" si="4">B35/B$81*100</f>
        <v>1.749962153845015</v>
      </c>
      <c r="C119" s="17">
        <f t="shared" si="4"/>
        <v>1.8914885461463897</v>
      </c>
      <c r="D119" s="17">
        <f t="shared" si="4"/>
        <v>1.7726964038966508</v>
      </c>
      <c r="E119" s="17">
        <f t="shared" si="4"/>
        <v>1.7645557793656255</v>
      </c>
      <c r="F119" s="17">
        <f t="shared" si="4"/>
        <v>1.7545018253939753</v>
      </c>
    </row>
    <row r="120" spans="1:6" x14ac:dyDescent="0.3">
      <c r="A120" t="str">
        <f>$A$36</f>
        <v>Wholesale trade</v>
      </c>
      <c r="B120" s="17">
        <f t="shared" si="4"/>
        <v>3.6633068383189569</v>
      </c>
      <c r="C120" s="17">
        <f t="shared" si="4"/>
        <v>3.5653749678727689</v>
      </c>
      <c r="D120" s="17">
        <f t="shared" si="4"/>
        <v>3.5911226566360388</v>
      </c>
      <c r="E120" s="17">
        <f t="shared" si="4"/>
        <v>3.5265270503259996</v>
      </c>
      <c r="F120" s="17">
        <f t="shared" si="4"/>
        <v>3.4003682721213324</v>
      </c>
    </row>
    <row r="121" spans="1:6" x14ac:dyDescent="0.3">
      <c r="A121" t="str">
        <f>$A$37</f>
        <v>Retail trade</v>
      </c>
      <c r="B121" s="17">
        <f t="shared" si="4"/>
        <v>9.3558396822363008</v>
      </c>
      <c r="C121" s="17">
        <f t="shared" si="4"/>
        <v>8.6575248232807116</v>
      </c>
      <c r="D121" s="17">
        <f t="shared" si="4"/>
        <v>8.874915911400743</v>
      </c>
      <c r="E121" s="17">
        <f t="shared" si="4"/>
        <v>8.6091558115318954</v>
      </c>
      <c r="F121" s="17">
        <f t="shared" si="4"/>
        <v>8.3112133686699607</v>
      </c>
    </row>
    <row r="122" spans="1:6" x14ac:dyDescent="0.3">
      <c r="A122" t="str">
        <f>$A$38</f>
        <v>Land transport, etc</v>
      </c>
      <c r="B122" s="17">
        <f t="shared" si="4"/>
        <v>2.2164319362722296</v>
      </c>
      <c r="C122" s="17">
        <f t="shared" si="4"/>
        <v>2.4228697951981437</v>
      </c>
      <c r="D122" s="17">
        <f t="shared" si="4"/>
        <v>2.3004938846615999</v>
      </c>
      <c r="E122" s="17">
        <f t="shared" si="4"/>
        <v>2.4220425090227171</v>
      </c>
      <c r="F122" s="17">
        <f t="shared" si="4"/>
        <v>2.3418041884622598</v>
      </c>
    </row>
    <row r="123" spans="1:6" x14ac:dyDescent="0.3">
      <c r="A123" t="str">
        <f>$A$39</f>
        <v>Water transport</v>
      </c>
      <c r="B123" s="17">
        <f t="shared" si="4"/>
        <v>5.3479344015827851E-2</v>
      </c>
      <c r="C123" s="17">
        <f t="shared" si="4"/>
        <v>5.3719773367179251E-2</v>
      </c>
      <c r="D123" s="17">
        <f t="shared" si="4"/>
        <v>5.4304552902088354E-2</v>
      </c>
      <c r="E123" s="17">
        <f t="shared" si="4"/>
        <v>4.4305858778634251E-2</v>
      </c>
      <c r="F123" s="17">
        <f t="shared" si="4"/>
        <v>4.0124710816901728E-2</v>
      </c>
    </row>
    <row r="124" spans="1:6" x14ac:dyDescent="0.3">
      <c r="A124" t="str">
        <f>$A$40</f>
        <v>Air transport</v>
      </c>
      <c r="B124" s="17">
        <f t="shared" si="4"/>
        <v>0.22877951722564166</v>
      </c>
      <c r="C124" s="17">
        <f t="shared" si="4"/>
        <v>0.22902019182684816</v>
      </c>
      <c r="D124" s="17">
        <f t="shared" si="4"/>
        <v>0.21716960541550592</v>
      </c>
      <c r="E124" s="17">
        <f t="shared" si="4"/>
        <v>0.2265261952576772</v>
      </c>
      <c r="F124" s="17">
        <f t="shared" si="4"/>
        <v>0.22344624683502001</v>
      </c>
    </row>
    <row r="125" spans="1:6" x14ac:dyDescent="0.3">
      <c r="A125" t="str">
        <f>$A$41</f>
        <v>Warehousing, etc</v>
      </c>
      <c r="B125" s="17">
        <f t="shared" si="4"/>
        <v>1.4367697157077723</v>
      </c>
      <c r="C125" s="17">
        <f t="shared" si="4"/>
        <v>1.5584502690900077</v>
      </c>
      <c r="D125" s="17">
        <f t="shared" si="4"/>
        <v>1.6222488037727731</v>
      </c>
      <c r="E125" s="17">
        <f t="shared" si="4"/>
        <v>1.6541214831238531</v>
      </c>
      <c r="F125" s="17">
        <f t="shared" si="4"/>
        <v>1.6254474035711872</v>
      </c>
    </row>
    <row r="126" spans="1:6" x14ac:dyDescent="0.3">
      <c r="A126" t="str">
        <f>$A$42</f>
        <v>Postal and courier</v>
      </c>
      <c r="B126" s="17">
        <f t="shared" si="4"/>
        <v>0.84499086864566886</v>
      </c>
      <c r="C126" s="17">
        <f t="shared" si="4"/>
        <v>0.85898194724331778</v>
      </c>
      <c r="D126" s="17">
        <f t="shared" si="4"/>
        <v>0.91801656544856014</v>
      </c>
      <c r="E126" s="17">
        <f t="shared" si="4"/>
        <v>0.93978112018762627</v>
      </c>
      <c r="F126" s="17">
        <f t="shared" si="4"/>
        <v>0.93462307367115727</v>
      </c>
    </row>
    <row r="127" spans="1:6" x14ac:dyDescent="0.3">
      <c r="A127" t="str">
        <f>$A$43</f>
        <v>Accommodation</v>
      </c>
      <c r="B127" s="17">
        <f t="shared" si="4"/>
        <v>1.4617518994220993</v>
      </c>
      <c r="C127" s="17">
        <f t="shared" si="4"/>
        <v>1.586763570013898</v>
      </c>
      <c r="D127" s="17">
        <f t="shared" si="4"/>
        <v>1.4706946979965838</v>
      </c>
      <c r="E127" s="17">
        <f t="shared" si="4"/>
        <v>1.5867937893505693</v>
      </c>
      <c r="F127" s="17">
        <f t="shared" si="4"/>
        <v>1.6610150290051622</v>
      </c>
    </row>
    <row r="128" spans="1:6" x14ac:dyDescent="0.3">
      <c r="A128" t="str">
        <f>$A$44</f>
        <v>Food and beverage services</v>
      </c>
      <c r="B128" s="17">
        <f t="shared" si="4"/>
        <v>5.2052762681894595</v>
      </c>
      <c r="C128" s="17">
        <f t="shared" si="4"/>
        <v>5.5524240857604887</v>
      </c>
      <c r="D128" s="17">
        <f t="shared" si="4"/>
        <v>5.437091464982875</v>
      </c>
      <c r="E128" s="17">
        <f t="shared" si="4"/>
        <v>5.391589948603186</v>
      </c>
      <c r="F128" s="17">
        <f t="shared" si="4"/>
        <v>5.950353003733599</v>
      </c>
    </row>
    <row r="129" spans="1:6" x14ac:dyDescent="0.3">
      <c r="A129" t="str">
        <f>$A$45</f>
        <v>Publishing activities</v>
      </c>
      <c r="B129" s="17">
        <f t="shared" ref="B129:F129" si="5">B45/B$81*100</f>
        <v>0.51373032166304866</v>
      </c>
      <c r="C129" s="17">
        <f t="shared" si="5"/>
        <v>0.44577684764027775</v>
      </c>
      <c r="D129" s="17">
        <f t="shared" si="5"/>
        <v>0.45389319584188453</v>
      </c>
      <c r="E129" s="17">
        <f t="shared" si="5"/>
        <v>0.4420592075123595</v>
      </c>
      <c r="F129" s="17">
        <f t="shared" si="5"/>
        <v>0.42527029479066125</v>
      </c>
    </row>
    <row r="130" spans="1:6" x14ac:dyDescent="0.3">
      <c r="A130" t="str">
        <f>$A$46</f>
        <v>Film and music</v>
      </c>
      <c r="B130" s="17">
        <f t="shared" ref="B130:B154" si="6">B46/B$81*100</f>
        <v>0.44871365375408151</v>
      </c>
      <c r="C130" s="17">
        <f t="shared" ref="C130:F130" si="7">C46/C$81*100</f>
        <v>0.48889009032748115</v>
      </c>
      <c r="D130" s="17">
        <f t="shared" si="7"/>
        <v>0.48698829402991828</v>
      </c>
      <c r="E130" s="17">
        <f t="shared" si="7"/>
        <v>0.48022165366896352</v>
      </c>
      <c r="F130" s="17">
        <f t="shared" si="7"/>
        <v>0.46976576155774313</v>
      </c>
    </row>
    <row r="131" spans="1:6" x14ac:dyDescent="0.3">
      <c r="A131" t="str">
        <f>$A$47</f>
        <v>Broadcasting</v>
      </c>
      <c r="B131" s="17">
        <f t="shared" si="6"/>
        <v>0.12127114984140364</v>
      </c>
      <c r="C131" s="17">
        <f t="shared" ref="C131:F131" si="8">C47/C$81*100</f>
        <v>0.13860595067350345</v>
      </c>
      <c r="D131" s="17">
        <f t="shared" si="8"/>
        <v>0.13852764640186452</v>
      </c>
      <c r="E131" s="17">
        <f t="shared" si="8"/>
        <v>0.13649591292589083</v>
      </c>
      <c r="F131" s="17">
        <f t="shared" si="8"/>
        <v>0.1317269181514357</v>
      </c>
    </row>
    <row r="132" spans="1:6" x14ac:dyDescent="0.3">
      <c r="A132" t="str">
        <f>$A$48</f>
        <v>Telecommunications</v>
      </c>
      <c r="B132" s="17">
        <f t="shared" si="6"/>
        <v>0.66445239976733084</v>
      </c>
      <c r="C132" s="17">
        <f t="shared" ref="C132:F132" si="9">C48/C$81*100</f>
        <v>0.61820719714371419</v>
      </c>
      <c r="D132" s="17">
        <f t="shared" si="9"/>
        <v>0.59942013384825654</v>
      </c>
      <c r="E132" s="17">
        <f t="shared" si="9"/>
        <v>0.62357720174018405</v>
      </c>
      <c r="F132" s="17">
        <f t="shared" si="9"/>
        <v>0.64335557787036446</v>
      </c>
    </row>
    <row r="133" spans="1:6" x14ac:dyDescent="0.3">
      <c r="A133" t="str">
        <f>$A$49</f>
        <v>Computing services</v>
      </c>
      <c r="B133" s="17">
        <f t="shared" si="6"/>
        <v>2.0931046884834901</v>
      </c>
      <c r="C133" s="17">
        <f t="shared" ref="C133:F133" si="10">C49/C$81*100</f>
        <v>2.2675722021402867</v>
      </c>
      <c r="D133" s="17">
        <f t="shared" si="10"/>
        <v>2.3028412777880485</v>
      </c>
      <c r="E133" s="17">
        <f t="shared" si="10"/>
        <v>2.4043618063202614</v>
      </c>
      <c r="F133" s="17">
        <f t="shared" si="10"/>
        <v>2.4924515287908902</v>
      </c>
    </row>
    <row r="134" spans="1:6" x14ac:dyDescent="0.3">
      <c r="A134" t="str">
        <f>$A$50</f>
        <v>Information services</v>
      </c>
      <c r="B134" s="17">
        <f t="shared" si="6"/>
        <v>0.28849846468402868</v>
      </c>
      <c r="C134" s="17">
        <f t="shared" ref="C134:F134" si="11">C50/C$81*100</f>
        <v>0.27348505318781863</v>
      </c>
      <c r="D134" s="17">
        <f t="shared" si="11"/>
        <v>0.28425472755230474</v>
      </c>
      <c r="E134" s="17">
        <f t="shared" si="11"/>
        <v>0.29889520731900221</v>
      </c>
      <c r="F134" s="17">
        <f t="shared" si="11"/>
        <v>0.31307602410944074</v>
      </c>
    </row>
    <row r="135" spans="1:6" x14ac:dyDescent="0.3">
      <c r="A135" t="str">
        <f>$A$51</f>
        <v>Financial services</v>
      </c>
      <c r="B135" s="17">
        <f t="shared" si="6"/>
        <v>1.5687908108924558</v>
      </c>
      <c r="C135" s="17">
        <f t="shared" ref="C135:F135" si="12">C51/C$81*100</f>
        <v>1.4336574088760192</v>
      </c>
      <c r="D135" s="17">
        <f t="shared" si="12"/>
        <v>1.4449820225673942</v>
      </c>
      <c r="E135" s="17">
        <f t="shared" si="12"/>
        <v>1.40877640211746</v>
      </c>
      <c r="F135" s="17">
        <f t="shared" si="12"/>
        <v>1.3300939696594969</v>
      </c>
    </row>
    <row r="136" spans="1:6" x14ac:dyDescent="0.3">
      <c r="A136" t="str">
        <f>$A$52</f>
        <v>Insurance and pensions</v>
      </c>
      <c r="B136" s="17">
        <f t="shared" si="6"/>
        <v>0.36600919568687057</v>
      </c>
      <c r="C136" s="17">
        <f t="shared" ref="C136:F136" si="13">C52/C$81*100</f>
        <v>0.38825670710730803</v>
      </c>
      <c r="D136" s="17">
        <f t="shared" si="13"/>
        <v>0.39293817223595756</v>
      </c>
      <c r="E136" s="17">
        <f t="shared" si="13"/>
        <v>0.38046407000712856</v>
      </c>
      <c r="F136" s="17">
        <f t="shared" si="13"/>
        <v>0.35382094572731965</v>
      </c>
    </row>
    <row r="137" spans="1:6" x14ac:dyDescent="0.3">
      <c r="A137" t="str">
        <f>$A$53</f>
        <v>Auxiliary financial services</v>
      </c>
      <c r="B137" s="17">
        <f t="shared" si="6"/>
        <v>1.3719699482732832</v>
      </c>
      <c r="C137" s="17">
        <f t="shared" ref="C137:F137" si="14">C53/C$81*100</f>
        <v>1.3871962236867668</v>
      </c>
      <c r="D137" s="17">
        <f t="shared" si="14"/>
        <v>1.4501514340167525</v>
      </c>
      <c r="E137" s="17">
        <f t="shared" si="14"/>
        <v>1.4225123287644992</v>
      </c>
      <c r="F137" s="17">
        <f t="shared" si="14"/>
        <v>1.3402569088883745</v>
      </c>
    </row>
    <row r="138" spans="1:6" x14ac:dyDescent="0.3">
      <c r="A138" t="str">
        <f>$A$54</f>
        <v>Real estate</v>
      </c>
      <c r="B138" s="17">
        <f t="shared" si="6"/>
        <v>1.6875572056450165</v>
      </c>
      <c r="C138" s="17">
        <f t="shared" ref="C138:F138" si="15">C54/C$81*100</f>
        <v>1.6681321455493878</v>
      </c>
      <c r="D138" s="17">
        <f t="shared" si="15"/>
        <v>1.8384548629122723</v>
      </c>
      <c r="E138" s="17">
        <f t="shared" si="15"/>
        <v>1.7176404276560384</v>
      </c>
      <c r="F138" s="17">
        <f t="shared" si="15"/>
        <v>1.7893321186782254</v>
      </c>
    </row>
    <row r="139" spans="1:6" x14ac:dyDescent="0.3">
      <c r="A139" t="str">
        <f>$A$55</f>
        <v>Legal and accounting</v>
      </c>
      <c r="B139" s="17">
        <f t="shared" si="6"/>
        <v>2.20157573753976</v>
      </c>
      <c r="C139" s="17">
        <f t="shared" ref="C139:F139" si="16">C55/C$81*100</f>
        <v>2.4152577502574895</v>
      </c>
      <c r="D139" s="17">
        <f t="shared" si="16"/>
        <v>2.3473845637150936</v>
      </c>
      <c r="E139" s="17">
        <f t="shared" si="16"/>
        <v>2.3926551768620725</v>
      </c>
      <c r="F139" s="17">
        <f t="shared" si="16"/>
        <v>2.414299644135864</v>
      </c>
    </row>
    <row r="140" spans="1:6" x14ac:dyDescent="0.3">
      <c r="A140" t="str">
        <f>$A$56</f>
        <v>Head offices, etc</v>
      </c>
      <c r="B140" s="17">
        <f t="shared" si="6"/>
        <v>2.4630062082203681</v>
      </c>
      <c r="C140" s="17">
        <f t="shared" ref="C140:F140" si="17">C56/C$81*100</f>
        <v>2.4666701578443981</v>
      </c>
      <c r="D140" s="17">
        <f t="shared" si="17"/>
        <v>2.5218007347304656</v>
      </c>
      <c r="E140" s="17">
        <f t="shared" si="17"/>
        <v>2.5344505812821341</v>
      </c>
      <c r="F140" s="17">
        <f t="shared" si="17"/>
        <v>2.518037220748127</v>
      </c>
    </row>
    <row r="141" spans="1:6" x14ac:dyDescent="0.3">
      <c r="A141" t="str">
        <f>$A$57</f>
        <v>Architectural and related</v>
      </c>
      <c r="B141" s="17">
        <f t="shared" si="6"/>
        <v>1.7558986908021241</v>
      </c>
      <c r="C141" s="17">
        <f t="shared" ref="C141:F141" si="18">C57/C$81*100</f>
        <v>1.8611223682934348</v>
      </c>
      <c r="D141" s="17">
        <f t="shared" si="18"/>
        <v>1.9270954014797508</v>
      </c>
      <c r="E141" s="17">
        <f t="shared" si="18"/>
        <v>1.8505829884967322</v>
      </c>
      <c r="F141" s="17">
        <f t="shared" si="18"/>
        <v>1.8515847796758775</v>
      </c>
    </row>
    <row r="142" spans="1:6" x14ac:dyDescent="0.3">
      <c r="A142" t="str">
        <f>$A$58</f>
        <v>Scientific research and development</v>
      </c>
      <c r="B142" s="17">
        <f t="shared" si="6"/>
        <v>0.48142700324790011</v>
      </c>
      <c r="C142" s="17">
        <f t="shared" ref="C142:F142" si="19">C58/C$81*100</f>
        <v>0.51915447259223202</v>
      </c>
      <c r="D142" s="17">
        <f t="shared" si="19"/>
        <v>0.47921130335422896</v>
      </c>
      <c r="E142" s="17">
        <f t="shared" si="19"/>
        <v>0.52050223078169422</v>
      </c>
      <c r="F142" s="17">
        <f t="shared" si="19"/>
        <v>0.56636958303197438</v>
      </c>
    </row>
    <row r="143" spans="1:6" x14ac:dyDescent="0.3">
      <c r="A143" t="str">
        <f>$A$59</f>
        <v>Advertising, etc</v>
      </c>
      <c r="B143" s="17">
        <f t="shared" si="6"/>
        <v>0.79990230562738385</v>
      </c>
      <c r="C143" s="17">
        <f t="shared" ref="C143:F143" si="20">C59/C$81*100</f>
        <v>0.70578812884115971</v>
      </c>
      <c r="D143" s="17">
        <f t="shared" si="20"/>
        <v>0.6703279900064596</v>
      </c>
      <c r="E143" s="17">
        <f t="shared" si="20"/>
        <v>0.73196832054743155</v>
      </c>
      <c r="F143" s="17">
        <f t="shared" si="20"/>
        <v>0.78367494438455443</v>
      </c>
    </row>
    <row r="144" spans="1:6" x14ac:dyDescent="0.3">
      <c r="A144" t="str">
        <f>$A$60</f>
        <v>Other professional</v>
      </c>
      <c r="B144" s="17">
        <f t="shared" si="6"/>
        <v>0.68855806775238659</v>
      </c>
      <c r="C144" s="17">
        <f t="shared" ref="C144:F144" si="21">C60/C$81*100</f>
        <v>0.77458495409298467</v>
      </c>
      <c r="D144" s="17">
        <f t="shared" si="21"/>
        <v>0.74243098664010931</v>
      </c>
      <c r="E144" s="17">
        <f t="shared" si="21"/>
        <v>0.8078851325745886</v>
      </c>
      <c r="F144" s="17">
        <f t="shared" si="21"/>
        <v>0.87246357739435842</v>
      </c>
    </row>
    <row r="145" spans="1:6" x14ac:dyDescent="0.3">
      <c r="A145" t="str">
        <f>$A$61</f>
        <v>Veterinary</v>
      </c>
      <c r="B145" s="17">
        <f t="shared" si="6"/>
        <v>0.24359114730484957</v>
      </c>
      <c r="C145" s="17">
        <f t="shared" ref="C145:F145" si="22">C61/C$81*100</f>
        <v>0.33865399816543301</v>
      </c>
      <c r="D145" s="17">
        <f t="shared" si="22"/>
        <v>0.32389736568457372</v>
      </c>
      <c r="E145" s="17">
        <f t="shared" si="22"/>
        <v>0.35674544485067461</v>
      </c>
      <c r="F145" s="17">
        <f t="shared" si="22"/>
        <v>0.39547621968103708</v>
      </c>
    </row>
    <row r="146" spans="1:6" x14ac:dyDescent="0.3">
      <c r="A146" t="str">
        <f>$A$62</f>
        <v>Rental and leasing</v>
      </c>
      <c r="B146" s="17">
        <f t="shared" si="6"/>
        <v>0.51289540330010042</v>
      </c>
      <c r="C146" s="17">
        <f t="shared" ref="C146:F146" si="23">C62/C$81*100</f>
        <v>0.48477302589888338</v>
      </c>
      <c r="D146" s="17">
        <f t="shared" si="23"/>
        <v>0.46064373811564785</v>
      </c>
      <c r="E146" s="17">
        <f t="shared" si="23"/>
        <v>0.47434751850360224</v>
      </c>
      <c r="F146" s="17">
        <f t="shared" si="23"/>
        <v>0.48822302205544232</v>
      </c>
    </row>
    <row r="147" spans="1:6" x14ac:dyDescent="0.3">
      <c r="A147" t="str">
        <f>$A$63</f>
        <v>Employment activities</v>
      </c>
      <c r="B147" s="17">
        <f t="shared" si="6"/>
        <v>3.0164857751359198</v>
      </c>
      <c r="C147" s="17">
        <f t="shared" ref="C147:F147" si="24">C63/C$81*100</f>
        <v>2.9354330060449279</v>
      </c>
      <c r="D147" s="17">
        <f t="shared" si="24"/>
        <v>2.7923599529806236</v>
      </c>
      <c r="E147" s="17">
        <f t="shared" si="24"/>
        <v>2.8760665192119905</v>
      </c>
      <c r="F147" s="17">
        <f t="shared" si="24"/>
        <v>2.9539815297528569</v>
      </c>
    </row>
    <row r="148" spans="1:6" x14ac:dyDescent="0.3">
      <c r="A148" t="str">
        <f>$A$64</f>
        <v>Travel, etc</v>
      </c>
      <c r="B148" s="17">
        <f t="shared" si="6"/>
        <v>0.29205206741365153</v>
      </c>
      <c r="C148" s="17">
        <f t="shared" ref="C148:F148" si="25">C64/C$81*100</f>
        <v>0.29640601765720737</v>
      </c>
      <c r="D148" s="17">
        <f t="shared" si="25"/>
        <v>0.28066358773932465</v>
      </c>
      <c r="E148" s="17">
        <f t="shared" si="25"/>
        <v>0.28815742149443024</v>
      </c>
      <c r="F148" s="17">
        <f t="shared" si="25"/>
        <v>0.29630371398167876</v>
      </c>
    </row>
    <row r="149" spans="1:6" x14ac:dyDescent="0.3">
      <c r="A149" t="str">
        <f>$A$65</f>
        <v>Security, etc</v>
      </c>
      <c r="B149" s="17">
        <f t="shared" si="6"/>
        <v>0.5929287168435261</v>
      </c>
      <c r="C149" s="17">
        <f t="shared" ref="C149:F149" si="26">C65/C$81*100</f>
        <v>0.6269446484468747</v>
      </c>
      <c r="D149" s="17">
        <f t="shared" si="26"/>
        <v>0.59892835355898755</v>
      </c>
      <c r="E149" s="17">
        <f t="shared" si="26"/>
        <v>0.61588474969431262</v>
      </c>
      <c r="F149" s="17">
        <f t="shared" si="26"/>
        <v>0.63247127758630817</v>
      </c>
    </row>
    <row r="150" spans="1:6" x14ac:dyDescent="0.3">
      <c r="A150" t="str">
        <f>$A$66</f>
        <v>Services to buildings</v>
      </c>
      <c r="B150" s="17">
        <f t="shared" si="6"/>
        <v>2.5783586485651373</v>
      </c>
      <c r="C150" s="17">
        <f t="shared" ref="C150:F150" si="27">C66/C$81*100</f>
        <v>2.543517314477965</v>
      </c>
      <c r="D150" s="17">
        <f t="shared" si="27"/>
        <v>2.4297491851912438</v>
      </c>
      <c r="E150" s="17">
        <f t="shared" si="27"/>
        <v>2.4924877140264114</v>
      </c>
      <c r="F150" s="17">
        <f t="shared" si="27"/>
        <v>2.5461836113584475</v>
      </c>
    </row>
    <row r="151" spans="1:6" x14ac:dyDescent="0.3">
      <c r="A151" t="str">
        <f>$A$67</f>
        <v>Office administrative</v>
      </c>
      <c r="B151" s="17">
        <f t="shared" si="6"/>
        <v>1.4628779992717849</v>
      </c>
      <c r="C151" s="17">
        <f t="shared" ref="C151:F151" si="28">C67/C$81*100</f>
        <v>1.628898444356627</v>
      </c>
      <c r="D151" s="17">
        <f t="shared" si="28"/>
        <v>1.5492165711186374</v>
      </c>
      <c r="E151" s="17">
        <f t="shared" si="28"/>
        <v>1.5940559526434572</v>
      </c>
      <c r="F151" s="17">
        <f t="shared" si="28"/>
        <v>1.6380139923824244</v>
      </c>
    </row>
    <row r="152" spans="1:6" x14ac:dyDescent="0.3">
      <c r="A152" t="str">
        <f>$A$68</f>
        <v>Public administration and defence</v>
      </c>
      <c r="B152" s="17">
        <f t="shared" si="6"/>
        <v>3.9544645625147852</v>
      </c>
      <c r="C152" s="17">
        <f t="shared" ref="C152:F152" si="29">C68/C$81*100</f>
        <v>3.8424963842608912</v>
      </c>
      <c r="D152" s="17">
        <f t="shared" si="29"/>
        <v>4.011426114806202</v>
      </c>
      <c r="E152" s="17">
        <f t="shared" si="29"/>
        <v>3.9590616085753227</v>
      </c>
      <c r="F152" s="17">
        <f t="shared" si="29"/>
        <v>3.8630056022396135</v>
      </c>
    </row>
    <row r="153" spans="1:6" x14ac:dyDescent="0.3">
      <c r="A153" t="str">
        <f>$A$69</f>
        <v xml:space="preserve">Education </v>
      </c>
      <c r="B153" s="17">
        <f t="shared" si="6"/>
        <v>8.7824290389423147</v>
      </c>
      <c r="C153" s="17">
        <f t="shared" ref="C153:F153" si="30">C69/C$81*100</f>
        <v>8.3294292854974348</v>
      </c>
      <c r="D153" s="17">
        <f t="shared" si="30"/>
        <v>8.4517561246076234</v>
      </c>
      <c r="E153" s="17">
        <f t="shared" si="30"/>
        <v>8.3186692779720719</v>
      </c>
      <c r="F153" s="17">
        <f t="shared" si="30"/>
        <v>8.2526633396584064</v>
      </c>
    </row>
    <row r="154" spans="1:6" x14ac:dyDescent="0.3">
      <c r="A154" t="str">
        <f>$A$70</f>
        <v>Health</v>
      </c>
      <c r="B154" s="17">
        <f t="shared" si="6"/>
        <v>7.0668411575791863</v>
      </c>
      <c r="C154" s="17">
        <f t="shared" ref="C154:F154" si="31">C70/C$81*100</f>
        <v>7.2651059221566712</v>
      </c>
      <c r="D154" s="17">
        <f t="shared" si="31"/>
        <v>7.6094136812235327</v>
      </c>
      <c r="E154" s="17">
        <f t="shared" si="31"/>
        <v>7.8662276203369723</v>
      </c>
      <c r="F154" s="17">
        <f t="shared" si="31"/>
        <v>8.0655566543579962</v>
      </c>
    </row>
    <row r="155" spans="1:6" x14ac:dyDescent="0.3">
      <c r="A155" t="str">
        <f>$A$71</f>
        <v>Residential care</v>
      </c>
      <c r="B155" s="17">
        <f t="shared" ref="B155:F155" si="32">B71/B$81*100</f>
        <v>2.3910130694078813</v>
      </c>
      <c r="C155" s="17">
        <f t="shared" si="32"/>
        <v>2.2610374934237281</v>
      </c>
      <c r="D155" s="17">
        <f t="shared" si="32"/>
        <v>2.1869669759216999</v>
      </c>
      <c r="E155" s="17">
        <f t="shared" si="32"/>
        <v>2.2962954860759175</v>
      </c>
      <c r="F155" s="17">
        <f t="shared" si="32"/>
        <v>2.3990019982976354</v>
      </c>
    </row>
    <row r="156" spans="1:6" x14ac:dyDescent="0.3">
      <c r="A156" t="str">
        <f>$A$72</f>
        <v>Social work</v>
      </c>
      <c r="B156" s="17">
        <f t="shared" ref="B156:F156" si="33">B72/B$81*100</f>
        <v>3.0978204916125889</v>
      </c>
      <c r="C156" s="17">
        <f t="shared" si="33"/>
        <v>2.9426124198592385</v>
      </c>
      <c r="D156" s="17">
        <f t="shared" si="33"/>
        <v>2.8469361287147636</v>
      </c>
      <c r="E156" s="17">
        <f t="shared" si="33"/>
        <v>2.9649919310817738</v>
      </c>
      <c r="F156" s="17">
        <f t="shared" si="33"/>
        <v>3.0531300788015168</v>
      </c>
    </row>
    <row r="157" spans="1:6" x14ac:dyDescent="0.3">
      <c r="A157" t="str">
        <f>$A$73</f>
        <v>Arts and entertainment</v>
      </c>
      <c r="B157" s="17">
        <f t="shared" ref="B157:F157" si="34">B73/B$81*100</f>
        <v>0.49846409190391383</v>
      </c>
      <c r="C157" s="17">
        <f t="shared" si="34"/>
        <v>0.54039015519478006</v>
      </c>
      <c r="D157" s="17">
        <f t="shared" si="34"/>
        <v>0.56725713087362672</v>
      </c>
      <c r="E157" s="17">
        <f t="shared" si="34"/>
        <v>0.53017956310687009</v>
      </c>
      <c r="F157" s="17">
        <f t="shared" si="34"/>
        <v>0.53622946756997214</v>
      </c>
    </row>
    <row r="158" spans="1:6" x14ac:dyDescent="0.3">
      <c r="A158" t="str">
        <f>$A$74</f>
        <v>Libraries, etc</v>
      </c>
      <c r="B158" s="17">
        <f t="shared" ref="B158:F158" si="35">B74/B$81*100</f>
        <v>0.55842668102428838</v>
      </c>
      <c r="C158" s="17">
        <f t="shared" si="35"/>
        <v>0.53590266807412046</v>
      </c>
      <c r="D158" s="17">
        <f t="shared" si="35"/>
        <v>0.56113846909028575</v>
      </c>
      <c r="E158" s="17">
        <f t="shared" si="35"/>
        <v>0.52751177298606811</v>
      </c>
      <c r="F158" s="17">
        <f t="shared" si="35"/>
        <v>0.54540752268930848</v>
      </c>
    </row>
    <row r="159" spans="1:6" x14ac:dyDescent="0.3">
      <c r="A159" t="str">
        <f>$A$75</f>
        <v>Gambling and betting</v>
      </c>
      <c r="B159" s="17">
        <f t="shared" ref="B159:F159" si="36">B75/B$81*100</f>
        <v>0.3356163844268652</v>
      </c>
      <c r="C159" s="17">
        <f t="shared" si="36"/>
        <v>0.30300859007445469</v>
      </c>
      <c r="D159" s="17">
        <f t="shared" si="36"/>
        <v>0.28643914699262041</v>
      </c>
      <c r="E159" s="17">
        <f t="shared" si="36"/>
        <v>0.29867867492707706</v>
      </c>
      <c r="F159" s="17">
        <f t="shared" si="36"/>
        <v>0.31504579232170898</v>
      </c>
    </row>
    <row r="160" spans="1:6" x14ac:dyDescent="0.3">
      <c r="A160" t="str">
        <f>$A$76</f>
        <v>Sport and recreation</v>
      </c>
      <c r="B160" s="17">
        <f t="shared" ref="B160:F160" si="37">B76/B$81*100</f>
        <v>1.5250868456302744</v>
      </c>
      <c r="C160" s="17">
        <f t="shared" si="37"/>
        <v>1.5298853069575278</v>
      </c>
      <c r="D160" s="17">
        <f t="shared" si="37"/>
        <v>1.444341564518365</v>
      </c>
      <c r="E160" s="17">
        <f t="shared" si="37"/>
        <v>1.5050250505953673</v>
      </c>
      <c r="F160" s="17">
        <f t="shared" si="37"/>
        <v>1.5812953153271643</v>
      </c>
    </row>
    <row r="161" spans="1:6" x14ac:dyDescent="0.3">
      <c r="A161" t="str">
        <f>$A$77</f>
        <v>Membership organisations</v>
      </c>
      <c r="B161" s="17">
        <f t="shared" ref="B161:F161" si="38">B77/B$81*100</f>
        <v>1.2235416672477819</v>
      </c>
      <c r="C161" s="17">
        <f t="shared" si="38"/>
        <v>1.1891756042163633</v>
      </c>
      <c r="D161" s="17">
        <f t="shared" si="38"/>
        <v>1.1438352137975898</v>
      </c>
      <c r="E161" s="17">
        <f t="shared" si="38"/>
        <v>1.0974278061639819</v>
      </c>
      <c r="F161" s="17">
        <f t="shared" si="38"/>
        <v>1.0548215241014316</v>
      </c>
    </row>
    <row r="162" spans="1:6" x14ac:dyDescent="0.3">
      <c r="A162" t="str">
        <f>$A$78</f>
        <v>Repair of goods</v>
      </c>
      <c r="B162" s="17">
        <f t="shared" ref="B162:F162" si="39">B78/B$81*100</f>
        <v>0.20434998411159255</v>
      </c>
      <c r="C162" s="17">
        <f t="shared" si="39"/>
        <v>0.21513358234082769</v>
      </c>
      <c r="D162" s="17">
        <f t="shared" si="39"/>
        <v>0.25327828748785031</v>
      </c>
      <c r="E162" s="17">
        <f t="shared" si="39"/>
        <v>0.24827104436936343</v>
      </c>
      <c r="F162" s="17">
        <f t="shared" si="39"/>
        <v>0.24522017110850761</v>
      </c>
    </row>
    <row r="163" spans="1:6" x14ac:dyDescent="0.3">
      <c r="A163" t="str">
        <f>$A$79</f>
        <v>Other personal service</v>
      </c>
      <c r="B163" s="17">
        <f>B79/B$81*100</f>
        <v>1.4303221254866814</v>
      </c>
      <c r="C163" s="17">
        <f t="shared" ref="C163:F163" si="40">C79/C$81*100</f>
        <v>1.4369063835110529</v>
      </c>
      <c r="D163" s="17">
        <f t="shared" si="40"/>
        <v>1.4620685285501593</v>
      </c>
      <c r="E163" s="17">
        <f t="shared" si="40"/>
        <v>1.3935053163296989</v>
      </c>
      <c r="F163" s="17">
        <f t="shared" si="40"/>
        <v>1.3409383422125771</v>
      </c>
    </row>
    <row r="164" spans="1:6" x14ac:dyDescent="0.3">
      <c r="B164" s="17"/>
      <c r="C164" s="17"/>
      <c r="D164" s="17"/>
      <c r="E164" s="17"/>
      <c r="F164" s="17"/>
    </row>
    <row r="165" spans="1:6" x14ac:dyDescent="0.3">
      <c r="A165" s="23" t="str">
        <f>$A$81</f>
        <v>All industries</v>
      </c>
      <c r="B165" s="25">
        <f>B81/B$81*100</f>
        <v>100</v>
      </c>
      <c r="C165" s="25">
        <f>C81/C$81*100</f>
        <v>100</v>
      </c>
      <c r="D165" s="25">
        <f>D81/D$81*100</f>
        <v>100</v>
      </c>
      <c r="E165" s="25">
        <f>E81/E$81*100</f>
        <v>100</v>
      </c>
      <c r="F165" s="25">
        <f>F81/F$81*100</f>
        <v>100</v>
      </c>
    </row>
    <row r="166" spans="1:6" x14ac:dyDescent="0.3">
      <c r="B166" s="17"/>
      <c r="C166" s="17"/>
      <c r="D166" s="17"/>
      <c r="E166" s="17"/>
      <c r="F166" s="17"/>
    </row>
    <row r="167" spans="1:6" x14ac:dyDescent="0.3">
      <c r="B167" s="17"/>
      <c r="C167" s="17"/>
      <c r="D167" s="17"/>
      <c r="E167" s="17"/>
      <c r="F167" s="17"/>
    </row>
    <row r="168" spans="1:6" x14ac:dyDescent="0.3">
      <c r="B168" s="17"/>
      <c r="C168" s="17"/>
      <c r="D168" s="17"/>
      <c r="E168" s="17"/>
      <c r="F168" s="17"/>
    </row>
    <row r="169" spans="1:6" ht="15.45" x14ac:dyDescent="0.4">
      <c r="A169" s="18" t="str">
        <f>CONCATENATE($A$1," (Continued)")</f>
        <v>Industry Table 3  Employment by Industry (SIC 2007), 2015-2035, United Kingdom (Continued)</v>
      </c>
      <c r="B169" s="17"/>
      <c r="C169" s="17"/>
      <c r="D169" s="17"/>
      <c r="E169" s="17"/>
      <c r="F169" s="17"/>
    </row>
    <row r="171" spans="1:6" x14ac:dyDescent="0.3">
      <c r="A171" s="21"/>
      <c r="B171" s="24" t="str">
        <f>CONCATENATE(B$3,"-",C$3)</f>
        <v>2015-2019</v>
      </c>
      <c r="C171" s="24" t="str">
        <f>CONCATENATE(C$3,"-",D$3)</f>
        <v>2019-2020</v>
      </c>
      <c r="D171" s="24" t="str">
        <f>CONCATENATE(D$3,"-",E$3)</f>
        <v>2020-2025</v>
      </c>
      <c r="E171" s="24" t="str">
        <f>CONCATENATE(E$3,"-",F$3)</f>
        <v>2025-2035</v>
      </c>
      <c r="F171" s="24" t="str">
        <f>CONCATENATE(D$3,"-",F$3)</f>
        <v>2020-2035</v>
      </c>
    </row>
    <row r="172" spans="1:6" x14ac:dyDescent="0.3">
      <c r="A172" s="27" t="s">
        <v>14</v>
      </c>
    </row>
    <row r="173" spans="1:6" x14ac:dyDescent="0.3">
      <c r="A173" t="str">
        <f>$A$5</f>
        <v>Agriculture, etc</v>
      </c>
      <c r="B173" s="17">
        <f t="shared" ref="B173:E192" si="41">IF(AND(C$3-B$3 &lt;&gt; 0,B5&lt;&gt;0,C5&lt;&gt;0),(EXP(LN(C5/B5)/(C$3-B$3))-1)*100,0)</f>
        <v>0.57120475737293397</v>
      </c>
      <c r="C173" s="17">
        <f t="shared" si="41"/>
        <v>-6.0375595169798508</v>
      </c>
      <c r="D173" s="17">
        <f t="shared" si="41"/>
        <v>0.48816491599770195</v>
      </c>
      <c r="E173" s="17">
        <f t="shared" si="41"/>
        <v>0.10462941611719678</v>
      </c>
      <c r="F173" s="17">
        <f>IF(AND(F$3-D$3 &lt;&gt; 0,D5&lt;&gt;0,F5&lt;&gt;0),(EXP(LN(F5/D5)/(F$3-D$3))-1)*100,0)</f>
        <v>0.23231165635502204</v>
      </c>
    </row>
    <row r="174" spans="1:6" x14ac:dyDescent="0.3">
      <c r="A174" t="str">
        <f>$A$6</f>
        <v>Coal, oil &amp; gas; Mining &amp; related</v>
      </c>
      <c r="B174" s="17">
        <f t="shared" si="41"/>
        <v>-4.7176671401884747</v>
      </c>
      <c r="C174" s="17">
        <f t="shared" si="41"/>
        <v>1.6329475030808505</v>
      </c>
      <c r="D174" s="17">
        <f t="shared" si="41"/>
        <v>-2.6878433101215404</v>
      </c>
      <c r="E174" s="17">
        <f t="shared" si="41"/>
        <v>-1.4175244517189878</v>
      </c>
      <c r="F174" s="17">
        <f t="shared" ref="F174:F237" si="42">IF(AND(F$3-D$3 &lt;&gt; 0,D6&lt;&gt;0,F6&lt;&gt;0),(EXP(LN(F6/D6)/(F$3-D$3))-1)*100,0)</f>
        <v>-1.84279599743844</v>
      </c>
    </row>
    <row r="175" spans="1:6" x14ac:dyDescent="0.3">
      <c r="A175" t="str">
        <f>$A$7</f>
        <v>Food products</v>
      </c>
      <c r="B175" s="17">
        <f t="shared" si="41"/>
        <v>1.2077855527479198</v>
      </c>
      <c r="C175" s="17">
        <f t="shared" si="41"/>
        <v>-0.47817376122666344</v>
      </c>
      <c r="D175" s="17">
        <f t="shared" si="41"/>
        <v>0.32557531802590578</v>
      </c>
      <c r="E175" s="17">
        <f t="shared" si="41"/>
        <v>-0.2224779569508617</v>
      </c>
      <c r="F175" s="17">
        <f t="shared" si="42"/>
        <v>-4.0126995141109845E-2</v>
      </c>
    </row>
    <row r="176" spans="1:6" x14ac:dyDescent="0.3">
      <c r="A176" t="str">
        <f>$A$8</f>
        <v>Beverages and tobacco</v>
      </c>
      <c r="B176" s="17">
        <f t="shared" si="41"/>
        <v>4.011429939355593</v>
      </c>
      <c r="C176" s="17">
        <f t="shared" si="41"/>
        <v>3.1379164905201762</v>
      </c>
      <c r="D176" s="17">
        <f t="shared" si="41"/>
        <v>0.20890696330748693</v>
      </c>
      <c r="E176" s="17">
        <f t="shared" si="41"/>
        <v>-0.30108652805235225</v>
      </c>
      <c r="F176" s="17">
        <f t="shared" si="42"/>
        <v>-0.13137774201197328</v>
      </c>
    </row>
    <row r="177" spans="1:6" x14ac:dyDescent="0.3">
      <c r="A177" t="str">
        <f>$A$9</f>
        <v>Textiles</v>
      </c>
      <c r="B177" s="17">
        <f t="shared" si="41"/>
        <v>3.1163673835712391</v>
      </c>
      <c r="C177" s="17">
        <f t="shared" si="41"/>
        <v>4.6740731645897426</v>
      </c>
      <c r="D177" s="17">
        <f t="shared" si="41"/>
        <v>-2.4271293922132786</v>
      </c>
      <c r="E177" s="17">
        <f t="shared" si="41"/>
        <v>-1.5544156928577246</v>
      </c>
      <c r="F177" s="17">
        <f t="shared" si="42"/>
        <v>-1.846184134759199</v>
      </c>
    </row>
    <row r="178" spans="1:6" x14ac:dyDescent="0.3">
      <c r="A178" t="str">
        <f>$A$10</f>
        <v>Wearing apparel; Leather, etc</v>
      </c>
      <c r="B178" s="17">
        <f t="shared" si="41"/>
        <v>-3.0909005071305784</v>
      </c>
      <c r="C178" s="17">
        <f t="shared" si="41"/>
        <v>10.171948616258986</v>
      </c>
      <c r="D178" s="17">
        <f t="shared" si="41"/>
        <v>-2.4078729066412063</v>
      </c>
      <c r="E178" s="17">
        <f t="shared" si="41"/>
        <v>-1.4738584440209035</v>
      </c>
      <c r="F178" s="17">
        <f t="shared" si="42"/>
        <v>-1.786185627047232</v>
      </c>
    </row>
    <row r="179" spans="1:6" x14ac:dyDescent="0.3">
      <c r="A179" t="str">
        <f>$A$11</f>
        <v xml:space="preserve">Wood and cork </v>
      </c>
      <c r="B179" s="17">
        <f t="shared" si="41"/>
        <v>2.2794663465171672</v>
      </c>
      <c r="C179" s="17">
        <f t="shared" si="41"/>
        <v>2.9943412213915499</v>
      </c>
      <c r="D179" s="17">
        <f t="shared" si="41"/>
        <v>-0.19136182580307137</v>
      </c>
      <c r="E179" s="17">
        <f t="shared" si="41"/>
        <v>-0.43792767763866092</v>
      </c>
      <c r="F179" s="17">
        <f t="shared" si="42"/>
        <v>-0.35580681397597846</v>
      </c>
    </row>
    <row r="180" spans="1:6" x14ac:dyDescent="0.3">
      <c r="A180" t="str">
        <f>$A$12</f>
        <v>Paper, etc</v>
      </c>
      <c r="B180" s="17">
        <f t="shared" si="41"/>
        <v>-2.6005658402241227</v>
      </c>
      <c r="C180" s="17">
        <f t="shared" si="41"/>
        <v>-10.84335326115996</v>
      </c>
      <c r="D180" s="17">
        <f t="shared" si="41"/>
        <v>-0.18337647293099613</v>
      </c>
      <c r="E180" s="17">
        <f t="shared" si="41"/>
        <v>-0.4436859498234913</v>
      </c>
      <c r="F180" s="17">
        <f t="shared" si="42"/>
        <v>-0.35699164009583839</v>
      </c>
    </row>
    <row r="181" spans="1:6" x14ac:dyDescent="0.3">
      <c r="A181" t="str">
        <f>$A$13</f>
        <v>Printing and recording</v>
      </c>
      <c r="B181" s="17">
        <f t="shared" si="41"/>
        <v>-5.9612359551696521</v>
      </c>
      <c r="C181" s="17">
        <f t="shared" si="41"/>
        <v>-5.0581851192881055</v>
      </c>
      <c r="D181" s="17">
        <f t="shared" si="41"/>
        <v>-1.4425369561043566</v>
      </c>
      <c r="E181" s="17">
        <f t="shared" si="41"/>
        <v>-1.5719574701251515</v>
      </c>
      <c r="F181" s="17">
        <f t="shared" si="42"/>
        <v>-1.5288361929540417</v>
      </c>
    </row>
    <row r="182" spans="1:6" x14ac:dyDescent="0.3">
      <c r="A182" t="str">
        <f>$A$14</f>
        <v>Coke and petroleum; Chemicals, etc</v>
      </c>
      <c r="B182" s="17">
        <f t="shared" si="41"/>
        <v>2.2669730030731916</v>
      </c>
      <c r="C182" s="17">
        <f t="shared" si="41"/>
        <v>-2.4601339224211372</v>
      </c>
      <c r="D182" s="17">
        <f t="shared" si="41"/>
        <v>-1.0230460817145404</v>
      </c>
      <c r="E182" s="17">
        <f t="shared" si="41"/>
        <v>-0.7874891767470138</v>
      </c>
      <c r="F182" s="17">
        <f t="shared" si="42"/>
        <v>-0.86607036880916866</v>
      </c>
    </row>
    <row r="183" spans="1:6" x14ac:dyDescent="0.3">
      <c r="A183" t="str">
        <f>$A$15</f>
        <v>Pharmaceuticals</v>
      </c>
      <c r="B183" s="17">
        <f t="shared" si="41"/>
        <v>3.9135124207400729</v>
      </c>
      <c r="C183" s="17">
        <f t="shared" si="41"/>
        <v>4.2021613451874718</v>
      </c>
      <c r="D183" s="17">
        <f t="shared" si="41"/>
        <v>1.2959591095017098</v>
      </c>
      <c r="E183" s="17">
        <f t="shared" si="41"/>
        <v>-0.43373618806618053</v>
      </c>
      <c r="F183" s="17">
        <f t="shared" si="42"/>
        <v>0.13952201134956876</v>
      </c>
    </row>
    <row r="184" spans="1:6" x14ac:dyDescent="0.3">
      <c r="A184" t="str">
        <f>$A$16</f>
        <v>Rubber and plastic</v>
      </c>
      <c r="B184" s="17">
        <f t="shared" si="41"/>
        <v>-0.63970667740235188</v>
      </c>
      <c r="C184" s="17">
        <f t="shared" si="41"/>
        <v>5.4492008292199134</v>
      </c>
      <c r="D184" s="17">
        <f t="shared" si="41"/>
        <v>-0.34625214957627604</v>
      </c>
      <c r="E184" s="17">
        <f t="shared" si="41"/>
        <v>-1.1618778939415098</v>
      </c>
      <c r="F184" s="17">
        <f t="shared" si="42"/>
        <v>-0.89074708664798052</v>
      </c>
    </row>
    <row r="185" spans="1:6" x14ac:dyDescent="0.3">
      <c r="A185" t="str">
        <f>$A$17</f>
        <v>Other non-metallic</v>
      </c>
      <c r="B185" s="17">
        <f t="shared" si="41"/>
        <v>2.1170162339818388</v>
      </c>
      <c r="C185" s="17">
        <f t="shared" si="41"/>
        <v>0.79480853795637074</v>
      </c>
      <c r="D185" s="17">
        <f t="shared" si="41"/>
        <v>-0.37763793716881766</v>
      </c>
      <c r="E185" s="17">
        <f t="shared" si="41"/>
        <v>-1.1824353891242589</v>
      </c>
      <c r="F185" s="17">
        <f t="shared" si="42"/>
        <v>-0.91489457132210017</v>
      </c>
    </row>
    <row r="186" spans="1:6" x14ac:dyDescent="0.3">
      <c r="A186" t="str">
        <f>$A$18</f>
        <v>Basic metals</v>
      </c>
      <c r="B186" s="17">
        <f t="shared" si="41"/>
        <v>1.8218908314974636</v>
      </c>
      <c r="C186" s="17">
        <f t="shared" si="41"/>
        <v>-14.700717613987191</v>
      </c>
      <c r="D186" s="17">
        <f t="shared" si="41"/>
        <v>-0.38979325672315879</v>
      </c>
      <c r="E186" s="17">
        <f t="shared" si="41"/>
        <v>-1.2808179770097405</v>
      </c>
      <c r="F186" s="17">
        <f t="shared" si="42"/>
        <v>-0.98469886707732712</v>
      </c>
    </row>
    <row r="187" spans="1:6" x14ac:dyDescent="0.3">
      <c r="A187" t="str">
        <f>$A$19</f>
        <v>Metal products</v>
      </c>
      <c r="B187" s="17">
        <f t="shared" si="41"/>
        <v>-1.004251931958855</v>
      </c>
      <c r="C187" s="17">
        <f t="shared" si="41"/>
        <v>-11.859412915935918</v>
      </c>
      <c r="D187" s="17">
        <f t="shared" si="41"/>
        <v>-0.50569442426868783</v>
      </c>
      <c r="E187" s="17">
        <f t="shared" si="41"/>
        <v>-1.2933038316431</v>
      </c>
      <c r="F187" s="17">
        <f t="shared" si="42"/>
        <v>-1.0314625683561562</v>
      </c>
    </row>
    <row r="188" spans="1:6" x14ac:dyDescent="0.3">
      <c r="A188" t="str">
        <f>$A$20</f>
        <v>Computer, etc</v>
      </c>
      <c r="B188" s="17">
        <f t="shared" si="41"/>
        <v>0.81451821313844874</v>
      </c>
      <c r="C188" s="17">
        <f t="shared" si="41"/>
        <v>3.3598592459708199</v>
      </c>
      <c r="D188" s="17">
        <f t="shared" si="41"/>
        <v>1.0640449992961099</v>
      </c>
      <c r="E188" s="17">
        <f t="shared" si="41"/>
        <v>-1.4186618738199708</v>
      </c>
      <c r="F188" s="17">
        <f t="shared" si="42"/>
        <v>-0.5979445792115845</v>
      </c>
    </row>
    <row r="189" spans="1:6" x14ac:dyDescent="0.3">
      <c r="A189" t="str">
        <f>$A$21</f>
        <v>Electrical equipment</v>
      </c>
      <c r="B189" s="17">
        <f t="shared" si="41"/>
        <v>-2.3105227722359456</v>
      </c>
      <c r="C189" s="17">
        <f t="shared" si="41"/>
        <v>-10.855050350987183</v>
      </c>
      <c r="D189" s="17">
        <f t="shared" si="41"/>
        <v>-0.30556417840044148</v>
      </c>
      <c r="E189" s="17">
        <f t="shared" si="41"/>
        <v>-0.40177543214431344</v>
      </c>
      <c r="F189" s="17">
        <f t="shared" si="42"/>
        <v>-0.3697153352981708</v>
      </c>
    </row>
    <row r="190" spans="1:6" x14ac:dyDescent="0.3">
      <c r="A190" t="str">
        <f>$A$22</f>
        <v>Machinery n.e.c.</v>
      </c>
      <c r="B190" s="17">
        <f t="shared" si="41"/>
        <v>1.5717795935017431</v>
      </c>
      <c r="C190" s="17">
        <f t="shared" si="41"/>
        <v>-6.9779139421805141</v>
      </c>
      <c r="D190" s="17">
        <f t="shared" si="41"/>
        <v>0.36620371852544853</v>
      </c>
      <c r="E190" s="17">
        <f t="shared" si="41"/>
        <v>-1.317551489787161</v>
      </c>
      <c r="F190" s="17">
        <f t="shared" si="42"/>
        <v>-0.75946192806745083</v>
      </c>
    </row>
    <row r="191" spans="1:6" x14ac:dyDescent="0.3">
      <c r="A191" t="str">
        <f>$A$23</f>
        <v>Motor vehicles, etc</v>
      </c>
      <c r="B191" s="17">
        <f t="shared" si="41"/>
        <v>2.3339265958942423</v>
      </c>
      <c r="C191" s="17">
        <f t="shared" si="41"/>
        <v>-11.656376723729567</v>
      </c>
      <c r="D191" s="17">
        <f t="shared" si="41"/>
        <v>-0.16013684387249372</v>
      </c>
      <c r="E191" s="17">
        <f t="shared" si="41"/>
        <v>-0.76882125400180579</v>
      </c>
      <c r="F191" s="17">
        <f t="shared" si="42"/>
        <v>-0.5663398951412324</v>
      </c>
    </row>
    <row r="192" spans="1:6" x14ac:dyDescent="0.3">
      <c r="A192" t="str">
        <f>$A$24</f>
        <v>Other transport equipment</v>
      </c>
      <c r="B192" s="17">
        <f t="shared" si="41"/>
        <v>1.0671901473739531</v>
      </c>
      <c r="C192" s="17">
        <f t="shared" si="41"/>
        <v>0.11117519116565777</v>
      </c>
      <c r="D192" s="17">
        <f t="shared" si="41"/>
        <v>-3.1154954535839163</v>
      </c>
      <c r="E192" s="17">
        <f t="shared" si="41"/>
        <v>-9.521213322950528E-2</v>
      </c>
      <c r="F192" s="17">
        <f t="shared" si="42"/>
        <v>-1.1122924854856109</v>
      </c>
    </row>
    <row r="193" spans="1:6" x14ac:dyDescent="0.3">
      <c r="A193" t="str">
        <f>$A$25</f>
        <v>Furniture</v>
      </c>
      <c r="B193" s="17">
        <f t="shared" ref="B193:E212" si="43">IF(AND(C$3-B$3 &lt;&gt; 0,B25&lt;&gt;0,C25&lt;&gt;0),(EXP(LN(C25/B25)/(C$3-B$3))-1)*100,0)</f>
        <v>0.82401410773591532</v>
      </c>
      <c r="C193" s="17">
        <f t="shared" si="43"/>
        <v>2.6940231935193237</v>
      </c>
      <c r="D193" s="17">
        <f t="shared" si="43"/>
        <v>-2.560231059382656</v>
      </c>
      <c r="E193" s="17">
        <f t="shared" si="43"/>
        <v>-0.59619026682039555</v>
      </c>
      <c r="F193" s="17">
        <f t="shared" si="42"/>
        <v>-1.2552302617785616</v>
      </c>
    </row>
    <row r="194" spans="1:6" x14ac:dyDescent="0.3">
      <c r="A194" t="str">
        <f>$A$26</f>
        <v>Other manufacturing</v>
      </c>
      <c r="B194" s="17">
        <f t="shared" si="43"/>
        <v>-1.5269798998365114</v>
      </c>
      <c r="C194" s="17">
        <f t="shared" si="43"/>
        <v>3.4001847601301316</v>
      </c>
      <c r="D194" s="17">
        <f t="shared" si="43"/>
        <v>-2.632769974841731</v>
      </c>
      <c r="E194" s="17">
        <f t="shared" si="43"/>
        <v>-0.59925785763138562</v>
      </c>
      <c r="F194" s="17">
        <f t="shared" si="42"/>
        <v>-1.2817708268611616</v>
      </c>
    </row>
    <row r="195" spans="1:6" x14ac:dyDescent="0.3">
      <c r="A195" t="str">
        <f>$A$27</f>
        <v>Repair and installation</v>
      </c>
      <c r="B195" s="17">
        <f t="shared" si="43"/>
        <v>2.1383047221724683</v>
      </c>
      <c r="C195" s="17">
        <f t="shared" si="43"/>
        <v>9.0585859766844301</v>
      </c>
      <c r="D195" s="17">
        <f t="shared" si="43"/>
        <v>-2.556620875611304</v>
      </c>
      <c r="E195" s="17">
        <f t="shared" si="43"/>
        <v>-0.51160369633064251</v>
      </c>
      <c r="F195" s="17">
        <f t="shared" si="42"/>
        <v>-1.1980008366534012</v>
      </c>
    </row>
    <row r="196" spans="1:6" x14ac:dyDescent="0.3">
      <c r="A196" t="str">
        <f>$A$28</f>
        <v>Electricity, gas, etc</v>
      </c>
      <c r="B196" s="17">
        <f t="shared" si="43"/>
        <v>2.0061729788075411</v>
      </c>
      <c r="C196" s="17">
        <f t="shared" si="43"/>
        <v>1.3882522883906789</v>
      </c>
      <c r="D196" s="17">
        <f t="shared" si="43"/>
        <v>-0.8322710784564924</v>
      </c>
      <c r="E196" s="17">
        <f t="shared" si="43"/>
        <v>-0.10563002552371747</v>
      </c>
      <c r="F196" s="17">
        <f t="shared" si="42"/>
        <v>-0.34843338980957705</v>
      </c>
    </row>
    <row r="197" spans="1:6" x14ac:dyDescent="0.3">
      <c r="A197" t="str">
        <f>$A$29</f>
        <v>Water</v>
      </c>
      <c r="B197" s="17">
        <f t="shared" si="43"/>
        <v>4.9465379852196234</v>
      </c>
      <c r="C197" s="17">
        <f t="shared" si="43"/>
        <v>-3.9810002556003976</v>
      </c>
      <c r="D197" s="17">
        <f t="shared" si="43"/>
        <v>0.99936811517398194</v>
      </c>
      <c r="E197" s="17">
        <f t="shared" si="43"/>
        <v>0.75441408960323919</v>
      </c>
      <c r="F197" s="17">
        <f t="shared" si="42"/>
        <v>0.83599935047060647</v>
      </c>
    </row>
    <row r="198" spans="1:6" x14ac:dyDescent="0.3">
      <c r="A198" t="str">
        <f>$A$30</f>
        <v>Sewerage</v>
      </c>
      <c r="B198" s="17">
        <f t="shared" si="43"/>
        <v>-0.85159481976372353</v>
      </c>
      <c r="C198" s="17">
        <f t="shared" si="43"/>
        <v>-7.490344317645226</v>
      </c>
      <c r="D198" s="17">
        <f t="shared" si="43"/>
        <v>1.0515996528396299</v>
      </c>
      <c r="E198" s="17">
        <f t="shared" si="43"/>
        <v>0.800893204250408</v>
      </c>
      <c r="F198" s="17">
        <f t="shared" si="42"/>
        <v>0.88439283342856001</v>
      </c>
    </row>
    <row r="199" spans="1:6" x14ac:dyDescent="0.3">
      <c r="A199" t="str">
        <f>$A$31</f>
        <v>Waste management</v>
      </c>
      <c r="B199" s="17">
        <f t="shared" si="43"/>
        <v>2.7513679500625665</v>
      </c>
      <c r="C199" s="17">
        <f t="shared" si="43"/>
        <v>-6.1253279545658952</v>
      </c>
      <c r="D199" s="17">
        <f t="shared" si="43"/>
        <v>0.97513596774831957</v>
      </c>
      <c r="E199" s="17">
        <f t="shared" si="43"/>
        <v>0.72605058380710297</v>
      </c>
      <c r="F199" s="17">
        <f t="shared" si="42"/>
        <v>0.80901069864933728</v>
      </c>
    </row>
    <row r="200" spans="1:6" x14ac:dyDescent="0.3">
      <c r="A200" t="str">
        <f>$A$32</f>
        <v>Construction</v>
      </c>
      <c r="B200" s="17">
        <f t="shared" si="43"/>
        <v>3.6325867656949562</v>
      </c>
      <c r="C200" s="17">
        <f t="shared" si="43"/>
        <v>0.13069526204962933</v>
      </c>
      <c r="D200" s="17">
        <f t="shared" si="43"/>
        <v>0.96661915755922312</v>
      </c>
      <c r="E200" s="17">
        <f t="shared" si="43"/>
        <v>0.7319818631629893</v>
      </c>
      <c r="F200" s="17">
        <f t="shared" si="42"/>
        <v>0.81013364576059121</v>
      </c>
    </row>
    <row r="201" spans="1:6" x14ac:dyDescent="0.3">
      <c r="A201" t="str">
        <f>$A$33</f>
        <v>Civil engineering</v>
      </c>
      <c r="B201" s="17">
        <f t="shared" si="43"/>
        <v>1.337050466077172</v>
      </c>
      <c r="C201" s="17">
        <f t="shared" si="43"/>
        <v>-1.4084014397044431</v>
      </c>
      <c r="D201" s="17">
        <f t="shared" si="43"/>
        <v>0.75411624342247574</v>
      </c>
      <c r="E201" s="17">
        <f t="shared" si="43"/>
        <v>0.60042785899461215</v>
      </c>
      <c r="F201" s="17">
        <f t="shared" si="42"/>
        <v>0.65163125465164118</v>
      </c>
    </row>
    <row r="202" spans="1:6" x14ac:dyDescent="0.3">
      <c r="A202" t="str">
        <f>$A$34</f>
        <v>Specialised construction</v>
      </c>
      <c r="B202" s="17">
        <f t="shared" si="43"/>
        <v>1.9697049145261936</v>
      </c>
      <c r="C202" s="17">
        <f t="shared" si="43"/>
        <v>-0.87846873061190323</v>
      </c>
      <c r="D202" s="17">
        <f t="shared" si="43"/>
        <v>0.80140549789013971</v>
      </c>
      <c r="E202" s="17">
        <f t="shared" si="43"/>
        <v>0.62642297490622667</v>
      </c>
      <c r="F202" s="17">
        <f t="shared" si="42"/>
        <v>0.68471670599894452</v>
      </c>
    </row>
    <row r="203" spans="1:6" x14ac:dyDescent="0.3">
      <c r="A203" t="str">
        <f>$A$35</f>
        <v>Motor vehicle trade</v>
      </c>
      <c r="B203" s="17">
        <f t="shared" si="43"/>
        <v>3.2337292858307443</v>
      </c>
      <c r="C203" s="17">
        <f t="shared" si="43"/>
        <v>-7.3139739139525322</v>
      </c>
      <c r="D203" s="17">
        <f t="shared" si="43"/>
        <v>0.49931138452528057</v>
      </c>
      <c r="E203" s="17">
        <f t="shared" si="43"/>
        <v>0.36362291470912744</v>
      </c>
      <c r="F203" s="17">
        <f t="shared" si="42"/>
        <v>0.40883203699304538</v>
      </c>
    </row>
    <row r="204" spans="1:6" x14ac:dyDescent="0.3">
      <c r="A204" t="str">
        <f>$A$36</f>
        <v>Wholesale trade</v>
      </c>
      <c r="B204" s="17">
        <f t="shared" si="43"/>
        <v>0.56244643450933385</v>
      </c>
      <c r="C204" s="17">
        <f t="shared" si="43"/>
        <v>-0.38869215945818159</v>
      </c>
      <c r="D204" s="17">
        <f t="shared" si="43"/>
        <v>0.22735663712021292</v>
      </c>
      <c r="E204" s="17">
        <f t="shared" si="43"/>
        <v>5.5821099473485347E-2</v>
      </c>
      <c r="F204" s="17">
        <f t="shared" si="42"/>
        <v>0.11296696752540747</v>
      </c>
    </row>
    <row r="205" spans="1:6" x14ac:dyDescent="0.3">
      <c r="A205" t="str">
        <f>$A$37</f>
        <v>Retail trade</v>
      </c>
      <c r="B205" s="17">
        <f t="shared" si="43"/>
        <v>-0.69854886881743905</v>
      </c>
      <c r="C205" s="17">
        <f t="shared" si="43"/>
        <v>1.3804269078998788</v>
      </c>
      <c r="D205" s="17">
        <f t="shared" si="43"/>
        <v>-1.7925244984107191E-2</v>
      </c>
      <c r="E205" s="17">
        <f t="shared" si="43"/>
        <v>6.7920102872864874E-2</v>
      </c>
      <c r="F205" s="17">
        <f t="shared" si="42"/>
        <v>3.9296800327548453E-2</v>
      </c>
    </row>
    <row r="206" spans="1:6" x14ac:dyDescent="0.3">
      <c r="A206" t="str">
        <f>$A$38</f>
        <v>Land transport, etc</v>
      </c>
      <c r="B206" s="17">
        <f t="shared" si="43"/>
        <v>3.5253650713486406</v>
      </c>
      <c r="C206" s="17">
        <f t="shared" si="43"/>
        <v>-6.0980477266783346</v>
      </c>
      <c r="D206" s="17">
        <f t="shared" si="43"/>
        <v>1.6330633734942035</v>
      </c>
      <c r="E206" s="17">
        <f t="shared" si="43"/>
        <v>8.3242792393334319E-2</v>
      </c>
      <c r="F206" s="17">
        <f t="shared" si="42"/>
        <v>0.59720575255690633</v>
      </c>
    </row>
    <row r="207" spans="1:6" x14ac:dyDescent="0.3">
      <c r="A207" t="str">
        <f>$A$39</f>
        <v>Water transport</v>
      </c>
      <c r="B207" s="17">
        <f t="shared" si="43"/>
        <v>1.3595973373743186</v>
      </c>
      <c r="C207" s="17">
        <f t="shared" si="43"/>
        <v>-2.6318560088345322E-2</v>
      </c>
      <c r="D207" s="17">
        <f t="shared" si="43"/>
        <v>-3.4198526281487118</v>
      </c>
      <c r="E207" s="17">
        <f t="shared" si="43"/>
        <v>-0.56951395165270036</v>
      </c>
      <c r="F207" s="17">
        <f t="shared" si="42"/>
        <v>-1.5288531058879506</v>
      </c>
    </row>
    <row r="208" spans="1:6" x14ac:dyDescent="0.3">
      <c r="A208" t="str">
        <f>$A$40</f>
        <v>Air transport</v>
      </c>
      <c r="B208" s="17">
        <f t="shared" si="43"/>
        <v>1.2726117431233863</v>
      </c>
      <c r="C208" s="17">
        <f t="shared" si="43"/>
        <v>-6.2202906430811495</v>
      </c>
      <c r="D208" s="17">
        <f t="shared" si="43"/>
        <v>1.4440917423447441</v>
      </c>
      <c r="E208" s="17">
        <f t="shared" si="43"/>
        <v>0.28360788715398044</v>
      </c>
      <c r="F208" s="17">
        <f t="shared" si="42"/>
        <v>0.66895323138265184</v>
      </c>
    </row>
    <row r="209" spans="1:6" x14ac:dyDescent="0.3">
      <c r="A209" t="str">
        <f>$A$41</f>
        <v>Warehousing, etc</v>
      </c>
      <c r="B209" s="17">
        <f t="shared" si="43"/>
        <v>3.3247343221222136</v>
      </c>
      <c r="C209" s="17">
        <f t="shared" si="43"/>
        <v>2.9456804545732185</v>
      </c>
      <c r="D209" s="17">
        <f t="shared" si="43"/>
        <v>0.98406956399215151</v>
      </c>
      <c r="E209" s="17">
        <f t="shared" si="43"/>
        <v>0.24553515348364474</v>
      </c>
      <c r="F209" s="17">
        <f t="shared" si="42"/>
        <v>0.49111120025424615</v>
      </c>
    </row>
    <row r="210" spans="1:6" x14ac:dyDescent="0.3">
      <c r="A210" t="str">
        <f>$A$42</f>
        <v>Postal and courier</v>
      </c>
      <c r="B210" s="17">
        <f t="shared" si="43"/>
        <v>1.6625167173552891</v>
      </c>
      <c r="C210" s="17">
        <f t="shared" si="43"/>
        <v>5.6939419770113631</v>
      </c>
      <c r="D210" s="17">
        <f t="shared" si="43"/>
        <v>1.0643809259904158</v>
      </c>
      <c r="E210" s="17">
        <f t="shared" si="43"/>
        <v>0.36573398678056979</v>
      </c>
      <c r="F210" s="17">
        <f t="shared" si="42"/>
        <v>0.59807801450098008</v>
      </c>
    </row>
    <row r="211" spans="1:6" x14ac:dyDescent="0.3">
      <c r="A211" t="str">
        <f>$A$43</f>
        <v>Accommodation</v>
      </c>
      <c r="B211" s="17">
        <f t="shared" si="43"/>
        <v>3.3445289558061697</v>
      </c>
      <c r="C211" s="17">
        <f t="shared" si="43"/>
        <v>-8.3370310381665309</v>
      </c>
      <c r="D211" s="17">
        <f t="shared" si="43"/>
        <v>2.132149790319593</v>
      </c>
      <c r="E211" s="17">
        <f t="shared" si="43"/>
        <v>0.88109643066895948</v>
      </c>
      <c r="F211" s="17">
        <f t="shared" si="42"/>
        <v>1.296402146968556</v>
      </c>
    </row>
    <row r="212" spans="1:6" x14ac:dyDescent="0.3">
      <c r="A212" t="str">
        <f>$A$44</f>
        <v>Food and beverage services</v>
      </c>
      <c r="B212" s="17">
        <f t="shared" si="43"/>
        <v>2.8934105483489292</v>
      </c>
      <c r="C212" s="17">
        <f t="shared" si="43"/>
        <v>-3.1571362011831861</v>
      </c>
      <c r="D212" s="17">
        <f t="shared" si="43"/>
        <v>0.42293814276102015</v>
      </c>
      <c r="E212" s="17">
        <f t="shared" si="43"/>
        <v>1.4161394139274863</v>
      </c>
      <c r="F212" s="17">
        <f t="shared" si="42"/>
        <v>1.083985655531583</v>
      </c>
    </row>
    <row r="213" spans="1:6" x14ac:dyDescent="0.3">
      <c r="A213" t="str">
        <f>$A$45</f>
        <v>Publishing activities</v>
      </c>
      <c r="B213" s="17">
        <f t="shared" ref="B213:C238" si="44">IF(AND(C$3-B$3 &lt;&gt; 0,B45&lt;&gt;0,C45&lt;&gt;0),(EXP(LN(C45/B45)/(C$3-B$3))-1)*100,0)</f>
        <v>-2.2822566992206861</v>
      </c>
      <c r="C213" s="17">
        <f t="shared" si="44"/>
        <v>0.69775260282218809</v>
      </c>
      <c r="D213" s="17">
        <f t="shared" ref="D213:E213" si="45">IF(AND(E$3-D$3 &lt;&gt; 0,D45&lt;&gt;0,E45&lt;&gt;0),(EXP(LN(E45/D45)/(E$3-D$3))-1)*100,0)</f>
        <v>6.1782269480503693E-2</v>
      </c>
      <c r="E213" s="17">
        <f t="shared" si="45"/>
        <v>3.2920291790161649E-2</v>
      </c>
      <c r="F213" s="17">
        <f t="shared" si="42"/>
        <v>4.2540025902315648E-2</v>
      </c>
    </row>
    <row r="214" spans="1:6" x14ac:dyDescent="0.3">
      <c r="A214" t="str">
        <f>$A$46</f>
        <v>Film and music</v>
      </c>
      <c r="B214" s="17">
        <f t="shared" si="44"/>
        <v>3.439958806126775</v>
      </c>
      <c r="C214" s="17">
        <f t="shared" si="44"/>
        <v>-1.4875994813128068</v>
      </c>
      <c r="D214" s="17">
        <f t="shared" ref="D214:E214" si="46">IF(AND(E$3-D$3 &lt;&gt; 0,D46&lt;&gt;0,E46&lt;&gt;0),(EXP(LN(E46/D46)/(E$3-D$3))-1)*100,0)</f>
        <v>0.31076069629234482</v>
      </c>
      <c r="E214" s="17">
        <f t="shared" si="46"/>
        <v>0.20016781565699304</v>
      </c>
      <c r="F214" s="17">
        <f t="shared" si="42"/>
        <v>0.23701855489888235</v>
      </c>
    </row>
    <row r="215" spans="1:6" x14ac:dyDescent="0.3">
      <c r="A215" t="str">
        <f>$A$47</f>
        <v>Broadcasting</v>
      </c>
      <c r="B215" s="17">
        <f t="shared" si="44"/>
        <v>4.6848768929678375</v>
      </c>
      <c r="C215" s="17">
        <f t="shared" si="44"/>
        <v>-1.1587580066887537</v>
      </c>
      <c r="D215" s="17">
        <f t="shared" ref="D215:E215" si="47">IF(AND(E$3-D$3 &lt;&gt; 0,D47&lt;&gt;0,E47&lt;&gt;0),(EXP(LN(E47/D47)/(E$3-D$3))-1)*100,0)</f>
        <v>0.29505453738092324</v>
      </c>
      <c r="E215" s="17">
        <f t="shared" si="47"/>
        <v>6.4487436230264983E-2</v>
      </c>
      <c r="F215" s="17">
        <f t="shared" si="42"/>
        <v>0.14128418214236493</v>
      </c>
    </row>
    <row r="216" spans="1:6" x14ac:dyDescent="0.3">
      <c r="A216" t="str">
        <f>$A$48</f>
        <v>Telecommunications</v>
      </c>
      <c r="B216" s="17">
        <f t="shared" si="44"/>
        <v>-0.56359898096687289</v>
      </c>
      <c r="C216" s="17">
        <f t="shared" si="44"/>
        <v>-4.1083296357094952</v>
      </c>
      <c r="D216" s="17">
        <f t="shared" ref="D216:E216" si="48">IF(AND(E$3-D$3 &lt;&gt; 0,D48&lt;&gt;0,E48&lt;&gt;0),(EXP(LN(E48/D48)/(E$3-D$3))-1)*100,0)</f>
        <v>1.3898921204672066</v>
      </c>
      <c r="E216" s="17">
        <f t="shared" si="48"/>
        <v>0.73504178584995472</v>
      </c>
      <c r="F216" s="17">
        <f t="shared" si="42"/>
        <v>0.95285393172235278</v>
      </c>
    </row>
    <row r="217" spans="1:6" x14ac:dyDescent="0.3">
      <c r="A217" t="str">
        <f>$A$49</f>
        <v>Computing services</v>
      </c>
      <c r="B217" s="17">
        <f t="shared" si="44"/>
        <v>3.2928820106511214</v>
      </c>
      <c r="C217" s="17">
        <f t="shared" si="44"/>
        <v>0.43532640843819692</v>
      </c>
      <c r="D217" s="17">
        <f t="shared" ref="D217:E217" si="49">IF(AND(E$3-D$3 &lt;&gt; 0,D49&lt;&gt;0,E49&lt;&gt;0),(EXP(LN(E49/D49)/(E$3-D$3))-1)*100,0)</f>
        <v>1.4635477013856368</v>
      </c>
      <c r="E217" s="17">
        <f t="shared" si="49"/>
        <v>0.78297563105702572</v>
      </c>
      <c r="F217" s="17">
        <f t="shared" si="42"/>
        <v>1.009324250593413</v>
      </c>
    </row>
    <row r="218" spans="1:6" x14ac:dyDescent="0.3">
      <c r="A218" t="str">
        <f>$A$50</f>
        <v>Information services</v>
      </c>
      <c r="B218" s="17">
        <f t="shared" si="44"/>
        <v>-9.7725991778407906E-2</v>
      </c>
      <c r="C218" s="17">
        <f t="shared" si="44"/>
        <v>2.7916210019342413</v>
      </c>
      <c r="D218" s="17">
        <f t="shared" ref="D218:E218" si="50">IF(AND(E$3-D$3 &lt;&gt; 0,D50&lt;&gt;0,E50&lt;&gt;0),(EXP(LN(E50/D50)/(E$3-D$3))-1)*100,0)</f>
        <v>1.6073515662060611</v>
      </c>
      <c r="E218" s="17">
        <f t="shared" si="50"/>
        <v>0.8875493123479572</v>
      </c>
      <c r="F218" s="17">
        <f t="shared" si="42"/>
        <v>1.1269150289169971</v>
      </c>
    </row>
    <row r="219" spans="1:6" x14ac:dyDescent="0.3">
      <c r="A219" t="str">
        <f>$A$51</f>
        <v>Financial services</v>
      </c>
      <c r="B219" s="17">
        <f t="shared" si="44"/>
        <v>-1.0084924590003097</v>
      </c>
      <c r="C219" s="17">
        <f t="shared" si="44"/>
        <v>-0.32168800338893133</v>
      </c>
      <c r="D219" s="17">
        <f t="shared" ref="D219:E219" si="51">IF(AND(E$3-D$3 &lt;&gt; 0,D51&lt;&gt;0,E51&lt;&gt;0),(EXP(LN(E51/D51)/(E$3-D$3))-1)*100,0)</f>
        <v>8.2652120571324872E-2</v>
      </c>
      <c r="E219" s="17">
        <f t="shared" si="51"/>
        <v>-0.15449627576737957</v>
      </c>
      <c r="F219" s="17">
        <f t="shared" si="42"/>
        <v>-7.5509312740251744E-2</v>
      </c>
    </row>
    <row r="220" spans="1:6" x14ac:dyDescent="0.3">
      <c r="A220" t="str">
        <f>$A$52</f>
        <v>Insurance and pensions</v>
      </c>
      <c r="B220" s="17">
        <f t="shared" si="44"/>
        <v>2.750653816594939</v>
      </c>
      <c r="C220" s="17">
        <f t="shared" si="44"/>
        <v>8.9580283993440091E-2</v>
      </c>
      <c r="D220" s="17">
        <f t="shared" ref="D220:E220" si="52">IF(AND(E$3-D$3 &lt;&gt; 0,D52&lt;&gt;0,E52&lt;&gt;0),(EXP(LN(E52/D52)/(E$3-D$3))-1)*100,0)</f>
        <v>-5.5070444539884189E-2</v>
      </c>
      <c r="E220" s="17">
        <f t="shared" si="52"/>
        <v>-0.30543661705200176</v>
      </c>
      <c r="F220" s="17">
        <f t="shared" si="42"/>
        <v>-0.22205099031287201</v>
      </c>
    </row>
    <row r="221" spans="1:6" x14ac:dyDescent="0.3">
      <c r="A221" t="str">
        <f>$A$53</f>
        <v>Auxiliary financial services</v>
      </c>
      <c r="B221" s="17">
        <f t="shared" si="44"/>
        <v>1.5257429618164231</v>
      </c>
      <c r="C221" s="17">
        <f t="shared" si="44"/>
        <v>3.3853667693476419</v>
      </c>
      <c r="D221" s="17">
        <f t="shared" ref="D221:E221" si="53">IF(AND(E$3-D$3 &lt;&gt; 0,D53&lt;&gt;0,E53&lt;&gt;0),(EXP(LN(E53/D53)/(E$3-D$3))-1)*100,0)</f>
        <v>0.20546714472871042</v>
      </c>
      <c r="E221" s="17">
        <f t="shared" si="53"/>
        <v>-0.17537479483572538</v>
      </c>
      <c r="F221" s="17">
        <f t="shared" si="42"/>
        <v>-4.8588579671016152E-2</v>
      </c>
    </row>
    <row r="222" spans="1:6" x14ac:dyDescent="0.3">
      <c r="A222" t="str">
        <f>$A$54</f>
        <v>Real estate</v>
      </c>
      <c r="B222" s="17">
        <f t="shared" si="44"/>
        <v>0.95337405337467818</v>
      </c>
      <c r="C222" s="17">
        <f t="shared" si="44"/>
        <v>8.9948892673400884</v>
      </c>
      <c r="D222" s="17">
        <f t="shared" ref="D222:E222" si="54">IF(AND(E$3-D$3 &lt;&gt; 0,D54&lt;&gt;0,E54&lt;&gt;0),(EXP(LN(E54/D54)/(E$3-D$3))-1)*100,0)</f>
        <v>-0.76640232617636306</v>
      </c>
      <c r="E222" s="17">
        <f t="shared" si="54"/>
        <v>0.83245869962427221</v>
      </c>
      <c r="F222" s="17">
        <f t="shared" si="42"/>
        <v>0.296662997538788</v>
      </c>
    </row>
    <row r="223" spans="1:6" x14ac:dyDescent="0.3">
      <c r="A223" t="str">
        <f>$A$55</f>
        <v>Legal and accounting</v>
      </c>
      <c r="B223" s="17">
        <f t="shared" si="44"/>
        <v>3.618026145154607</v>
      </c>
      <c r="C223" s="17">
        <f t="shared" si="44"/>
        <v>-3.8820777461047729</v>
      </c>
      <c r="D223" s="17">
        <f t="shared" ref="D223:E223" si="55">IF(AND(E$3-D$3 &lt;&gt; 0,D55&lt;&gt;0,E55&lt;&gt;0),(EXP(LN(E55/D55)/(E$3-D$3))-1)*100,0)</f>
        <v>0.9769048034629968</v>
      </c>
      <c r="E223" s="17">
        <f t="shared" si="55"/>
        <v>0.51146253009082265</v>
      </c>
      <c r="F223" s="17">
        <f t="shared" si="42"/>
        <v>0.66637108638218923</v>
      </c>
    </row>
    <row r="224" spans="1:6" x14ac:dyDescent="0.3">
      <c r="A224" t="str">
        <f>$A$56</f>
        <v>Head offices, etc</v>
      </c>
      <c r="B224" s="17">
        <f t="shared" si="44"/>
        <v>1.2836269148013724</v>
      </c>
      <c r="C224" s="17">
        <f t="shared" si="44"/>
        <v>1.1074835679960593</v>
      </c>
      <c r="D224" s="17">
        <f t="shared" ref="D224:E224" si="56">IF(AND(E$3-D$3 &lt;&gt; 0,D56&lt;&gt;0,E56&lt;&gt;0),(EXP(LN(E56/D56)/(E$3-D$3))-1)*100,0)</f>
        <v>0.6925855266733727</v>
      </c>
      <c r="E224" s="17">
        <f t="shared" si="56"/>
        <v>0.35576330790016986</v>
      </c>
      <c r="F224" s="17">
        <f t="shared" si="42"/>
        <v>0.46791200670224242</v>
      </c>
    </row>
    <row r="225" spans="1:6" x14ac:dyDescent="0.3">
      <c r="A225" t="str">
        <f>$A$57</f>
        <v>Architectural and related</v>
      </c>
      <c r="B225" s="17">
        <f t="shared" si="44"/>
        <v>2.7298656086956363</v>
      </c>
      <c r="C225" s="17">
        <f t="shared" si="44"/>
        <v>2.4028162260112396</v>
      </c>
      <c r="D225" s="17">
        <f t="shared" ref="D225:E225" si="57">IF(AND(E$3-D$3 &lt;&gt; 0,D57&lt;&gt;0,E57&lt;&gt;0),(EXP(LN(E57/D57)/(E$3-D$3))-1)*100,0)</f>
        <v>-0.21989638986662507</v>
      </c>
      <c r="E225" s="17">
        <f t="shared" si="57"/>
        <v>0.42642211622252457</v>
      </c>
      <c r="F225" s="17">
        <f t="shared" si="42"/>
        <v>0.21051878362658982</v>
      </c>
    </row>
    <row r="226" spans="1:6" x14ac:dyDescent="0.3">
      <c r="A226" t="str">
        <f>$A$58</f>
        <v>Scientific research and development</v>
      </c>
      <c r="B226" s="17">
        <f t="shared" si="44"/>
        <v>3.1737913477090984</v>
      </c>
      <c r="C226" s="17">
        <f t="shared" si="44"/>
        <v>-8.7119210878254023</v>
      </c>
      <c r="D226" s="17">
        <f t="shared" ref="D226:E226" si="58">IF(AND(E$3-D$3 &lt;&gt; 0,D58&lt;&gt;0,E58&lt;&gt;0),(EXP(LN(E58/D58)/(E$3-D$3))-1)*100,0)</f>
        <v>2.2685241935014311</v>
      </c>
      <c r="E226" s="17">
        <f t="shared" si="58"/>
        <v>1.272660508026946</v>
      </c>
      <c r="F226" s="17">
        <f t="shared" si="42"/>
        <v>1.6035328848436059</v>
      </c>
    </row>
    <row r="227" spans="1:6" x14ac:dyDescent="0.3">
      <c r="A227" t="str">
        <f>$A$59</f>
        <v>Advertising, etc</v>
      </c>
      <c r="B227" s="17">
        <f t="shared" si="44"/>
        <v>-1.8732982045669089</v>
      </c>
      <c r="C227" s="17">
        <f t="shared" si="44"/>
        <v>-6.0716660910697939</v>
      </c>
      <c r="D227" s="17">
        <f t="shared" ref="D227:E227" si="59">IF(AND(E$3-D$3 &lt;&gt; 0,D59&lt;&gt;0,E59&lt;&gt;0),(EXP(LN(E59/D59)/(E$3-D$3))-1)*100,0)</f>
        <v>2.3773459704898414</v>
      </c>
      <c r="E227" s="17">
        <f t="shared" si="59"/>
        <v>1.1087763342617629</v>
      </c>
      <c r="F227" s="17">
        <f t="shared" si="42"/>
        <v>1.5298766360778204</v>
      </c>
    </row>
    <row r="228" spans="1:6" x14ac:dyDescent="0.3">
      <c r="A228" t="str">
        <f>$A$60</f>
        <v>Other professional</v>
      </c>
      <c r="B228" s="17">
        <f t="shared" si="44"/>
        <v>4.270143903367396</v>
      </c>
      <c r="C228" s="17">
        <f t="shared" si="44"/>
        <v>-5.2082268588579677</v>
      </c>
      <c r="D228" s="17">
        <f t="shared" ref="D228:E228" si="60">IF(AND(E$3-D$3 &lt;&gt; 0,D60&lt;&gt;0,E60&lt;&gt;0),(EXP(LN(E60/D60)/(E$3-D$3))-1)*100,0)</f>
        <v>2.3061132952591601</v>
      </c>
      <c r="E228" s="17">
        <f t="shared" si="60"/>
        <v>1.1962118852320236</v>
      </c>
      <c r="F228" s="17">
        <f t="shared" si="42"/>
        <v>1.5648346265581425</v>
      </c>
    </row>
    <row r="229" spans="1:6" x14ac:dyDescent="0.3">
      <c r="A229" t="str">
        <f>$A$61</f>
        <v>Veterinary</v>
      </c>
      <c r="B229" s="17">
        <f t="shared" si="44"/>
        <v>9.9389356466201164</v>
      </c>
      <c r="C229" s="17">
        <f t="shared" si="44"/>
        <v>-5.4122656840366545</v>
      </c>
      <c r="D229" s="17">
        <f t="shared" ref="D229:E229" si="61">IF(AND(E$3-D$3 &lt;&gt; 0,D61&lt;&gt;0,E61&lt;&gt;0),(EXP(LN(E61/D61)/(E$3-D$3))-1)*100,0)</f>
        <v>2.5541134428946011</v>
      </c>
      <c r="E229" s="17">
        <f t="shared" si="61"/>
        <v>1.4613602683402727</v>
      </c>
      <c r="F229" s="17">
        <f t="shared" si="42"/>
        <v>1.8243114167231456</v>
      </c>
    </row>
    <row r="230" spans="1:6" x14ac:dyDescent="0.3">
      <c r="A230" t="str">
        <f>$A$62</f>
        <v>Rental and leasing</v>
      </c>
      <c r="B230" s="17">
        <f t="shared" si="44"/>
        <v>-0.17133544365600661</v>
      </c>
      <c r="C230" s="17">
        <f t="shared" si="44"/>
        <v>-6.0254316379535711</v>
      </c>
      <c r="D230" s="17">
        <f t="shared" ref="D230:E230" si="62">IF(AND(E$3-D$3 &lt;&gt; 0,D62&lt;&gt;0,E62&lt;&gt;0),(EXP(LN(E62/D62)/(E$3-D$3))-1)*100,0)</f>
        <v>1.1833776465723922</v>
      </c>
      <c r="E230" s="17">
        <f t="shared" si="62"/>
        <v>0.71093985374550694</v>
      </c>
      <c r="F230" s="17">
        <f t="shared" si="42"/>
        <v>0.8681735112484823</v>
      </c>
    </row>
    <row r="231" spans="1:6" x14ac:dyDescent="0.3">
      <c r="A231" t="str">
        <f>$A$63</f>
        <v>Employment activities</v>
      </c>
      <c r="B231" s="17">
        <f t="shared" si="44"/>
        <v>0.55891398009344506</v>
      </c>
      <c r="C231" s="17">
        <f t="shared" si="44"/>
        <v>-5.9231338313857957</v>
      </c>
      <c r="D231" s="17">
        <f t="shared" ref="D231:E231" si="63">IF(AND(E$3-D$3 &lt;&gt; 0,D63&lt;&gt;0,E63&lt;&gt;0),(EXP(LN(E63/D63)/(E$3-D$3))-1)*100,0)</f>
        <v>1.1878540274125271</v>
      </c>
      <c r="E231" s="17">
        <f t="shared" si="63"/>
        <v>0.6897752911441124</v>
      </c>
      <c r="F231" s="17">
        <f t="shared" si="42"/>
        <v>0.85552852760366616</v>
      </c>
    </row>
    <row r="232" spans="1:6" x14ac:dyDescent="0.3">
      <c r="A232" t="str">
        <f>$A$64</f>
        <v>Travel, etc</v>
      </c>
      <c r="B232" s="17">
        <f t="shared" si="44"/>
        <v>1.621250405006136</v>
      </c>
      <c r="C232" s="17">
        <f t="shared" si="44"/>
        <v>-6.3554147916385357</v>
      </c>
      <c r="D232" s="17">
        <f t="shared" ref="D232:E232" si="64">IF(AND(E$3-D$3 &lt;&gt; 0,D64&lt;&gt;0,E64&lt;&gt;0),(EXP(LN(E64/D64)/(E$3-D$3))-1)*100,0)</f>
        <v>1.1233917726332976</v>
      </c>
      <c r="E232" s="17">
        <f t="shared" si="64"/>
        <v>0.70133204948599204</v>
      </c>
      <c r="F232" s="17">
        <f t="shared" si="42"/>
        <v>0.84182253158322506</v>
      </c>
    </row>
    <row r="233" spans="1:6" x14ac:dyDescent="0.3">
      <c r="A233" t="str">
        <f>$A$65</f>
        <v>Security, etc</v>
      </c>
      <c r="B233" s="17">
        <f t="shared" si="44"/>
        <v>2.6678648547661332</v>
      </c>
      <c r="C233" s="17">
        <f t="shared" si="44"/>
        <v>-5.5223052606164664</v>
      </c>
      <c r="D233" s="17">
        <f t="shared" ref="D233:E233" si="65">IF(AND(E$3-D$3 &lt;&gt; 0,D65&lt;&gt;0,E65&lt;&gt;0),(EXP(LN(E65/D65)/(E$3-D$3))-1)*100,0)</f>
        <v>1.1551028253251161</v>
      </c>
      <c r="E233" s="17">
        <f t="shared" si="65"/>
        <v>0.68821052840646324</v>
      </c>
      <c r="F233" s="17">
        <f t="shared" si="42"/>
        <v>0.84360135799632641</v>
      </c>
    </row>
    <row r="234" spans="1:6" x14ac:dyDescent="0.3">
      <c r="A234" t="str">
        <f>$A$66</f>
        <v>Services to buildings</v>
      </c>
      <c r="B234" s="17">
        <f t="shared" si="44"/>
        <v>0.90221367821348153</v>
      </c>
      <c r="C234" s="17">
        <f t="shared" si="44"/>
        <v>-5.5264225726768483</v>
      </c>
      <c r="D234" s="17">
        <f t="shared" ref="D234:E234" si="66">IF(AND(E$3-D$3 &lt;&gt; 0,D66&lt;&gt;0,E66&lt;&gt;0),(EXP(LN(E66/D66)/(E$3-D$3))-1)*100,0)</f>
        <v>1.106062323459156</v>
      </c>
      <c r="E234" s="17">
        <f t="shared" si="66"/>
        <v>0.63525605771417304</v>
      </c>
      <c r="F234" s="17">
        <f t="shared" si="42"/>
        <v>0.79194738114363172</v>
      </c>
    </row>
    <row r="235" spans="1:6" x14ac:dyDescent="0.3">
      <c r="A235" t="str">
        <f>$A$67</f>
        <v>Office administrative</v>
      </c>
      <c r="B235" s="17">
        <f t="shared" si="44"/>
        <v>4.0038285175199917</v>
      </c>
      <c r="C235" s="17">
        <f t="shared" si="44"/>
        <v>-5.9407006219953207</v>
      </c>
      <c r="D235" s="17">
        <f t="shared" ref="D235:E235" si="67">IF(AND(E$3-D$3 &lt;&gt; 0,D67&lt;&gt;0,E67&lt;&gt;0),(EXP(LN(E67/D67)/(E$3-D$3))-1)*100,0)</f>
        <v>1.1675344612522842</v>
      </c>
      <c r="E235" s="17">
        <f t="shared" si="67"/>
        <v>0.6945328258795902</v>
      </c>
      <c r="F235" s="17">
        <f t="shared" si="42"/>
        <v>0.85195380505007634</v>
      </c>
    </row>
    <row r="236" spans="1:6" x14ac:dyDescent="0.3">
      <c r="A236" t="str">
        <f>$A$68</f>
        <v>Public administration and defence</v>
      </c>
      <c r="B236" s="17">
        <f t="shared" si="44"/>
        <v>0.5215777254391929</v>
      </c>
      <c r="C236" s="17">
        <f t="shared" si="44"/>
        <v>3.2449799435853022</v>
      </c>
      <c r="D236" s="17">
        <f t="shared" ref="D236:E236" si="68">IF(AND(E$3-D$3 &lt;&gt; 0,D68&lt;&gt;0,E68&lt;&gt;0),(EXP(LN(E68/D68)/(E$3-D$3))-1)*100,0)</f>
        <v>0.3278655817396503</v>
      </c>
      <c r="E236" s="17">
        <f t="shared" si="68"/>
        <v>0.17464095927453016</v>
      </c>
      <c r="F236" s="17">
        <f t="shared" si="42"/>
        <v>0.22568981458614967</v>
      </c>
    </row>
    <row r="237" spans="1:6" x14ac:dyDescent="0.3">
      <c r="A237" t="str">
        <f>$A$69</f>
        <v xml:space="preserve">Education </v>
      </c>
      <c r="B237" s="17">
        <f t="shared" si="44"/>
        <v>-8.5619366260369922E-2</v>
      </c>
      <c r="C237" s="17">
        <f t="shared" si="44"/>
        <v>0.34952607327378704</v>
      </c>
      <c r="D237" s="17">
        <f t="shared" ref="D237:E237" si="69">IF(AND(E$3-D$3 &lt;&gt; 0,D69&lt;&gt;0,E69&lt;&gt;0),(EXP(LN(E69/D69)/(E$3-D$3))-1)*100,0)</f>
        <v>0.27305824840724302</v>
      </c>
      <c r="E237" s="17">
        <f t="shared" si="69"/>
        <v>0.34102053117455178</v>
      </c>
      <c r="F237" s="17">
        <f t="shared" si="42"/>
        <v>0.31836132035545361</v>
      </c>
    </row>
    <row r="238" spans="1:6" x14ac:dyDescent="0.3">
      <c r="A238" t="str">
        <f>$A$70</f>
        <v>Health</v>
      </c>
      <c r="B238" s="17">
        <f t="shared" si="44"/>
        <v>1.9487738228780582</v>
      </c>
      <c r="C238" s="17">
        <f t="shared" si="44"/>
        <v>3.5840431564752917</v>
      </c>
      <c r="D238" s="17">
        <f t="shared" ref="D238:E238" si="70">IF(AND(E$3-D$3 &lt;&gt; 0,D70&lt;&gt;0,E70&lt;&gt;0),(EXP(LN(E70/D70)/(E$3-D$3))-1)*100,0)</f>
        <v>1.2618700212355893</v>
      </c>
      <c r="E238" s="17">
        <f t="shared" si="70"/>
        <v>0.67259662987022573</v>
      </c>
      <c r="F238" s="17">
        <f t="shared" ref="F238:F249" si="71">IF(AND(F$3-D$3 &lt;&gt; 0,D70&lt;&gt;0,F70&lt;&gt;0),(EXP(LN(F70/D70)/(F$3-D$3))-1)*100,0)</f>
        <v>0.86863908710179683</v>
      </c>
    </row>
    <row r="239" spans="1:6" x14ac:dyDescent="0.3">
      <c r="A239" t="str">
        <f>$A$71</f>
        <v>Residential care</v>
      </c>
      <c r="B239" s="17">
        <f t="shared" ref="B239:C239" si="72">IF(AND(C$3-B$3 &lt;&gt; 0,B71&lt;&gt;0,C71&lt;&gt;0),(EXP(LN(C71/B71)/(C$3-B$3))-1)*100,0)</f>
        <v>-0.15891199402762179</v>
      </c>
      <c r="C239" s="17">
        <f t="shared" si="72"/>
        <v>-4.3427094995631466</v>
      </c>
      <c r="D239" s="17">
        <f t="shared" ref="D239:D247" si="73">IF(AND(E$3-D$3 &lt;&gt; 0,D71&lt;&gt;0,E71&lt;&gt;0),(EXP(LN(E71/D71)/(E$3-D$3))-1)*100,0)</f>
        <v>1.5780777108738153</v>
      </c>
      <c r="E239" s="17">
        <f t="shared" ref="E239:E247" si="74">IF(AND(F$3-E$3 &lt;&gt; 0,E71&lt;&gt;0,F71&lt;&gt;0),(EXP(LN(F71/E71)/(F$3-E$3))-1)*100,0)</f>
        <v>0.86134854440897968</v>
      </c>
      <c r="F239" s="17">
        <f t="shared" si="71"/>
        <v>1.0996945859788276</v>
      </c>
    </row>
    <row r="240" spans="1:6" x14ac:dyDescent="0.3">
      <c r="A240" t="str">
        <f>$A$72</f>
        <v>Social work</v>
      </c>
      <c r="B240" s="17">
        <f t="shared" ref="B240:C240" si="75">IF(AND(C$3-B$3 &lt;&gt; 0,B72&lt;&gt;0,C72&lt;&gt;0),(EXP(LN(C72/B72)/(C$3-B$3))-1)*100,0)</f>
        <v>-4.6718809059209665E-2</v>
      </c>
      <c r="C240" s="17">
        <f t="shared" si="75"/>
        <v>-4.3184340621849167</v>
      </c>
      <c r="D240" s="17">
        <f t="shared" si="73"/>
        <v>1.4126284026229952</v>
      </c>
      <c r="E240" s="17">
        <f t="shared" si="74"/>
        <v>0.71558182126876257</v>
      </c>
      <c r="F240" s="17">
        <f t="shared" si="71"/>
        <v>0.94739670901686779</v>
      </c>
    </row>
    <row r="241" spans="1:6" x14ac:dyDescent="0.3">
      <c r="A241" t="str">
        <f>$A$73</f>
        <v>Arts and entertainment</v>
      </c>
      <c r="B241" s="17">
        <f t="shared" ref="B241:C241" si="76">IF(AND(C$3-B$3 &lt;&gt; 0,B73&lt;&gt;0,C73&lt;&gt;0),(EXP(LN(C73/B73)/(C$3-B$3))-1)*100,0)</f>
        <v>3.3109223887064942</v>
      </c>
      <c r="C241" s="17">
        <f t="shared" si="76"/>
        <v>3.814053760166991</v>
      </c>
      <c r="D241" s="17">
        <f t="shared" si="73"/>
        <v>-0.75891945837307517</v>
      </c>
      <c r="E241" s="17">
        <f t="shared" si="74"/>
        <v>0.53499393658753558</v>
      </c>
      <c r="F241" s="17">
        <f t="shared" si="71"/>
        <v>0.10182579058182206</v>
      </c>
    </row>
    <row r="242" spans="1:6" x14ac:dyDescent="0.3">
      <c r="A242" t="str">
        <f>$A$74</f>
        <v>Libraries, etc</v>
      </c>
      <c r="B242" s="17">
        <f t="shared" ref="B242:C242" si="77">IF(AND(C$3-B$3 &lt;&gt; 0,B74&lt;&gt;0,C74&lt;&gt;0),(EXP(LN(C74/B74)/(C$3-B$3))-1)*100,0)</f>
        <v>0.20924527924506275</v>
      </c>
      <c r="C242" s="17">
        <f t="shared" si="77"/>
        <v>3.5542047886141459</v>
      </c>
      <c r="D242" s="17">
        <f t="shared" si="73"/>
        <v>-0.64372446364983071</v>
      </c>
      <c r="E242" s="17">
        <f t="shared" si="74"/>
        <v>0.75657204631394137</v>
      </c>
      <c r="F242" s="17">
        <f t="shared" si="71"/>
        <v>0.28762735057210609</v>
      </c>
    </row>
    <row r="243" spans="1:6" x14ac:dyDescent="0.3">
      <c r="A243" t="str">
        <f>$A$75</f>
        <v>Gambling and betting</v>
      </c>
      <c r="B243" s="17">
        <f t="shared" ref="B243:C243" si="78">IF(AND(C$3-B$3 &lt;&gt; 0,B75&lt;&gt;0,C75&lt;&gt;0),(EXP(LN(C75/B75)/(C$3-B$3))-1)*100,0)</f>
        <v>-1.3082617898073967</v>
      </c>
      <c r="C243" s="17">
        <f t="shared" si="78"/>
        <v>-6.5108856932430292</v>
      </c>
      <c r="D243" s="17">
        <f t="shared" si="73"/>
        <v>1.4371991953995966</v>
      </c>
      <c r="E243" s="17">
        <f t="shared" si="74"/>
        <v>0.95816156140096087</v>
      </c>
      <c r="F243" s="17">
        <f t="shared" si="71"/>
        <v>1.1175888817609669</v>
      </c>
    </row>
    <row r="244" spans="1:6" x14ac:dyDescent="0.3">
      <c r="A244" t="str">
        <f>$A$76</f>
        <v>Sport and recreation</v>
      </c>
      <c r="B244" s="17">
        <f t="shared" ref="B244:C244" si="79">IF(AND(C$3-B$3 &lt;&gt; 0,B76&lt;&gt;0,C76&lt;&gt;0),(EXP(LN(C76/B76)/(C$3-B$3))-1)*100,0)</f>
        <v>1.3255398183827927</v>
      </c>
      <c r="C244" s="17">
        <f t="shared" si="79"/>
        <v>-6.6327322731399736</v>
      </c>
      <c r="D244" s="17">
        <f t="shared" si="73"/>
        <v>1.4232783494871226</v>
      </c>
      <c r="E244" s="17">
        <f t="shared" si="74"/>
        <v>0.91864535832379968</v>
      </c>
      <c r="F244" s="17">
        <f t="shared" si="71"/>
        <v>1.086576757913793</v>
      </c>
    </row>
    <row r="245" spans="1:6" x14ac:dyDescent="0.3">
      <c r="A245" t="str">
        <f>$A$77</f>
        <v>Membership organisations</v>
      </c>
      <c r="B245" s="17">
        <f t="shared" ref="B245:C245" si="80">IF(AND(C$3-B$3 &lt;&gt; 0,B77&lt;&gt;0,C77&lt;&gt;0),(EXP(LN(C77/B77)/(C$3-B$3))-1)*100,0)</f>
        <v>0.52744817019674262</v>
      </c>
      <c r="C245" s="17">
        <f t="shared" si="80"/>
        <v>-4.8735947040549954</v>
      </c>
      <c r="D245" s="17">
        <f t="shared" si="73"/>
        <v>-0.2379465251840962</v>
      </c>
      <c r="E245" s="17">
        <f t="shared" si="74"/>
        <v>2.4131483905809326E-2</v>
      </c>
      <c r="F245" s="17">
        <f t="shared" si="71"/>
        <v>-6.3304261838925679E-2</v>
      </c>
    </row>
    <row r="246" spans="1:6" x14ac:dyDescent="0.3">
      <c r="A246" t="str">
        <f>$A$78</f>
        <v>Repair of goods</v>
      </c>
      <c r="B246" s="17">
        <f t="shared" ref="B246:C246" si="81">IF(AND(C$3-B$3 &lt;&gt; 0,B78&lt;&gt;0,C78&lt;&gt;0),(EXP(LN(C78/B78)/(C$3-B$3))-1)*100,0)</f>
        <v>2.5560420398567318</v>
      </c>
      <c r="C246" s="17">
        <f t="shared" si="81"/>
        <v>16.432270444542183</v>
      </c>
      <c r="D246" s="17">
        <f t="shared" si="73"/>
        <v>0.19095182528050536</v>
      </c>
      <c r="E246" s="17">
        <f t="shared" si="74"/>
        <v>0.2968974103400468</v>
      </c>
      <c r="F246" s="17">
        <f t="shared" si="71"/>
        <v>0.26156977330615838</v>
      </c>
    </row>
    <row r="247" spans="1:6" x14ac:dyDescent="0.3">
      <c r="A247" t="str">
        <f>$A$79</f>
        <v>Other personal service</v>
      </c>
      <c r="B247" s="17">
        <f>IF(AND(C$3-B$3 &lt;&gt; 0,B79&lt;&gt;0,C79&lt;&gt;0),(EXP(LN(C79/B79)/(C$3-B$3))-1)*100,0)</f>
        <v>1.3623115211704784</v>
      </c>
      <c r="C247" s="17">
        <f t="shared" ref="C247" si="82">IF(AND(D$3-C$3 &lt;&gt; 0,C79&lt;&gt;0,D79&lt;&gt;0),(EXP(LN(D79/C79)/(D$3-C$3))-1)*100,0)</f>
        <v>0.62893329164976919</v>
      </c>
      <c r="D247" s="17">
        <f t="shared" si="73"/>
        <v>-0.36978657111027546</v>
      </c>
      <c r="E247" s="17">
        <f t="shared" si="74"/>
        <v>3.55823382537368E-2</v>
      </c>
      <c r="F247" s="17">
        <f t="shared" si="71"/>
        <v>-9.9723560764974906E-2</v>
      </c>
    </row>
    <row r="248" spans="1:6" x14ac:dyDescent="0.3">
      <c r="B248" s="17"/>
      <c r="C248" s="17"/>
      <c r="D248" s="17"/>
      <c r="E248" s="17"/>
      <c r="F248" s="17"/>
    </row>
    <row r="249" spans="1:6" x14ac:dyDescent="0.3">
      <c r="A249" s="23" t="str">
        <f>$A$81</f>
        <v>All industries</v>
      </c>
      <c r="B249" s="25">
        <f>IF(AND(C$3-B$3 &lt;&gt; 0,B81&lt;&gt;0,C81&lt;&gt;0),(EXP(LN(C81/B81)/(C$3-B$3))-1)*100,0)</f>
        <v>1.2459947050990516</v>
      </c>
      <c r="C249" s="25">
        <f t="shared" ref="C249" si="83">IF(AND(D$3-C$3 &lt;&gt; 0,C81&lt;&gt;0,D81&lt;&gt;0),(EXP(LN(D81/C81)/(D$3-C$3))-1)*100,0)</f>
        <v>-1.1028869104620642</v>
      </c>
      <c r="D249" s="25">
        <f>IF(AND(E$3-D$3 &lt;&gt; 0,D81&lt;&gt;0,E81&lt;&gt;0),(EXP(LN(E81/D81)/(E$3-D$3))-1)*100,0)</f>
        <v>0.59186970332354427</v>
      </c>
      <c r="E249" s="25">
        <f>IF(AND(F$3-E$3 &lt;&gt; 0,E81&lt;&gt;0,F81&lt;&gt;0),(EXP(LN(F81/E81)/(F$3-E$3))-1)*100,0)</f>
        <v>0.42098726884287618</v>
      </c>
      <c r="F249" s="25">
        <f t="shared" si="71"/>
        <v>0.47791580152367619</v>
      </c>
    </row>
    <row r="253" spans="1:6" ht="15.45" x14ac:dyDescent="0.4">
      <c r="A253" s="18" t="str">
        <f>CONCATENATE($A$1," (Continued)")</f>
        <v>Industry Table 3  Employment by Industry (SIC 2007), 2015-2035, United Kingdom (Continued)</v>
      </c>
    </row>
    <row r="255" spans="1:6" x14ac:dyDescent="0.3">
      <c r="A255" s="21"/>
      <c r="B255" s="24" t="str">
        <f>CONCATENATE(B$3,"-",C$3)</f>
        <v>2015-2019</v>
      </c>
      <c r="C255" s="24" t="str">
        <f>CONCATENATE(C$3,"-",D$3)</f>
        <v>2019-2020</v>
      </c>
      <c r="D255" s="24" t="str">
        <f>CONCATENATE(D$3,"-",E$3)</f>
        <v>2020-2025</v>
      </c>
      <c r="E255" s="24" t="str">
        <f>CONCATENATE(E$3,"-",F$3)</f>
        <v>2025-2035</v>
      </c>
      <c r="F255" s="24" t="str">
        <f>CONCATENATE(D$3,"-",F$3)</f>
        <v>2020-2035</v>
      </c>
    </row>
    <row r="256" spans="1:6" x14ac:dyDescent="0.3">
      <c r="A256" s="27" t="s">
        <v>15</v>
      </c>
    </row>
    <row r="257" spans="1:6" x14ac:dyDescent="0.3">
      <c r="A257" t="str">
        <f>$A$5</f>
        <v>Agriculture, etc</v>
      </c>
      <c r="B257" s="26">
        <f t="shared" ref="B257:E276" si="84">C5-B5</f>
        <v>8.9180000013556082</v>
      </c>
      <c r="C257" s="26">
        <f t="shared" si="84"/>
        <v>-23.903000005872116</v>
      </c>
      <c r="D257" s="26">
        <f t="shared" si="84"/>
        <v>9.1690000002623151</v>
      </c>
      <c r="E257" s="26">
        <f t="shared" si="84"/>
        <v>4.0069999998445951</v>
      </c>
      <c r="F257" s="26">
        <f>F5-D5</f>
        <v>13.17600000010691</v>
      </c>
    </row>
    <row r="258" spans="1:6" x14ac:dyDescent="0.3">
      <c r="A258" t="str">
        <f>$A$6</f>
        <v>Coal, oil &amp; gas; Mining &amp; related</v>
      </c>
      <c r="B258" s="26">
        <f t="shared" si="84"/>
        <v>-13.006999999737722</v>
      </c>
      <c r="C258" s="26">
        <f t="shared" si="84"/>
        <v>0.99600000002718048</v>
      </c>
      <c r="D258" s="26">
        <f t="shared" si="84"/>
        <v>-7.8949999997558322</v>
      </c>
      <c r="E258" s="26">
        <f t="shared" si="84"/>
        <v>-7.1969999999806831</v>
      </c>
      <c r="F258" s="26">
        <f t="shared" ref="F258:F321" si="85">F6-D6</f>
        <v>-15.091999999736515</v>
      </c>
    </row>
    <row r="259" spans="1:6" x14ac:dyDescent="0.3">
      <c r="A259" t="str">
        <f>$A$7</f>
        <v>Food products</v>
      </c>
      <c r="B259" s="26">
        <f t="shared" si="84"/>
        <v>19.002999998692985</v>
      </c>
      <c r="C259" s="26">
        <f t="shared" si="84"/>
        <v>-1.938000000352929</v>
      </c>
      <c r="D259" s="26">
        <f t="shared" si="84"/>
        <v>6.6090000052935238</v>
      </c>
      <c r="E259" s="26">
        <f t="shared" si="84"/>
        <v>-9.030000004988608</v>
      </c>
      <c r="F259" s="26">
        <f t="shared" si="85"/>
        <v>-2.4209999996950842</v>
      </c>
    </row>
    <row r="260" spans="1:6" x14ac:dyDescent="0.3">
      <c r="A260" t="str">
        <f>$A$8</f>
        <v>Beverages and tobacco</v>
      </c>
      <c r="B260" s="26">
        <f t="shared" si="84"/>
        <v>6.9029999999829528</v>
      </c>
      <c r="C260" s="26">
        <f t="shared" si="84"/>
        <v>1.48799999980492</v>
      </c>
      <c r="D260" s="26">
        <f t="shared" si="84"/>
        <v>0.51300000051345762</v>
      </c>
      <c r="E260" s="26">
        <f t="shared" si="84"/>
        <v>-1.4680000003522053</v>
      </c>
      <c r="F260" s="26">
        <f t="shared" si="85"/>
        <v>-0.95499999983874773</v>
      </c>
    </row>
    <row r="261" spans="1:6" x14ac:dyDescent="0.3">
      <c r="A261" t="str">
        <f>$A$9</f>
        <v>Textiles</v>
      </c>
      <c r="B261" s="26">
        <f t="shared" si="84"/>
        <v>7.5279999998371636</v>
      </c>
      <c r="C261" s="26">
        <f t="shared" si="84"/>
        <v>3.0459999999031311</v>
      </c>
      <c r="D261" s="26">
        <f t="shared" si="84"/>
        <v>-7.8859999993079057</v>
      </c>
      <c r="E261" s="26">
        <f t="shared" si="84"/>
        <v>-8.7480000005221754</v>
      </c>
      <c r="F261" s="26">
        <f t="shared" si="85"/>
        <v>-16.633999999830081</v>
      </c>
    </row>
    <row r="262" spans="1:6" x14ac:dyDescent="0.3">
      <c r="A262" t="str">
        <f>$A$10</f>
        <v>Wearing apparel; Leather, etc</v>
      </c>
      <c r="B262" s="26">
        <f t="shared" si="84"/>
        <v>-6.6460000002005586</v>
      </c>
      <c r="C262" s="26">
        <f t="shared" si="84"/>
        <v>5.0519999997734431</v>
      </c>
      <c r="D262" s="26">
        <f t="shared" si="84"/>
        <v>-6.277999999741283</v>
      </c>
      <c r="E262" s="26">
        <f t="shared" si="84"/>
        <v>-6.6840000001120785</v>
      </c>
      <c r="F262" s="26">
        <f t="shared" si="85"/>
        <v>-12.961999999853361</v>
      </c>
    </row>
    <row r="263" spans="1:6" x14ac:dyDescent="0.3">
      <c r="A263" t="str">
        <f>$A$11</f>
        <v xml:space="preserve">Wood and cork </v>
      </c>
      <c r="B263" s="26">
        <f t="shared" si="84"/>
        <v>7.5260000003327292</v>
      </c>
      <c r="C263" s="26">
        <f t="shared" si="84"/>
        <v>2.6139999994587129</v>
      </c>
      <c r="D263" s="26">
        <f t="shared" si="84"/>
        <v>-0.85699999982469421</v>
      </c>
      <c r="E263" s="26">
        <f t="shared" si="84"/>
        <v>-3.8239999998290699</v>
      </c>
      <c r="F263" s="26">
        <f t="shared" si="85"/>
        <v>-4.6809999996537641</v>
      </c>
    </row>
    <row r="264" spans="1:6" x14ac:dyDescent="0.3">
      <c r="A264" t="str">
        <f>$A$12</f>
        <v>Paper, etc</v>
      </c>
      <c r="B264" s="26">
        <f t="shared" si="84"/>
        <v>-6.6190000001604261</v>
      </c>
      <c r="C264" s="26">
        <f t="shared" si="84"/>
        <v>-6.456999999954391</v>
      </c>
      <c r="D264" s="26">
        <f t="shared" si="84"/>
        <v>-0.48499999963132723</v>
      </c>
      <c r="E264" s="26">
        <f t="shared" si="84"/>
        <v>-2.2880000001772913</v>
      </c>
      <c r="F264" s="26">
        <f t="shared" si="85"/>
        <v>-2.7729999998086186</v>
      </c>
    </row>
    <row r="265" spans="1:6" x14ac:dyDescent="0.3">
      <c r="A265" t="str">
        <f>$A$13</f>
        <v>Printing and recording</v>
      </c>
      <c r="B265" s="26">
        <f t="shared" si="84"/>
        <v>-27.016000000232509</v>
      </c>
      <c r="C265" s="26">
        <f t="shared" si="84"/>
        <v>-4.9029999998142273</v>
      </c>
      <c r="D265" s="26">
        <f t="shared" si="84"/>
        <v>-6.4489999992059381</v>
      </c>
      <c r="E265" s="26">
        <f t="shared" si="84"/>
        <v>-12.540000000477164</v>
      </c>
      <c r="F265" s="26">
        <f t="shared" si="85"/>
        <v>-18.988999999683102</v>
      </c>
    </row>
    <row r="266" spans="1:6" x14ac:dyDescent="0.3">
      <c r="A266" t="str">
        <f>$A$14</f>
        <v>Coke and petroleum; Chemicals, etc</v>
      </c>
      <c r="B266" s="26">
        <f t="shared" si="84"/>
        <v>9.9389999998967795</v>
      </c>
      <c r="C266" s="26">
        <f t="shared" si="84"/>
        <v>-2.8510000000048308</v>
      </c>
      <c r="D266" s="26">
        <f t="shared" si="84"/>
        <v>-5.6649999988581357</v>
      </c>
      <c r="E266" s="26">
        <f t="shared" si="84"/>
        <v>-8.1620000007450955</v>
      </c>
      <c r="F266" s="26">
        <f t="shared" si="85"/>
        <v>-13.826999999603231</v>
      </c>
    </row>
    <row r="267" spans="1:6" x14ac:dyDescent="0.3">
      <c r="A267" t="str">
        <f>$A$15</f>
        <v>Pharmaceuticals</v>
      </c>
      <c r="B267" s="26">
        <f t="shared" si="84"/>
        <v>6.9679999998880362</v>
      </c>
      <c r="C267" s="26">
        <f t="shared" si="84"/>
        <v>2.0570000000722501</v>
      </c>
      <c r="D267" s="26">
        <f t="shared" si="84"/>
        <v>3.3920000003670125</v>
      </c>
      <c r="E267" s="26">
        <f t="shared" si="84"/>
        <v>-2.3140000001375611</v>
      </c>
      <c r="F267" s="26">
        <f t="shared" si="85"/>
        <v>1.0780000002294514</v>
      </c>
    </row>
    <row r="268" spans="1:6" x14ac:dyDescent="0.3">
      <c r="A268" t="str">
        <f>$A$16</f>
        <v>Rubber and plastic</v>
      </c>
      <c r="B268" s="26">
        <f t="shared" si="84"/>
        <v>-4.5910000004361109</v>
      </c>
      <c r="C268" s="26">
        <f t="shared" si="84"/>
        <v>9.6210000000324385</v>
      </c>
      <c r="D268" s="26">
        <f t="shared" si="84"/>
        <v>-3.2009999984679496</v>
      </c>
      <c r="E268" s="26">
        <f t="shared" si="84"/>
        <v>-20.182000000944242</v>
      </c>
      <c r="F268" s="26">
        <f t="shared" si="85"/>
        <v>-23.382999999412192</v>
      </c>
    </row>
    <row r="269" spans="1:6" x14ac:dyDescent="0.3">
      <c r="A269" t="str">
        <f>$A$17</f>
        <v>Other non-metallic</v>
      </c>
      <c r="B269" s="26">
        <f t="shared" si="84"/>
        <v>7.4940000000742657</v>
      </c>
      <c r="C269" s="26">
        <f t="shared" si="84"/>
        <v>0.74099999993642029</v>
      </c>
      <c r="D269" s="26">
        <f t="shared" si="84"/>
        <v>-1.7609999993870957</v>
      </c>
      <c r="E269" s="26">
        <f t="shared" si="84"/>
        <v>-10.341000000460951</v>
      </c>
      <c r="F269" s="26">
        <f t="shared" si="85"/>
        <v>-12.101999999848047</v>
      </c>
    </row>
    <row r="270" spans="1:6" x14ac:dyDescent="0.3">
      <c r="A270" t="str">
        <f>$A$18</f>
        <v>Basic metals</v>
      </c>
      <c r="B270" s="26">
        <f t="shared" si="84"/>
        <v>5.0389999999470376</v>
      </c>
      <c r="C270" s="26">
        <f t="shared" si="84"/>
        <v>-10.63199999995102</v>
      </c>
      <c r="D270" s="26">
        <f t="shared" si="84"/>
        <v>-1.192999999728606</v>
      </c>
      <c r="E270" s="26">
        <f t="shared" si="84"/>
        <v>-7.3170000000858195</v>
      </c>
      <c r="F270" s="26">
        <f t="shared" si="85"/>
        <v>-8.5099999998144256</v>
      </c>
    </row>
    <row r="271" spans="1:6" x14ac:dyDescent="0.3">
      <c r="A271" t="str">
        <f>$A$19</f>
        <v>Metal products</v>
      </c>
      <c r="B271" s="26">
        <f t="shared" si="84"/>
        <v>-13.158000000145137</v>
      </c>
      <c r="C271" s="26">
        <f t="shared" si="84"/>
        <v>-37.876000000208876</v>
      </c>
      <c r="D271" s="26">
        <f t="shared" si="84"/>
        <v>-7.0459999980698171</v>
      </c>
      <c r="E271" s="26">
        <f t="shared" si="84"/>
        <v>-33.499000000900281</v>
      </c>
      <c r="F271" s="26">
        <f t="shared" si="85"/>
        <v>-40.544999998970098</v>
      </c>
    </row>
    <row r="272" spans="1:6" x14ac:dyDescent="0.3">
      <c r="A272" t="str">
        <f>$A$20</f>
        <v>Computer, etc</v>
      </c>
      <c r="B272" s="26">
        <f t="shared" si="84"/>
        <v>3.9559999998762265</v>
      </c>
      <c r="C272" s="26">
        <f t="shared" si="84"/>
        <v>4.163000000112163</v>
      </c>
      <c r="D272" s="26">
        <f t="shared" si="84"/>
        <v>6.9600000010402425</v>
      </c>
      <c r="E272" s="26">
        <f t="shared" si="84"/>
        <v>-17.978000000540078</v>
      </c>
      <c r="F272" s="26">
        <f t="shared" si="85"/>
        <v>-11.017999999499835</v>
      </c>
    </row>
    <row r="273" spans="1:6" x14ac:dyDescent="0.3">
      <c r="A273" t="str">
        <f>$A$21</f>
        <v>Electrical equipment</v>
      </c>
      <c r="B273" s="26">
        <f t="shared" si="84"/>
        <v>-8.0299999999482594</v>
      </c>
      <c r="C273" s="26">
        <f t="shared" si="84"/>
        <v>-8.8930000000263618</v>
      </c>
      <c r="D273" s="26">
        <f t="shared" si="84"/>
        <v>-1.1089999994021866</v>
      </c>
      <c r="E273" s="26">
        <f t="shared" si="84"/>
        <v>-2.8380000003145511</v>
      </c>
      <c r="F273" s="26">
        <f t="shared" si="85"/>
        <v>-3.9469999997167378</v>
      </c>
    </row>
    <row r="274" spans="1:6" x14ac:dyDescent="0.3">
      <c r="A274" t="str">
        <f>$A$22</f>
        <v>Machinery n.e.c.</v>
      </c>
      <c r="B274" s="26">
        <f t="shared" si="84"/>
        <v>11.903000000139116</v>
      </c>
      <c r="C274" s="26">
        <f t="shared" si="84"/>
        <v>-13.734000000110086</v>
      </c>
      <c r="D274" s="26">
        <f t="shared" si="84"/>
        <v>3.3770000011676871</v>
      </c>
      <c r="E274" s="26">
        <f t="shared" si="84"/>
        <v>-23.161000000487633</v>
      </c>
      <c r="F274" s="26">
        <f t="shared" si="85"/>
        <v>-19.783999999319946</v>
      </c>
    </row>
    <row r="275" spans="1:6" x14ac:dyDescent="0.3">
      <c r="A275" t="str">
        <f>$A$23</f>
        <v>Motor vehicles, etc</v>
      </c>
      <c r="B275" s="26">
        <f t="shared" si="84"/>
        <v>14.977999999458888</v>
      </c>
      <c r="C275" s="26">
        <f t="shared" si="84"/>
        <v>-19.804999999909285</v>
      </c>
      <c r="D275" s="26">
        <f t="shared" si="84"/>
        <v>-1.1979999989922874</v>
      </c>
      <c r="E275" s="26">
        <f t="shared" si="84"/>
        <v>-11.060000000436219</v>
      </c>
      <c r="F275" s="26">
        <f t="shared" si="85"/>
        <v>-12.257999999428506</v>
      </c>
    </row>
    <row r="276" spans="1:6" x14ac:dyDescent="0.3">
      <c r="A276" t="str">
        <f>$A$24</f>
        <v>Other transport equipment</v>
      </c>
      <c r="B276" s="26">
        <f t="shared" si="84"/>
        <v>5.9830000001880421</v>
      </c>
      <c r="C276" s="26">
        <f t="shared" si="84"/>
        <v>0.15999999986954094</v>
      </c>
      <c r="D276" s="26">
        <f t="shared" si="84"/>
        <v>-21.087999999354039</v>
      </c>
      <c r="E276" s="26">
        <f t="shared" si="84"/>
        <v>-1.1660000001923834</v>
      </c>
      <c r="F276" s="26">
        <f t="shared" si="85"/>
        <v>-22.253999999546423</v>
      </c>
    </row>
    <row r="277" spans="1:6" x14ac:dyDescent="0.3">
      <c r="A277" t="str">
        <f>$A$25</f>
        <v>Furniture</v>
      </c>
      <c r="B277" s="26">
        <f t="shared" ref="B277:E296" si="86">C25-B25</f>
        <v>3.0769999999858157</v>
      </c>
      <c r="C277" s="26">
        <f t="shared" si="86"/>
        <v>2.5669999999439455</v>
      </c>
      <c r="D277" s="26">
        <f t="shared" si="86"/>
        <v>-11.900999999400597</v>
      </c>
      <c r="E277" s="26">
        <f t="shared" si="86"/>
        <v>-4.9890000003127852</v>
      </c>
      <c r="F277" s="26">
        <f t="shared" si="85"/>
        <v>-16.889999999713382</v>
      </c>
    </row>
    <row r="278" spans="1:6" x14ac:dyDescent="0.3">
      <c r="A278" t="str">
        <f>$A$26</f>
        <v>Other manufacturing</v>
      </c>
      <c r="B278" s="26">
        <f t="shared" si="86"/>
        <v>-6.3910000002422294</v>
      </c>
      <c r="C278" s="26">
        <f t="shared" si="86"/>
        <v>3.4229999998661071</v>
      </c>
      <c r="D278" s="26">
        <f t="shared" si="86"/>
        <v>-12.999999998998106</v>
      </c>
      <c r="E278" s="26">
        <f t="shared" si="86"/>
        <v>-5.3140000005985115</v>
      </c>
      <c r="F278" s="26">
        <f t="shared" si="85"/>
        <v>-18.313999999596618</v>
      </c>
    </row>
    <row r="279" spans="1:6" x14ac:dyDescent="0.3">
      <c r="A279" t="str">
        <f>$A$27</f>
        <v>Repair and installation</v>
      </c>
      <c r="B279" s="26">
        <f t="shared" si="86"/>
        <v>11.091999999880429</v>
      </c>
      <c r="C279" s="26">
        <f t="shared" si="86"/>
        <v>12.381999999789599</v>
      </c>
      <c r="D279" s="26">
        <f t="shared" si="86"/>
        <v>-18.105999999383783</v>
      </c>
      <c r="E279" s="26">
        <f t="shared" si="86"/>
        <v>-6.5480000002827268</v>
      </c>
      <c r="F279" s="26">
        <f t="shared" si="85"/>
        <v>-24.65399999966651</v>
      </c>
    </row>
    <row r="280" spans="1:6" x14ac:dyDescent="0.3">
      <c r="A280" t="str">
        <f>$A$28</f>
        <v>Electricity, gas, etc</v>
      </c>
      <c r="B280" s="26">
        <f t="shared" si="86"/>
        <v>10.998000000000786</v>
      </c>
      <c r="C280" s="26">
        <f t="shared" si="86"/>
        <v>1.9990000001363057</v>
      </c>
      <c r="D280" s="26">
        <f t="shared" si="86"/>
        <v>-5.9749999985575641</v>
      </c>
      <c r="E280" s="26">
        <f t="shared" si="86"/>
        <v>-1.472000001440648</v>
      </c>
      <c r="F280" s="26">
        <f t="shared" si="85"/>
        <v>-7.4469999999982122</v>
      </c>
    </row>
    <row r="281" spans="1:6" x14ac:dyDescent="0.3">
      <c r="A281" t="str">
        <f>$A$29</f>
        <v>Water</v>
      </c>
      <c r="B281" s="26">
        <f t="shared" si="86"/>
        <v>8.2450000000001751</v>
      </c>
      <c r="C281" s="26">
        <f t="shared" si="86"/>
        <v>-1.8689999999922264</v>
      </c>
      <c r="D281" s="26">
        <f t="shared" si="86"/>
        <v>2.2980000004645831</v>
      </c>
      <c r="E281" s="26">
        <f t="shared" si="86"/>
        <v>3.6979999997115058</v>
      </c>
      <c r="F281" s="26">
        <f t="shared" si="85"/>
        <v>5.9960000001760889</v>
      </c>
    </row>
    <row r="282" spans="1:6" x14ac:dyDescent="0.3">
      <c r="A282" t="str">
        <f>$A$30</f>
        <v>Sewerage</v>
      </c>
      <c r="B282" s="26">
        <f t="shared" si="86"/>
        <v>-0.8470000000371094</v>
      </c>
      <c r="C282" s="26">
        <f t="shared" si="86"/>
        <v>-1.8230000000322057</v>
      </c>
      <c r="D282" s="26">
        <f t="shared" si="86"/>
        <v>1.209000000213436</v>
      </c>
      <c r="E282" s="26">
        <f t="shared" si="86"/>
        <v>1.9699999999937639</v>
      </c>
      <c r="F282" s="26">
        <f t="shared" si="85"/>
        <v>3.1790000002071999</v>
      </c>
    </row>
    <row r="283" spans="1:6" x14ac:dyDescent="0.3">
      <c r="A283" t="str">
        <f>$A$31</f>
        <v>Waste management</v>
      </c>
      <c r="B283" s="26">
        <f t="shared" si="86"/>
        <v>15.607000000122923</v>
      </c>
      <c r="C283" s="26">
        <f t="shared" si="86"/>
        <v>-9.2920000005347561</v>
      </c>
      <c r="D283" s="26">
        <f t="shared" si="86"/>
        <v>7.0800000009551809</v>
      </c>
      <c r="E283" s="26">
        <f t="shared" si="86"/>
        <v>11.215000000117584</v>
      </c>
      <c r="F283" s="26">
        <f t="shared" si="85"/>
        <v>18.295000001072765</v>
      </c>
    </row>
    <row r="284" spans="1:6" x14ac:dyDescent="0.3">
      <c r="A284" t="str">
        <f>$A$32</f>
        <v>Construction</v>
      </c>
      <c r="B284" s="26">
        <f t="shared" si="86"/>
        <v>100.54900001260899</v>
      </c>
      <c r="C284" s="26">
        <f t="shared" si="86"/>
        <v>0.98799998214178686</v>
      </c>
      <c r="D284" s="26">
        <f t="shared" si="86"/>
        <v>37.297999989157233</v>
      </c>
      <c r="E284" s="26">
        <f t="shared" si="86"/>
        <v>60.090000004544436</v>
      </c>
      <c r="F284" s="26">
        <f t="shared" si="85"/>
        <v>97.387999993701669</v>
      </c>
    </row>
    <row r="285" spans="1:6" x14ac:dyDescent="0.3">
      <c r="A285" t="str">
        <f>$A$33</f>
        <v>Civil engineering</v>
      </c>
      <c r="B285" s="26">
        <f t="shared" si="86"/>
        <v>16.27100000630378</v>
      </c>
      <c r="C285" s="26">
        <f t="shared" si="86"/>
        <v>-4.4290000074855698</v>
      </c>
      <c r="D285" s="26">
        <f t="shared" si="86"/>
        <v>11.867999994100501</v>
      </c>
      <c r="E285" s="26">
        <f t="shared" si="86"/>
        <v>19.859000002828225</v>
      </c>
      <c r="F285" s="26">
        <f t="shared" si="85"/>
        <v>31.726999996928726</v>
      </c>
    </row>
    <row r="286" spans="1:6" x14ac:dyDescent="0.3">
      <c r="A286" t="str">
        <f>$A$34</f>
        <v>Specialised construction</v>
      </c>
      <c r="B286" s="26">
        <f t="shared" si="86"/>
        <v>94.804000023916615</v>
      </c>
      <c r="C286" s="26">
        <f t="shared" si="86"/>
        <v>-11.096000029275729</v>
      </c>
      <c r="D286" s="26">
        <f t="shared" si="86"/>
        <v>50.97899997677905</v>
      </c>
      <c r="E286" s="26">
        <f t="shared" si="86"/>
        <v>83.962000010823431</v>
      </c>
      <c r="F286" s="26">
        <f t="shared" si="85"/>
        <v>134.94099998760248</v>
      </c>
    </row>
    <row r="287" spans="1:6" x14ac:dyDescent="0.3">
      <c r="A287" t="str">
        <f>$A$35</f>
        <v>Motor vehicle trade</v>
      </c>
      <c r="B287" s="26">
        <f t="shared" si="86"/>
        <v>79.958000000460288</v>
      </c>
      <c r="C287" s="26">
        <f t="shared" si="86"/>
        <v>-48.925000004215349</v>
      </c>
      <c r="D287" s="26">
        <f t="shared" si="86"/>
        <v>15.634000003806364</v>
      </c>
      <c r="E287" s="26">
        <f t="shared" si="86"/>
        <v>23.494999997866671</v>
      </c>
      <c r="F287" s="26">
        <f t="shared" si="85"/>
        <v>39.129000001673035</v>
      </c>
    </row>
    <row r="288" spans="1:6" x14ac:dyDescent="0.3">
      <c r="A288" t="str">
        <f>$A$36</f>
        <v>Wholesale trade</v>
      </c>
      <c r="B288" s="26">
        <f t="shared" si="86"/>
        <v>27.972999994606198</v>
      </c>
      <c r="C288" s="26">
        <f t="shared" si="86"/>
        <v>-4.9010000040127579</v>
      </c>
      <c r="D288" s="26">
        <f t="shared" si="86"/>
        <v>14.343000016870292</v>
      </c>
      <c r="E288" s="26">
        <f t="shared" si="86"/>
        <v>7.1089999830894612</v>
      </c>
      <c r="F288" s="26">
        <f t="shared" si="85"/>
        <v>21.451999999959753</v>
      </c>
    </row>
    <row r="289" spans="1:6" x14ac:dyDescent="0.3">
      <c r="A289" t="str">
        <f>$A$37</f>
        <v>Retail trade</v>
      </c>
      <c r="B289" s="26">
        <f t="shared" si="86"/>
        <v>-87.066000023268316</v>
      </c>
      <c r="C289" s="26">
        <f t="shared" si="86"/>
        <v>42.264999985067789</v>
      </c>
      <c r="D289" s="26">
        <f t="shared" si="86"/>
        <v>-2.7809999444689311</v>
      </c>
      <c r="E289" s="26">
        <f t="shared" si="86"/>
        <v>21.127999893995366</v>
      </c>
      <c r="F289" s="26">
        <f t="shared" si="85"/>
        <v>18.346999949526435</v>
      </c>
    </row>
    <row r="290" spans="1:6" x14ac:dyDescent="0.3">
      <c r="A290" t="str">
        <f>$A$38</f>
        <v>Land transport, etc</v>
      </c>
      <c r="B290" s="26">
        <f t="shared" si="86"/>
        <v>110.88599997962774</v>
      </c>
      <c r="C290" s="26">
        <f t="shared" si="86"/>
        <v>-52.25099998427288</v>
      </c>
      <c r="D290" s="26">
        <f t="shared" si="86"/>
        <v>67.879000015540782</v>
      </c>
      <c r="E290" s="26">
        <f t="shared" si="86"/>
        <v>7.2899999942550266</v>
      </c>
      <c r="F290" s="26">
        <f t="shared" si="85"/>
        <v>75.169000009795809</v>
      </c>
    </row>
    <row r="291" spans="1:6" x14ac:dyDescent="0.3">
      <c r="A291" t="str">
        <f>$A$39</f>
        <v>Water transport</v>
      </c>
      <c r="B291" s="26">
        <f t="shared" si="86"/>
        <v>0.99900000002853417</v>
      </c>
      <c r="C291" s="26">
        <f t="shared" si="86"/>
        <v>-5.0000000456087434E-3</v>
      </c>
      <c r="D291" s="26">
        <f t="shared" si="86"/>
        <v>-3.0329999998263837</v>
      </c>
      <c r="E291" s="26">
        <f t="shared" si="86"/>
        <v>-0.88600000015815006</v>
      </c>
      <c r="F291" s="26">
        <f t="shared" si="85"/>
        <v>-3.9189999999845337</v>
      </c>
    </row>
    <row r="292" spans="1:6" x14ac:dyDescent="0.3">
      <c r="A292" t="str">
        <f>$A$40</f>
        <v>Air transport</v>
      </c>
      <c r="B292" s="26">
        <f t="shared" si="86"/>
        <v>3.994999999838484</v>
      </c>
      <c r="C292" s="26">
        <f t="shared" si="86"/>
        <v>-5.0380000005739163</v>
      </c>
      <c r="D292" s="26">
        <f t="shared" si="86"/>
        <v>5.6450000007936296</v>
      </c>
      <c r="E292" s="26">
        <f t="shared" si="86"/>
        <v>2.3439999991919223</v>
      </c>
      <c r="F292" s="26">
        <f t="shared" si="85"/>
        <v>7.9889999999855519</v>
      </c>
    </row>
    <row r="293" spans="1:6" x14ac:dyDescent="0.3">
      <c r="A293" t="str">
        <f>$A$41</f>
        <v>Warehousing, etc</v>
      </c>
      <c r="B293" s="26">
        <f t="shared" si="86"/>
        <v>67.586999998543831</v>
      </c>
      <c r="C293" s="26">
        <f t="shared" si="86"/>
        <v>16.234999998212061</v>
      </c>
      <c r="D293" s="26">
        <f t="shared" si="86"/>
        <v>28.472000004569509</v>
      </c>
      <c r="E293" s="26">
        <f t="shared" si="86"/>
        <v>14.79299999647219</v>
      </c>
      <c r="F293" s="26">
        <f t="shared" si="85"/>
        <v>43.265000001041699</v>
      </c>
    </row>
    <row r="294" spans="1:6" x14ac:dyDescent="0.3">
      <c r="A294" t="str">
        <f>$A$42</f>
        <v>Postal and courier</v>
      </c>
      <c r="B294" s="26">
        <f t="shared" si="86"/>
        <v>19.388999999122404</v>
      </c>
      <c r="C294" s="26">
        <f t="shared" si="86"/>
        <v>17.29699999845235</v>
      </c>
      <c r="D294" s="26">
        <f t="shared" si="86"/>
        <v>17.455000004483111</v>
      </c>
      <c r="E294" s="26">
        <f t="shared" si="86"/>
        <v>12.586999994432688</v>
      </c>
      <c r="F294" s="26">
        <f t="shared" si="85"/>
        <v>30.041999998915799</v>
      </c>
    </row>
    <row r="295" spans="1:6" x14ac:dyDescent="0.3">
      <c r="A295" t="str">
        <f>$A$43</f>
        <v>Accommodation</v>
      </c>
      <c r="B295" s="26">
        <f t="shared" si="86"/>
        <v>69.191999999243365</v>
      </c>
      <c r="C295" s="26">
        <f t="shared" si="86"/>
        <v>-46.784000003961864</v>
      </c>
      <c r="D295" s="26">
        <f t="shared" si="86"/>
        <v>57.225000009737414</v>
      </c>
      <c r="E295" s="26">
        <f t="shared" si="86"/>
        <v>52.407999985687525</v>
      </c>
      <c r="F295" s="26">
        <f t="shared" si="85"/>
        <v>109.63299999542494</v>
      </c>
    </row>
    <row r="296" spans="1:6" x14ac:dyDescent="0.3">
      <c r="A296" t="str">
        <f>$A$44</f>
        <v>Food and beverage services</v>
      </c>
      <c r="B296" s="26">
        <f t="shared" si="86"/>
        <v>211.72799999576409</v>
      </c>
      <c r="C296" s="26">
        <f t="shared" si="86"/>
        <v>-61.994000017689586</v>
      </c>
      <c r="D296" s="26">
        <f t="shared" si="86"/>
        <v>40.555000028781251</v>
      </c>
      <c r="E296" s="26">
        <f t="shared" si="86"/>
        <v>293.24499995353699</v>
      </c>
      <c r="F296" s="26">
        <f t="shared" si="85"/>
        <v>333.79999998231824</v>
      </c>
    </row>
    <row r="297" spans="1:6" x14ac:dyDescent="0.3">
      <c r="A297" t="str">
        <f>$A$45</f>
        <v>Publishing activities</v>
      </c>
      <c r="B297" s="26">
        <f t="shared" ref="B297:E297" si="87">C45-B45</f>
        <v>-15.252000000308641</v>
      </c>
      <c r="C297" s="26">
        <f t="shared" si="87"/>
        <v>1.1000000008165784</v>
      </c>
      <c r="D297" s="26">
        <f t="shared" si="87"/>
        <v>0.49100000205805827</v>
      </c>
      <c r="E297" s="26">
        <f t="shared" si="87"/>
        <v>0.52499999904506467</v>
      </c>
      <c r="F297" s="26">
        <f t="shared" si="85"/>
        <v>1.0160000011031229</v>
      </c>
    </row>
    <row r="298" spans="1:6" x14ac:dyDescent="0.3">
      <c r="A298" t="str">
        <f>$A$46</f>
        <v>Film and music</v>
      </c>
      <c r="B298" s="26">
        <f t="shared" ref="B298:C322" si="88">C46-B46</f>
        <v>21.876999999492426</v>
      </c>
      <c r="C298" s="26">
        <f t="shared" si="88"/>
        <v>-2.5719999992093676</v>
      </c>
      <c r="D298" s="26">
        <f t="shared" ref="D298:E298" si="89">E46-D46</f>
        <v>2.6630000020821001</v>
      </c>
      <c r="E298" s="26">
        <f t="shared" si="89"/>
        <v>3.4939999990476167</v>
      </c>
      <c r="F298" s="26">
        <f t="shared" si="85"/>
        <v>6.1570000011297168</v>
      </c>
    </row>
    <row r="299" spans="1:6" x14ac:dyDescent="0.3">
      <c r="A299" t="str">
        <f>$A$47</f>
        <v>Broadcasting</v>
      </c>
      <c r="B299" s="26">
        <f t="shared" si="88"/>
        <v>8.2029999999724055</v>
      </c>
      <c r="C299" s="26">
        <f t="shared" si="88"/>
        <v>-0.56799999971779869</v>
      </c>
      <c r="D299" s="26">
        <f t="shared" ref="D299:E299" si="90">E47-D47</f>
        <v>0.71900000071701697</v>
      </c>
      <c r="E299" s="26">
        <f t="shared" si="90"/>
        <v>0.31799999975424953</v>
      </c>
      <c r="F299" s="26">
        <f t="shared" si="85"/>
        <v>1.0370000004712665</v>
      </c>
    </row>
    <row r="300" spans="1:6" x14ac:dyDescent="0.3">
      <c r="A300" t="str">
        <f>$A$48</f>
        <v>Telecommunications</v>
      </c>
      <c r="B300" s="26">
        <f t="shared" si="88"/>
        <v>-4.9989999996696497</v>
      </c>
      <c r="C300" s="26">
        <f t="shared" si="88"/>
        <v>-8.9819999991798625</v>
      </c>
      <c r="D300" s="26">
        <f t="shared" ref="D300:E300" si="91">E48-D48</f>
        <v>14.980000001997837</v>
      </c>
      <c r="E300" s="26">
        <f t="shared" si="91"/>
        <v>17.067999998217942</v>
      </c>
      <c r="F300" s="26">
        <f t="shared" si="85"/>
        <v>32.048000000215779</v>
      </c>
    </row>
    <row r="301" spans="1:6" x14ac:dyDescent="0.3">
      <c r="A301" t="str">
        <f>$A$49</f>
        <v>Computing services</v>
      </c>
      <c r="B301" s="26">
        <f t="shared" si="88"/>
        <v>97.471999999503623</v>
      </c>
      <c r="C301" s="26">
        <f t="shared" si="88"/>
        <v>3.4910000073517722</v>
      </c>
      <c r="D301" s="26">
        <f t="shared" ref="D301:E301" si="92">E49-D49</f>
        <v>60.689000007775803</v>
      </c>
      <c r="E301" s="26">
        <f t="shared" si="92"/>
        <v>70.253999993274874</v>
      </c>
      <c r="F301" s="26">
        <f t="shared" si="85"/>
        <v>130.94300000105068</v>
      </c>
    </row>
    <row r="302" spans="1:6" x14ac:dyDescent="0.3">
      <c r="A302" t="str">
        <f>$A$50</f>
        <v>Information services</v>
      </c>
      <c r="B302" s="26">
        <f t="shared" si="88"/>
        <v>-0.37900000001241096</v>
      </c>
      <c r="C302" s="26">
        <f t="shared" si="88"/>
        <v>2.70000000063051</v>
      </c>
      <c r="D302" s="26">
        <f t="shared" ref="D302:E302" si="93">E50-D50</f>
        <v>8.2510000010168909</v>
      </c>
      <c r="E302" s="26">
        <f t="shared" si="93"/>
        <v>9.946999999202049</v>
      </c>
      <c r="F302" s="26">
        <f t="shared" si="85"/>
        <v>18.19800000021894</v>
      </c>
    </row>
    <row r="303" spans="1:6" x14ac:dyDescent="0.3">
      <c r="A303" t="str">
        <f>$A$51</f>
        <v>Financial services</v>
      </c>
      <c r="B303" s="26">
        <f t="shared" si="88"/>
        <v>-20.979000000040628</v>
      </c>
      <c r="C303" s="26">
        <f t="shared" si="88"/>
        <v>-1.6309999966072155</v>
      </c>
      <c r="D303" s="26">
        <f t="shared" ref="D303:E303" si="94">E51-D51</f>
        <v>2.092000007595459</v>
      </c>
      <c r="E303" s="26">
        <f t="shared" si="94"/>
        <v>-7.7860000048916049</v>
      </c>
      <c r="F303" s="26">
        <f t="shared" si="85"/>
        <v>-5.6939999972961459</v>
      </c>
    </row>
    <row r="304" spans="1:6" x14ac:dyDescent="0.3">
      <c r="A304" t="str">
        <f>$A$52</f>
        <v>Insurance and pensions</v>
      </c>
      <c r="B304" s="26">
        <f t="shared" si="88"/>
        <v>14.122999999774535</v>
      </c>
      <c r="C304" s="26">
        <f t="shared" si="88"/>
        <v>0.12300000054176508</v>
      </c>
      <c r="D304" s="26">
        <f t="shared" ref="D304:E304" si="95">E52-D52</f>
        <v>-0.37799999775634774</v>
      </c>
      <c r="E304" s="26">
        <f t="shared" si="95"/>
        <v>-4.1290000015246733</v>
      </c>
      <c r="F304" s="26">
        <f t="shared" si="85"/>
        <v>-4.506999999281021</v>
      </c>
    </row>
    <row r="305" spans="1:6" x14ac:dyDescent="0.3">
      <c r="A305" t="str">
        <f>$A$53</f>
        <v>Auxiliary financial services</v>
      </c>
      <c r="B305" s="26">
        <f t="shared" si="88"/>
        <v>28.831999999312075</v>
      </c>
      <c r="C305" s="26">
        <f t="shared" si="88"/>
        <v>16.608000004220798</v>
      </c>
      <c r="D305" s="26">
        <f t="shared" ref="D305:E305" si="96">E53-D53</f>
        <v>5.2320000085928768</v>
      </c>
      <c r="E305" s="26">
        <f t="shared" si="96"/>
        <v>-8.9160000051479074</v>
      </c>
      <c r="F305" s="26">
        <f t="shared" si="85"/>
        <v>-3.6839999965550305</v>
      </c>
    </row>
    <row r="306" spans="1:6" x14ac:dyDescent="0.3">
      <c r="A306" t="str">
        <f>$A$54</f>
        <v>Real estate</v>
      </c>
      <c r="B306" s="26">
        <f t="shared" si="88"/>
        <v>21.971000000523304</v>
      </c>
      <c r="C306" s="26">
        <f t="shared" si="88"/>
        <v>53.063999999177554</v>
      </c>
      <c r="D306" s="26">
        <f t="shared" ref="D306:E306" si="97">E54-D54</f>
        <v>-24.264999992767116</v>
      </c>
      <c r="E306" s="26">
        <f t="shared" si="97"/>
        <v>53.479999994685159</v>
      </c>
      <c r="F306" s="26">
        <f t="shared" si="85"/>
        <v>29.215000001918042</v>
      </c>
    </row>
    <row r="307" spans="1:6" x14ac:dyDescent="0.3">
      <c r="A307" t="str">
        <f>$A$55</f>
        <v>Legal and accounting</v>
      </c>
      <c r="B307" s="26">
        <f t="shared" si="88"/>
        <v>113.193999998854</v>
      </c>
      <c r="C307" s="26">
        <f t="shared" si="88"/>
        <v>-33.158999992586814</v>
      </c>
      <c r="D307" s="26">
        <f t="shared" ref="D307:E307" si="98">E55-D55</f>
        <v>40.893000015735083</v>
      </c>
      <c r="E307" s="26">
        <f t="shared" si="98"/>
        <v>45.110999993395126</v>
      </c>
      <c r="F307" s="26">
        <f t="shared" si="85"/>
        <v>86.004000009130209</v>
      </c>
    </row>
    <row r="308" spans="1:6" x14ac:dyDescent="0.3">
      <c r="A308" t="str">
        <f>$A$56</f>
        <v>Head offices, etc</v>
      </c>
      <c r="B308" s="26">
        <f t="shared" si="88"/>
        <v>43.389000000765691</v>
      </c>
      <c r="C308" s="26">
        <f t="shared" si="88"/>
        <v>9.6610000072578259</v>
      </c>
      <c r="D308" s="26">
        <f t="shared" ref="D308:E308" si="99">E56-D56</f>
        <v>30.969000013588357</v>
      </c>
      <c r="E308" s="26">
        <f t="shared" si="99"/>
        <v>33.004999993687534</v>
      </c>
      <c r="F308" s="26">
        <f t="shared" si="85"/>
        <v>63.97400000727589</v>
      </c>
    </row>
    <row r="309" spans="1:6" x14ac:dyDescent="0.3">
      <c r="A309" t="str">
        <f>$A$57</f>
        <v>Architectural and related</v>
      </c>
      <c r="B309" s="26">
        <f t="shared" si="88"/>
        <v>67.221000000311506</v>
      </c>
      <c r="C309" s="26">
        <f t="shared" si="88"/>
        <v>15.815000005139041</v>
      </c>
      <c r="D309" s="26">
        <f t="shared" ref="D309:E309" si="100">E57-D57</f>
        <v>-7.3779999918385784</v>
      </c>
      <c r="E309" s="26">
        <f t="shared" si="100"/>
        <v>28.977999994945549</v>
      </c>
      <c r="F309" s="26">
        <f t="shared" si="85"/>
        <v>21.60000000310697</v>
      </c>
    </row>
    <row r="310" spans="1:6" x14ac:dyDescent="0.3">
      <c r="A310" t="str">
        <f>$A$58</f>
        <v>Scientific research and development</v>
      </c>
      <c r="B310" s="26">
        <f t="shared" si="88"/>
        <v>21.569999999359737</v>
      </c>
      <c r="C310" s="26">
        <f t="shared" si="88"/>
        <v>-15.994999997899157</v>
      </c>
      <c r="D310" s="26">
        <f t="shared" ref="D310:E310" si="101">E58-D58</f>
        <v>19.892999998885045</v>
      </c>
      <c r="E310" s="26">
        <f t="shared" si="101"/>
        <v>25.276000000977831</v>
      </c>
      <c r="F310" s="26">
        <f t="shared" si="85"/>
        <v>45.168999999862876</v>
      </c>
    </row>
    <row r="311" spans="1:6" x14ac:dyDescent="0.3">
      <c r="A311" t="str">
        <f>$A$59</f>
        <v>Advertising, etc</v>
      </c>
      <c r="B311" s="26">
        <f t="shared" si="88"/>
        <v>-19.613000000404213</v>
      </c>
      <c r="C311" s="26">
        <f t="shared" si="88"/>
        <v>-15.154999996401472</v>
      </c>
      <c r="D311" s="26">
        <f t="shared" ref="D311:E311" si="102">E59-D59</f>
        <v>29.22500000515177</v>
      </c>
      <c r="E311" s="26">
        <f t="shared" si="102"/>
        <v>30.737999997508439</v>
      </c>
      <c r="F311" s="26">
        <f t="shared" si="85"/>
        <v>59.963000002660209</v>
      </c>
    </row>
    <row r="312" spans="1:6" x14ac:dyDescent="0.3">
      <c r="A312" t="str">
        <f>$A$60</f>
        <v>Other professional</v>
      </c>
      <c r="B312" s="26">
        <f t="shared" si="88"/>
        <v>42.190999999350311</v>
      </c>
      <c r="C312" s="26">
        <f t="shared" si="88"/>
        <v>-14.266999998922643</v>
      </c>
      <c r="D312" s="26">
        <f t="shared" ref="D312:E312" si="103">E60-D60</f>
        <v>31.354000004385227</v>
      </c>
      <c r="E312" s="26">
        <f t="shared" si="103"/>
        <v>36.746999998288118</v>
      </c>
      <c r="F312" s="26">
        <f t="shared" si="85"/>
        <v>68.101000002673345</v>
      </c>
    </row>
    <row r="313" spans="1:6" x14ac:dyDescent="0.3">
      <c r="A313" t="str">
        <f>$A$61</f>
        <v>Veterinary</v>
      </c>
      <c r="B313" s="26">
        <f t="shared" si="88"/>
        <v>37.781999999117772</v>
      </c>
      <c r="C313" s="26">
        <f t="shared" si="88"/>
        <v>-6.4819999963439443</v>
      </c>
      <c r="D313" s="26">
        <f t="shared" ref="D313:E313" si="104">E61-D61</f>
        <v>15.224999998328627</v>
      </c>
      <c r="E313" s="26">
        <f t="shared" si="104"/>
        <v>20.064000000860574</v>
      </c>
      <c r="F313" s="26">
        <f t="shared" si="85"/>
        <v>35.288999999189201</v>
      </c>
    </row>
    <row r="314" spans="1:6" x14ac:dyDescent="0.3">
      <c r="A314" t="str">
        <f>$A$62</f>
        <v>Rental and leasing</v>
      </c>
      <c r="B314" s="26">
        <f t="shared" si="88"/>
        <v>-1.1800000003094624</v>
      </c>
      <c r="C314" s="26">
        <f t="shared" si="88"/>
        <v>-10.33000000011134</v>
      </c>
      <c r="D314" s="26">
        <f t="shared" ref="D314:E314" si="105">E62-D62</f>
        <v>9.7610000013758906</v>
      </c>
      <c r="E314" s="26">
        <f t="shared" si="105"/>
        <v>12.543999998994195</v>
      </c>
      <c r="F314" s="26">
        <f t="shared" si="85"/>
        <v>22.305000000370086</v>
      </c>
    </row>
    <row r="315" spans="1:6" x14ac:dyDescent="0.3">
      <c r="A315" t="str">
        <f>$A$63</f>
        <v>Employment activities</v>
      </c>
      <c r="B315" s="26">
        <f t="shared" si="88"/>
        <v>22.887999998234363</v>
      </c>
      <c r="C315" s="26">
        <f t="shared" si="88"/>
        <v>-61.489000005331945</v>
      </c>
      <c r="D315" s="26">
        <f t="shared" ref="D315:E315" si="106">E63-D63</f>
        <v>59.39900000627722</v>
      </c>
      <c r="E315" s="26">
        <f t="shared" si="106"/>
        <v>73.721999995138276</v>
      </c>
      <c r="F315" s="26">
        <f t="shared" si="85"/>
        <v>133.1210000014155</v>
      </c>
    </row>
    <row r="316" spans="1:6" x14ac:dyDescent="0.3">
      <c r="A316" t="str">
        <f>$A$64</f>
        <v>Travel, etc</v>
      </c>
      <c r="B316" s="26">
        <f t="shared" si="88"/>
        <v>6.530999999784072</v>
      </c>
      <c r="C316" s="26">
        <f t="shared" si="88"/>
        <v>-6.6620000012324709</v>
      </c>
      <c r="D316" s="26">
        <f t="shared" ref="D316:E316" si="107">E64-D64</f>
        <v>5.639000001288565</v>
      </c>
      <c r="E316" s="26">
        <f t="shared" si="107"/>
        <v>7.5139999991147306</v>
      </c>
      <c r="F316" s="26">
        <f t="shared" si="85"/>
        <v>13.153000000403296</v>
      </c>
    </row>
    <row r="317" spans="1:6" x14ac:dyDescent="0.3">
      <c r="A317" t="str">
        <f>$A$65</f>
        <v>Security, etc</v>
      </c>
      <c r="B317" s="26">
        <f t="shared" si="88"/>
        <v>22.162999999474494</v>
      </c>
      <c r="C317" s="26">
        <f t="shared" si="88"/>
        <v>-12.244000000842789</v>
      </c>
      <c r="D317" s="26">
        <f t="shared" ref="D317:E317" si="108">E65-D65</f>
        <v>12.381000001291511</v>
      </c>
      <c r="E317" s="26">
        <f t="shared" si="108"/>
        <v>15.749999998916479</v>
      </c>
      <c r="F317" s="26">
        <f t="shared" si="85"/>
        <v>28.13100000020799</v>
      </c>
    </row>
    <row r="318" spans="1:6" x14ac:dyDescent="0.3">
      <c r="A318" t="str">
        <f>$A$66</f>
        <v>Services to buildings</v>
      </c>
      <c r="B318" s="26">
        <f t="shared" si="88"/>
        <v>31.742999998543269</v>
      </c>
      <c r="C318" s="26">
        <f t="shared" si="88"/>
        <v>-49.711000004936295</v>
      </c>
      <c r="D318" s="26">
        <f t="shared" ref="D318:E318" si="109">E66-D66</f>
        <v>48.04800000588898</v>
      </c>
      <c r="E318" s="26">
        <f t="shared" si="109"/>
        <v>58.694999993339138</v>
      </c>
      <c r="F318" s="26">
        <f t="shared" si="85"/>
        <v>106.74299999922812</v>
      </c>
    </row>
    <row r="319" spans="1:6" x14ac:dyDescent="0.3">
      <c r="A319" t="str">
        <f>$A$67</f>
        <v>Office administrative</v>
      </c>
      <c r="B319" s="26">
        <f t="shared" si="88"/>
        <v>83.713999999449356</v>
      </c>
      <c r="C319" s="26">
        <f t="shared" si="88"/>
        <v>-34.222000003224366</v>
      </c>
      <c r="D319" s="26">
        <f t="shared" ref="D319:E319" si="110">E67-D67</f>
        <v>32.378000003071975</v>
      </c>
      <c r="E319" s="26">
        <f t="shared" si="110"/>
        <v>41.150999997810914</v>
      </c>
      <c r="F319" s="26">
        <f t="shared" si="85"/>
        <v>73.529000000882888</v>
      </c>
    </row>
    <row r="320" spans="1:6" x14ac:dyDescent="0.3">
      <c r="A320" t="str">
        <f>$A$68</f>
        <v>Public administration and defence</v>
      </c>
      <c r="B320" s="26">
        <f t="shared" si="88"/>
        <v>27.985000003433242</v>
      </c>
      <c r="C320" s="26">
        <f t="shared" si="88"/>
        <v>44.09600000337764</v>
      </c>
      <c r="D320" s="26">
        <f t="shared" ref="D320:E320" si="111">E68-D68</f>
        <v>23.151000003502304</v>
      </c>
      <c r="E320" s="26">
        <f t="shared" si="111"/>
        <v>25.103000001604187</v>
      </c>
      <c r="F320" s="26">
        <f t="shared" si="85"/>
        <v>48.254000005106491</v>
      </c>
    </row>
    <row r="321" spans="1:6" x14ac:dyDescent="0.3">
      <c r="A321" t="str">
        <f>$A$69</f>
        <v xml:space="preserve">Education </v>
      </c>
      <c r="B321" s="26">
        <f t="shared" si="88"/>
        <v>-10.1099999887183</v>
      </c>
      <c r="C321" s="26">
        <f t="shared" si="88"/>
        <v>10.296000026184629</v>
      </c>
      <c r="D321" s="26">
        <f t="shared" ref="D321:E321" si="112">E69-D69</f>
        <v>40.578999780003869</v>
      </c>
      <c r="E321" s="26">
        <f t="shared" si="112"/>
        <v>103.77200023425985</v>
      </c>
      <c r="F321" s="26">
        <f t="shared" si="85"/>
        <v>144.35100001426372</v>
      </c>
    </row>
    <row r="322" spans="1:6" x14ac:dyDescent="0.3">
      <c r="A322" t="str">
        <f>$A$70</f>
        <v>Health</v>
      </c>
      <c r="B322" s="26">
        <f t="shared" si="88"/>
        <v>190.89000000627766</v>
      </c>
      <c r="C322" s="26">
        <f t="shared" si="88"/>
        <v>92.085000020580082</v>
      </c>
      <c r="D322" s="26">
        <f t="shared" ref="D322:E322" si="113">E70-D70</f>
        <v>172.20799997972108</v>
      </c>
      <c r="E322" s="26">
        <f t="shared" si="113"/>
        <v>196.46000002144319</v>
      </c>
      <c r="F322" s="26">
        <f t="shared" ref="F322:F333" si="114">F70-D70</f>
        <v>368.66800000116427</v>
      </c>
    </row>
    <row r="323" spans="1:6" x14ac:dyDescent="0.3">
      <c r="A323" t="str">
        <f>$A$71</f>
        <v>Residential care</v>
      </c>
      <c r="B323" s="26">
        <f t="shared" ref="B323:C323" si="115">C71-B71</f>
        <v>-5.1029999971516418</v>
      </c>
      <c r="C323" s="26">
        <f t="shared" si="115"/>
        <v>-34.724999991627556</v>
      </c>
      <c r="D323" s="26">
        <f t="shared" ref="D323:D331" si="116">E71-D71</f>
        <v>62.287999992459504</v>
      </c>
      <c r="E323" s="26">
        <f t="shared" ref="E323:E331" si="117">F71-E71</f>
        <v>74.075000006262712</v>
      </c>
      <c r="F323" s="26">
        <f t="shared" si="114"/>
        <v>136.36299999872222</v>
      </c>
    </row>
    <row r="324" spans="1:6" x14ac:dyDescent="0.3">
      <c r="A324" t="str">
        <f>$A$72</f>
        <v>Social work</v>
      </c>
      <c r="B324" s="26">
        <f t="shared" ref="B324:C324" si="118">C72-B72</f>
        <v>-1.9469999963384907</v>
      </c>
      <c r="C324" s="26">
        <f t="shared" si="118"/>
        <v>-44.93999998930019</v>
      </c>
      <c r="D324" s="26">
        <f t="shared" si="116"/>
        <v>72.343999989705594</v>
      </c>
      <c r="E324" s="26">
        <f t="shared" si="117"/>
        <v>78.937000009528447</v>
      </c>
      <c r="F324" s="26">
        <f t="shared" si="114"/>
        <v>151.28099999923404</v>
      </c>
    </row>
    <row r="325" spans="1:6" x14ac:dyDescent="0.3">
      <c r="A325" t="str">
        <f>$A$73</f>
        <v>Arts and entertainment</v>
      </c>
      <c r="B325" s="26">
        <f t="shared" ref="B325:C325" si="119">C73-B73</f>
        <v>23.345999998673534</v>
      </c>
      <c r="C325" s="26">
        <f t="shared" si="119"/>
        <v>7.2890000005267268</v>
      </c>
      <c r="D325" s="26">
        <f t="shared" si="116"/>
        <v>-7.4149999966277562</v>
      </c>
      <c r="E325" s="26">
        <f t="shared" si="117"/>
        <v>10.466999998828982</v>
      </c>
      <c r="F325" s="26">
        <f t="shared" si="114"/>
        <v>3.0520000022012255</v>
      </c>
    </row>
    <row r="326" spans="1:6" x14ac:dyDescent="0.3">
      <c r="A326" t="str">
        <f>$A$74</f>
        <v>Libraries, etc</v>
      </c>
      <c r="B326" s="26">
        <f t="shared" ref="B326:C326" si="120">C74-B74</f>
        <v>1.5779999989878206</v>
      </c>
      <c r="C326" s="26">
        <f t="shared" si="120"/>
        <v>6.7359999994958173</v>
      </c>
      <c r="D326" s="26">
        <f t="shared" si="116"/>
        <v>-6.2359999968313105</v>
      </c>
      <c r="E326" s="26">
        <f t="shared" si="117"/>
        <v>14.875999999105971</v>
      </c>
      <c r="F326" s="26">
        <f t="shared" si="114"/>
        <v>8.640000002274661</v>
      </c>
    </row>
    <row r="327" spans="1:6" x14ac:dyDescent="0.3">
      <c r="A327" t="str">
        <f>$A$75</f>
        <v>Gambling and betting</v>
      </c>
      <c r="B327" s="26">
        <f t="shared" ref="B327:C327" si="121">C75-B75</f>
        <v>-5.796000000073164</v>
      </c>
      <c r="C327" s="26">
        <f t="shared" si="121"/>
        <v>-6.9770000000336978</v>
      </c>
      <c r="D327" s="26">
        <f t="shared" si="116"/>
        <v>7.4090000009965138</v>
      </c>
      <c r="E327" s="26">
        <f t="shared" si="117"/>
        <v>10.764999999667864</v>
      </c>
      <c r="F327" s="26">
        <f t="shared" si="114"/>
        <v>18.174000000664378</v>
      </c>
    </row>
    <row r="328" spans="1:6" x14ac:dyDescent="0.3">
      <c r="A328" t="str">
        <f>$A$76</f>
        <v>Sport and recreation</v>
      </c>
      <c r="B328" s="26">
        <f t="shared" ref="B328:C328" si="122">C76-B76</f>
        <v>27.760999998645843</v>
      </c>
      <c r="C328" s="26">
        <f t="shared" si="122"/>
        <v>-35.885999999950116</v>
      </c>
      <c r="D328" s="26">
        <f t="shared" si="116"/>
        <v>36.987000005629454</v>
      </c>
      <c r="E328" s="26">
        <f t="shared" si="117"/>
        <v>51.913999997482847</v>
      </c>
      <c r="F328" s="26">
        <f t="shared" si="114"/>
        <v>88.901000003112301</v>
      </c>
    </row>
    <row r="329" spans="1:6" x14ac:dyDescent="0.3">
      <c r="A329" t="str">
        <f>$A$77</f>
        <v>Membership organisations</v>
      </c>
      <c r="B329" s="26">
        <f t="shared" ref="B329:C329" si="123">C77-B77</f>
        <v>8.7570000004793087</v>
      </c>
      <c r="C329" s="26">
        <f t="shared" si="123"/>
        <v>-20.495999999706896</v>
      </c>
      <c r="D329" s="26">
        <f t="shared" si="116"/>
        <v>-4.7369999959569782</v>
      </c>
      <c r="E329" s="26">
        <f t="shared" si="117"/>
        <v>0.95500000039658062</v>
      </c>
      <c r="F329" s="26">
        <f t="shared" si="114"/>
        <v>-3.7819999955603976</v>
      </c>
    </row>
    <row r="330" spans="1:6" x14ac:dyDescent="0.3">
      <c r="A330" t="str">
        <f>$A$78</f>
        <v>Repair of goods</v>
      </c>
      <c r="B330" s="26">
        <f t="shared" ref="B330:C330" si="124">C78-B78</f>
        <v>7.3060000000773613</v>
      </c>
      <c r="C330" s="26">
        <f t="shared" si="124"/>
        <v>12.501999999645733</v>
      </c>
      <c r="D330" s="26">
        <f t="shared" si="116"/>
        <v>0.84900000109222162</v>
      </c>
      <c r="E330" s="26">
        <f t="shared" si="117"/>
        <v>2.6909999993099945</v>
      </c>
      <c r="F330" s="26">
        <f t="shared" si="114"/>
        <v>3.5400000004022161</v>
      </c>
    </row>
    <row r="331" spans="1:6" x14ac:dyDescent="0.3">
      <c r="A331" t="str">
        <f>$A$79</f>
        <v>Other personal service</v>
      </c>
      <c r="B331" s="26">
        <f>C79-B79</f>
        <v>26.772999999462627</v>
      </c>
      <c r="C331" s="26">
        <f t="shared" ref="C331" si="125">D79-C79</f>
        <v>3.1959999935443761</v>
      </c>
      <c r="D331" s="26">
        <f t="shared" si="116"/>
        <v>-9.3849999929799992</v>
      </c>
      <c r="E331" s="26">
        <f t="shared" si="117"/>
        <v>1.7889999958380258</v>
      </c>
      <c r="F331" s="26">
        <f t="shared" si="114"/>
        <v>-7.5959999971419734</v>
      </c>
    </row>
    <row r="332" spans="1:6" x14ac:dyDescent="0.3">
      <c r="B332" s="26"/>
      <c r="C332" s="26"/>
      <c r="D332" s="26"/>
      <c r="E332" s="26"/>
      <c r="F332" s="26"/>
    </row>
    <row r="333" spans="1:6" x14ac:dyDescent="0.3">
      <c r="A333" s="23" t="str">
        <f>$A$81</f>
        <v>All industries</v>
      </c>
      <c r="B333" s="28">
        <f t="shared" ref="B333" si="126">C81-B81</f>
        <v>1709.0190000001458</v>
      </c>
      <c r="C333" s="28">
        <f t="shared" ref="C333" si="127">D81-C81</f>
        <v>-390.03600000038568</v>
      </c>
      <c r="D333" s="28">
        <f>E81-D81</f>
        <v>1047.3559999999998</v>
      </c>
      <c r="E333" s="28">
        <f>F81-E81</f>
        <v>1545.5480000002935</v>
      </c>
      <c r="F333" s="28">
        <f t="shared" si="114"/>
        <v>2592.9040000002933</v>
      </c>
    </row>
  </sheetData>
  <pageMargins left="0.7" right="0.7" top="0.75" bottom="0.75" header="0.3" footer="0.3"/>
  <pageSetup paperSize="9" scale="69" orientation="portrait" r:id="rId1"/>
  <rowBreaks count="3" manualBreakCount="3">
    <brk id="81" max="5" man="1"/>
    <brk id="165" max="5" man="1"/>
    <brk id="250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2"/>
  <sheetViews>
    <sheetView showGridLines="0" zoomScale="85" zoomScaleNormal="85" workbookViewId="0"/>
  </sheetViews>
  <sheetFormatPr defaultRowHeight="12.45" x14ac:dyDescent="0.3"/>
  <cols>
    <col min="1" max="1" width="26.69140625" customWidth="1"/>
    <col min="2" max="6" width="11.69140625" customWidth="1"/>
    <col min="7" max="7" width="5.69140625" customWidth="1"/>
    <col min="8" max="12" width="11.69140625" customWidth="1"/>
  </cols>
  <sheetData>
    <row r="1" spans="1:12" ht="15.45" x14ac:dyDescent="0.4">
      <c r="A1" s="18" t="str">
        <f>CONCATENATE("Industry Table 4  Employment by Industry Group in Sector (SIC 2007), ",B$5,"-",F$5,", ",Info!B5)</f>
        <v>Industry Table 4  Employment by Industry Group in Sector (SIC 2007), 2015-2035, United Kingdom</v>
      </c>
    </row>
    <row r="2" spans="1:12" ht="12.75" customHeight="1" x14ac:dyDescent="0.3">
      <c r="A2" s="181" t="s">
        <v>532</v>
      </c>
    </row>
    <row r="3" spans="1:12" ht="12.75" customHeight="1" x14ac:dyDescent="0.4">
      <c r="A3" s="18"/>
      <c r="L3" s="37" t="s">
        <v>19</v>
      </c>
    </row>
    <row r="4" spans="1:12" x14ac:dyDescent="0.3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3">
      <c r="A5" s="23"/>
      <c r="B5" s="41">
        <f>'Ind T1'!B5</f>
        <v>2015</v>
      </c>
      <c r="C5" s="41">
        <f>'Ind T1'!C5</f>
        <v>2019</v>
      </c>
      <c r="D5" s="41">
        <f>'Ind T1'!D5</f>
        <v>2020</v>
      </c>
      <c r="E5" s="41">
        <f>'Ind T1'!E5</f>
        <v>2025</v>
      </c>
      <c r="F5" s="41">
        <f>'Ind T1'!F5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ht="12.9" x14ac:dyDescent="0.35">
      <c r="A7" s="29" t="str">
        <f>'Ind T1'!A7</f>
        <v>Primary sector and utilities</v>
      </c>
      <c r="B7" s="30">
        <f>'Ind T1'!B7</f>
        <v>793.96300000055226</v>
      </c>
      <c r="C7" s="30">
        <f>'Ind T1'!C7</f>
        <v>823.87700000225686</v>
      </c>
      <c r="D7" s="30">
        <f>'Ind T1'!D7</f>
        <v>789.98499999598903</v>
      </c>
      <c r="E7" s="30">
        <f>'Ind T1'!E7</f>
        <v>795.87099999957127</v>
      </c>
      <c r="F7" s="30">
        <f>'Ind T1'!F7</f>
        <v>808.09199999781731</v>
      </c>
      <c r="H7" s="30">
        <f>C7-B7</f>
        <v>29.914000001704608</v>
      </c>
      <c r="I7" s="30">
        <f>D7-C7</f>
        <v>-33.892000006267835</v>
      </c>
      <c r="J7" s="30">
        <f>E7-D7</f>
        <v>5.8860000035822395</v>
      </c>
      <c r="K7" s="30">
        <f>F7-E7</f>
        <v>12.220999998246043</v>
      </c>
      <c r="L7" s="30">
        <f>F7-D7</f>
        <v>18.107000001828283</v>
      </c>
    </row>
    <row r="8" spans="1:12" ht="12.9" x14ac:dyDescent="0.35">
      <c r="A8" t="str">
        <f>'Ind T2'!A5</f>
        <v>Agriculture</v>
      </c>
      <c r="B8" s="31">
        <f>'Ind T2'!B5</f>
        <v>386.98700000151018</v>
      </c>
      <c r="C8" s="31">
        <f>'Ind T2'!C5</f>
        <v>395.90500000286579</v>
      </c>
      <c r="D8" s="31">
        <f>'Ind T2'!D5</f>
        <v>372.00199999699367</v>
      </c>
      <c r="E8" s="31">
        <f>'Ind T2'!E5</f>
        <v>381.17099999725599</v>
      </c>
      <c r="F8" s="31">
        <f>'Ind T2'!F5</f>
        <v>385.17799999710059</v>
      </c>
      <c r="H8" s="11">
        <f t="shared" ref="H8:H40" si="0">C8-B8</f>
        <v>8.9180000013556082</v>
      </c>
      <c r="I8" s="30">
        <f t="shared" ref="I8:I38" si="1">D8-C8</f>
        <v>-23.903000005872116</v>
      </c>
      <c r="J8" s="11">
        <f t="shared" ref="J8:J38" si="2">E8-D8</f>
        <v>9.1690000002623151</v>
      </c>
      <c r="K8" s="11">
        <f t="shared" ref="K8:K38" si="3">F8-E8</f>
        <v>4.0069999998445951</v>
      </c>
      <c r="L8" s="30">
        <f t="shared" ref="L8:L40" si="4">F8-D8</f>
        <v>13.17600000010691</v>
      </c>
    </row>
    <row r="9" spans="1:12" ht="12.9" x14ac:dyDescent="0.35">
      <c r="A9" t="str">
        <f>'Ind T2'!A6</f>
        <v>Mining and quarrying</v>
      </c>
      <c r="B9" s="31">
        <f>'Ind T2'!B6</f>
        <v>74.000999999618358</v>
      </c>
      <c r="C9" s="31">
        <f>'Ind T2'!C6</f>
        <v>60.993999999880636</v>
      </c>
      <c r="D9" s="31">
        <f>'Ind T2'!D6</f>
        <v>61.989999999907816</v>
      </c>
      <c r="E9" s="31">
        <f>'Ind T2'!E6</f>
        <v>54.095000000151984</v>
      </c>
      <c r="F9" s="31">
        <f>'Ind T2'!F6</f>
        <v>46.898000000171301</v>
      </c>
      <c r="H9" s="11">
        <f t="shared" si="0"/>
        <v>-13.006999999737722</v>
      </c>
      <c r="I9" s="30">
        <f t="shared" si="1"/>
        <v>0.99600000002718048</v>
      </c>
      <c r="J9" s="11">
        <f t="shared" si="2"/>
        <v>-7.8949999997558322</v>
      </c>
      <c r="K9" s="11">
        <f t="shared" si="3"/>
        <v>-7.1969999999806831</v>
      </c>
      <c r="L9" s="30">
        <f t="shared" si="4"/>
        <v>-15.091999999736515</v>
      </c>
    </row>
    <row r="10" spans="1:12" ht="12.9" x14ac:dyDescent="0.35">
      <c r="A10" t="str">
        <f>'Ind T2'!A10</f>
        <v>Electricity and gas</v>
      </c>
      <c r="B10" s="31">
        <f>'Ind T2'!B10</f>
        <v>132.99599999935342</v>
      </c>
      <c r="C10" s="31">
        <f>'Ind T2'!C10</f>
        <v>143.9939999993542</v>
      </c>
      <c r="D10" s="31">
        <f>'Ind T2'!D10</f>
        <v>145.99299999949051</v>
      </c>
      <c r="E10" s="31">
        <f>'Ind T2'!E10</f>
        <v>140.01800000093294</v>
      </c>
      <c r="F10" s="31">
        <f>'Ind T2'!F10</f>
        <v>138.5459999994923</v>
      </c>
      <c r="H10" s="11">
        <f t="shared" si="0"/>
        <v>10.998000000000786</v>
      </c>
      <c r="I10" s="30">
        <f t="shared" si="1"/>
        <v>1.9990000001363057</v>
      </c>
      <c r="J10" s="11">
        <f t="shared" si="2"/>
        <v>-5.9749999985575641</v>
      </c>
      <c r="K10" s="11">
        <f t="shared" si="3"/>
        <v>-1.472000001440648</v>
      </c>
      <c r="L10" s="30">
        <f t="shared" si="4"/>
        <v>-7.4469999999982122</v>
      </c>
    </row>
    <row r="11" spans="1:12" ht="12.9" x14ac:dyDescent="0.35">
      <c r="A11" t="str">
        <f>'Ind T2'!A11</f>
        <v>Water and sewerage</v>
      </c>
      <c r="B11" s="31">
        <f>'Ind T2'!B11</f>
        <v>199.97900000007024</v>
      </c>
      <c r="C11" s="31">
        <f>'Ind T2'!C11</f>
        <v>222.98400000015621</v>
      </c>
      <c r="D11" s="31">
        <f>'Ind T2'!D11</f>
        <v>209.99999999959704</v>
      </c>
      <c r="E11" s="31">
        <f>'Ind T2'!E11</f>
        <v>220.58700000123025</v>
      </c>
      <c r="F11" s="31">
        <f>'Ind T2'!F11</f>
        <v>237.47000000105308</v>
      </c>
      <c r="H11" s="11">
        <f t="shared" ref="H11" si="5">C11-B11</f>
        <v>23.005000000085971</v>
      </c>
      <c r="I11" s="30">
        <f t="shared" ref="I11" si="6">D11-C11</f>
        <v>-12.984000000559178</v>
      </c>
      <c r="J11" s="11">
        <f t="shared" ref="J11" si="7">E11-D11</f>
        <v>10.587000001633214</v>
      </c>
      <c r="K11" s="11">
        <f t="shared" ref="K11" si="8">F11-E11</f>
        <v>16.882999999822829</v>
      </c>
      <c r="L11" s="30">
        <f t="shared" si="4"/>
        <v>27.470000001456043</v>
      </c>
    </row>
    <row r="12" spans="1:12" ht="12.9" x14ac:dyDescent="0.35">
      <c r="B12" s="31"/>
      <c r="C12" s="31"/>
      <c r="D12" s="31"/>
      <c r="E12" s="31"/>
      <c r="F12" s="31"/>
      <c r="H12" s="11"/>
      <c r="I12" s="30"/>
      <c r="J12" s="11"/>
      <c r="K12" s="11"/>
      <c r="L12" s="30"/>
    </row>
    <row r="13" spans="1:12" s="29" customFormat="1" ht="12.9" x14ac:dyDescent="0.35">
      <c r="A13" s="29" t="str">
        <f>'Ind T1'!A8</f>
        <v>Manufacturing</v>
      </c>
      <c r="B13" s="30">
        <f>'Ind T1'!B8</f>
        <v>2637.8289999997633</v>
      </c>
      <c r="C13" s="30">
        <f>'Ind T1'!C8</f>
        <v>2686.7669999965788</v>
      </c>
      <c r="D13" s="30">
        <f>'Ind T1'!D8</f>
        <v>2626.9919999948092</v>
      </c>
      <c r="E13" s="30">
        <f>'Ind T1'!E8</f>
        <v>2540.6200000154367</v>
      </c>
      <c r="F13" s="30">
        <f>'Ind T1'!F8</f>
        <v>2341.1690000025396</v>
      </c>
      <c r="H13" s="30">
        <f t="shared" si="0"/>
        <v>48.937999996815506</v>
      </c>
      <c r="I13" s="30">
        <f t="shared" si="1"/>
        <v>-59.775000001769513</v>
      </c>
      <c r="J13" s="30">
        <f t="shared" si="2"/>
        <v>-86.371999979372504</v>
      </c>
      <c r="K13" s="30">
        <f t="shared" si="3"/>
        <v>-199.45100001289711</v>
      </c>
      <c r="L13" s="30">
        <f t="shared" si="4"/>
        <v>-285.82299999226962</v>
      </c>
    </row>
    <row r="14" spans="1:12" ht="12.9" x14ac:dyDescent="0.35">
      <c r="A14" t="str">
        <f>'Ind T2'!A7</f>
        <v>Food drink and tobacco</v>
      </c>
      <c r="B14" s="31">
        <f>'Ind T2'!B7</f>
        <v>426.80600000178686</v>
      </c>
      <c r="C14" s="31">
        <f>'Ind T2'!C7</f>
        <v>452.71200000046281</v>
      </c>
      <c r="D14" s="31">
        <f>'Ind T2'!D7</f>
        <v>452.26199999991479</v>
      </c>
      <c r="E14" s="31">
        <f>'Ind T2'!E7</f>
        <v>459.38400000572176</v>
      </c>
      <c r="F14" s="31">
        <f>'Ind T2'!F7</f>
        <v>448.88600000038093</v>
      </c>
      <c r="H14" s="11">
        <f t="shared" si="0"/>
        <v>25.905999998675952</v>
      </c>
      <c r="I14" s="30">
        <f t="shared" si="1"/>
        <v>-0.45000000054801603</v>
      </c>
      <c r="J14" s="11">
        <f t="shared" si="2"/>
        <v>7.1220000058069672</v>
      </c>
      <c r="K14" s="11">
        <f t="shared" si="3"/>
        <v>-10.498000005340828</v>
      </c>
      <c r="L14" s="30">
        <f t="shared" si="4"/>
        <v>-3.3759999995338603</v>
      </c>
    </row>
    <row r="15" spans="1:12" ht="12.9" x14ac:dyDescent="0.35">
      <c r="A15" t="str">
        <f>'Ind T2'!A8</f>
        <v>Engineering</v>
      </c>
      <c r="B15" s="31">
        <f>'Ind T2'!B8</f>
        <v>394.82099999887174</v>
      </c>
      <c r="C15" s="31">
        <f>'Ind T2'!C8</f>
        <v>402.64999999893882</v>
      </c>
      <c r="D15" s="31">
        <f>'Ind T2'!D8</f>
        <v>384.18599999891455</v>
      </c>
      <c r="E15" s="31">
        <f>'Ind T2'!E8</f>
        <v>393.4140000017203</v>
      </c>
      <c r="F15" s="31">
        <f>'Ind T2'!F8</f>
        <v>349.43700000037802</v>
      </c>
      <c r="H15" s="11">
        <f t="shared" si="0"/>
        <v>7.829000000067083</v>
      </c>
      <c r="I15" s="30">
        <f t="shared" si="1"/>
        <v>-18.464000000024271</v>
      </c>
      <c r="J15" s="11">
        <f t="shared" si="2"/>
        <v>9.228000002805743</v>
      </c>
      <c r="K15" s="11">
        <f t="shared" si="3"/>
        <v>-43.977000001342276</v>
      </c>
      <c r="L15" s="30">
        <f t="shared" si="4"/>
        <v>-34.748999998536533</v>
      </c>
    </row>
    <row r="16" spans="1:12" ht="12.9" x14ac:dyDescent="0.35">
      <c r="A16" t="str">
        <f>'Ind T2'!A9</f>
        <v>Rest of manufacturing</v>
      </c>
      <c r="B16" s="31">
        <f>'Ind T2'!B9</f>
        <v>1816.2019999991046</v>
      </c>
      <c r="C16" s="31">
        <f>'Ind T2'!C9</f>
        <v>1831.4049999971764</v>
      </c>
      <c r="D16" s="31">
        <f>'Ind T2'!D9</f>
        <v>1790.5439999959799</v>
      </c>
      <c r="E16" s="31">
        <f>'Ind T2'!E9</f>
        <v>1687.8220000079953</v>
      </c>
      <c r="F16" s="31">
        <f>'Ind T2'!F9</f>
        <v>1542.8460000017808</v>
      </c>
      <c r="H16" s="11">
        <f t="shared" si="0"/>
        <v>15.202999998071846</v>
      </c>
      <c r="I16" s="30">
        <f t="shared" si="1"/>
        <v>-40.861000001196544</v>
      </c>
      <c r="J16" s="11">
        <f t="shared" si="2"/>
        <v>-102.72199998798465</v>
      </c>
      <c r="K16" s="11">
        <f t="shared" si="3"/>
        <v>-144.97600000621446</v>
      </c>
      <c r="L16" s="30">
        <f t="shared" si="4"/>
        <v>-247.69799999419911</v>
      </c>
    </row>
    <row r="17" spans="1:12" ht="12.9" x14ac:dyDescent="0.35">
      <c r="B17" s="31"/>
      <c r="C17" s="31"/>
      <c r="D17" s="31"/>
      <c r="E17" s="31"/>
      <c r="F17" s="31"/>
      <c r="H17" s="11"/>
      <c r="I17" s="30">
        <f t="shared" si="1"/>
        <v>0</v>
      </c>
      <c r="J17" s="11"/>
      <c r="K17" s="11"/>
      <c r="L17" s="30"/>
    </row>
    <row r="18" spans="1:12" s="29" customFormat="1" ht="12.9" x14ac:dyDescent="0.35">
      <c r="A18" s="29" t="str">
        <f>'Ind T1'!A9</f>
        <v>Construction</v>
      </c>
      <c r="B18" s="30">
        <f>'Ind T1'!B9</f>
        <v>2121.909999979634</v>
      </c>
      <c r="C18" s="30">
        <f>'Ind T1'!C9</f>
        <v>2333.5340000224633</v>
      </c>
      <c r="D18" s="30">
        <f>'Ind T1'!D9</f>
        <v>2318.9969999678437</v>
      </c>
      <c r="E18" s="30">
        <f>'Ind T1'!E9</f>
        <v>2419.1419999278805</v>
      </c>
      <c r="F18" s="30">
        <f>'Ind T1'!F9</f>
        <v>2583.0529999460769</v>
      </c>
      <c r="H18" s="30">
        <f t="shared" si="0"/>
        <v>211.62400004282927</v>
      </c>
      <c r="I18" s="30">
        <f t="shared" si="1"/>
        <v>-14.537000054619512</v>
      </c>
      <c r="J18" s="30">
        <f t="shared" si="2"/>
        <v>100.14499996003678</v>
      </c>
      <c r="K18" s="30">
        <f t="shared" si="3"/>
        <v>163.91100001819632</v>
      </c>
      <c r="L18" s="30">
        <f t="shared" si="4"/>
        <v>264.0559999782331</v>
      </c>
    </row>
    <row r="19" spans="1:12" ht="12.9" x14ac:dyDescent="0.35">
      <c r="A19" s="29"/>
      <c r="B19" s="31"/>
      <c r="C19" s="31"/>
      <c r="D19" s="31"/>
      <c r="E19" s="31"/>
      <c r="F19" s="31"/>
      <c r="H19" s="11"/>
      <c r="I19" s="30"/>
      <c r="J19" s="11"/>
      <c r="K19" s="11"/>
      <c r="L19" s="30"/>
    </row>
    <row r="20" spans="1:12" s="29" customFormat="1" ht="12.9" x14ac:dyDescent="0.35">
      <c r="A20" s="29" t="str">
        <f>'Ind T1'!A10</f>
        <v>Trade, accomod. and transport</v>
      </c>
      <c r="B20" s="30">
        <f>'Ind T1'!B10</f>
        <v>8823.4510001404869</v>
      </c>
      <c r="C20" s="30">
        <f>'Ind T1'!C10</f>
        <v>9328.0920000844544</v>
      </c>
      <c r="D20" s="30">
        <f>'Ind T1'!D10</f>
        <v>9183.9910000514137</v>
      </c>
      <c r="E20" s="30">
        <f>'Ind T1'!E10</f>
        <v>9425.3850001916999</v>
      </c>
      <c r="F20" s="30">
        <f>'Ind T1'!F10</f>
        <v>9858.8979999900712</v>
      </c>
      <c r="H20" s="30">
        <f t="shared" si="0"/>
        <v>504.64099994396747</v>
      </c>
      <c r="I20" s="30">
        <f t="shared" si="1"/>
        <v>-144.10100003304069</v>
      </c>
      <c r="J20" s="30">
        <f t="shared" si="2"/>
        <v>241.39400014028615</v>
      </c>
      <c r="K20" s="30">
        <f t="shared" si="3"/>
        <v>433.51299979837131</v>
      </c>
      <c r="L20" s="30">
        <f t="shared" si="4"/>
        <v>674.90699993865746</v>
      </c>
    </row>
    <row r="21" spans="1:12" ht="12.9" x14ac:dyDescent="0.35">
      <c r="A21" s="10" t="str">
        <f>'Ind T2'!A13</f>
        <v>Wholesale and retail trade</v>
      </c>
      <c r="B21" s="31">
        <f>'Ind T2'!B13</f>
        <v>4970.689000089862</v>
      </c>
      <c r="C21" s="31">
        <f>'Ind T2'!C13</f>
        <v>4991.5540000616602</v>
      </c>
      <c r="D21" s="31">
        <f>'Ind T2'!D13</f>
        <v>4979.9930000385002</v>
      </c>
      <c r="E21" s="31">
        <f>'Ind T2'!E13</f>
        <v>5007.1890001147076</v>
      </c>
      <c r="F21" s="31">
        <f>'Ind T2'!F13</f>
        <v>5058.9209999896593</v>
      </c>
      <c r="H21" s="11">
        <f t="shared" si="0"/>
        <v>20.86499997179817</v>
      </c>
      <c r="I21" s="30">
        <f t="shared" si="1"/>
        <v>-11.561000023159977</v>
      </c>
      <c r="J21" s="11">
        <f t="shared" si="2"/>
        <v>27.196000076207383</v>
      </c>
      <c r="K21" s="11">
        <f t="shared" si="3"/>
        <v>51.731999874951725</v>
      </c>
      <c r="L21" s="30">
        <f t="shared" si="4"/>
        <v>78.927999951159109</v>
      </c>
    </row>
    <row r="22" spans="1:12" ht="12.9" x14ac:dyDescent="0.35">
      <c r="A22" s="10" t="str">
        <f>'Ind T2'!A14</f>
        <v>Transport and storage</v>
      </c>
      <c r="B22" s="31">
        <f>'Ind T2'!B14</f>
        <v>1608.9080000135</v>
      </c>
      <c r="C22" s="31">
        <f>'Ind T2'!C14</f>
        <v>1811.763999990661</v>
      </c>
      <c r="D22" s="31">
        <f>'Ind T2'!D14</f>
        <v>1788.0020000024331</v>
      </c>
      <c r="E22" s="31">
        <f>'Ind T2'!E14</f>
        <v>1904.4200000279934</v>
      </c>
      <c r="F22" s="31">
        <f>'Ind T2'!F14</f>
        <v>1940.5480000121872</v>
      </c>
      <c r="H22" s="11">
        <f t="shared" si="0"/>
        <v>202.85599997716099</v>
      </c>
      <c r="I22" s="30">
        <f t="shared" si="1"/>
        <v>-23.761999988227899</v>
      </c>
      <c r="J22" s="11">
        <f t="shared" si="2"/>
        <v>116.41800002556033</v>
      </c>
      <c r="K22" s="11">
        <f t="shared" si="3"/>
        <v>36.127999984193821</v>
      </c>
      <c r="L22" s="30">
        <f t="shared" si="4"/>
        <v>152.54600000975415</v>
      </c>
    </row>
    <row r="23" spans="1:12" ht="12.9" x14ac:dyDescent="0.35">
      <c r="A23" s="10" t="str">
        <f>'Ind T2'!A15</f>
        <v>Accommodation and food</v>
      </c>
      <c r="B23" s="31">
        <f>'Ind T2'!B15</f>
        <v>2243.8540000371245</v>
      </c>
      <c r="C23" s="31">
        <f>'Ind T2'!C15</f>
        <v>2524.7740000321319</v>
      </c>
      <c r="D23" s="31">
        <f>'Ind T2'!D15</f>
        <v>2415.9960000104807</v>
      </c>
      <c r="E23" s="31">
        <f>'Ind T2'!E15</f>
        <v>2513.7760000489993</v>
      </c>
      <c r="F23" s="31">
        <f>'Ind T2'!F15</f>
        <v>2859.4289999882239</v>
      </c>
      <c r="H23" s="11">
        <f t="shared" si="0"/>
        <v>280.9199999950074</v>
      </c>
      <c r="I23" s="30">
        <f t="shared" si="1"/>
        <v>-108.77800002165122</v>
      </c>
      <c r="J23" s="11">
        <f t="shared" si="2"/>
        <v>97.780000038518665</v>
      </c>
      <c r="K23" s="11">
        <f t="shared" si="3"/>
        <v>345.65299993922463</v>
      </c>
      <c r="L23" s="30">
        <f t="shared" si="4"/>
        <v>443.43299997774329</v>
      </c>
    </row>
    <row r="24" spans="1:12" ht="12.9" x14ac:dyDescent="0.35">
      <c r="B24" s="31"/>
      <c r="C24" s="31"/>
      <c r="D24" s="31"/>
      <c r="E24" s="31"/>
      <c r="F24" s="31"/>
      <c r="H24" s="11"/>
      <c r="I24" s="30"/>
      <c r="J24" s="11"/>
      <c r="K24" s="11"/>
      <c r="L24" s="30"/>
    </row>
    <row r="25" spans="1:12" s="29" customFormat="1" ht="12.9" x14ac:dyDescent="0.35">
      <c r="A25" s="29" t="str">
        <f>'Ind T1'!A11</f>
        <v>Business and other services</v>
      </c>
      <c r="B25" s="30">
        <f>'Ind T1'!B11</f>
        <v>10766.368999966546</v>
      </c>
      <c r="C25" s="30">
        <f>'Ind T1'!C11</f>
        <v>11478.555999953876</v>
      </c>
      <c r="D25" s="30">
        <f>'Ind T1'!D11</f>
        <v>11274.012999979986</v>
      </c>
      <c r="E25" s="30">
        <f>'Ind T1'!E11</f>
        <v>11689.746000110048</v>
      </c>
      <c r="F25" s="30">
        <f>'Ind T1'!F11</f>
        <v>12346.753000035324</v>
      </c>
      <c r="H25" s="30">
        <f t="shared" si="0"/>
        <v>712.18699998733064</v>
      </c>
      <c r="I25" s="30">
        <f t="shared" si="1"/>
        <v>-204.54299997388989</v>
      </c>
      <c r="J25" s="30">
        <f t="shared" si="2"/>
        <v>415.73300013006155</v>
      </c>
      <c r="K25" s="30">
        <f t="shared" si="3"/>
        <v>657.00699992527552</v>
      </c>
      <c r="L25" s="30">
        <f t="shared" si="4"/>
        <v>1072.7400000553371</v>
      </c>
    </row>
    <row r="26" spans="1:12" ht="12.9" x14ac:dyDescent="0.35">
      <c r="A26" s="10" t="str">
        <f>'Ind T2'!A16</f>
        <v>Media</v>
      </c>
      <c r="B26" s="11">
        <f>'Ind T2'!B16</f>
        <v>364.73499999974388</v>
      </c>
      <c r="C26" s="11">
        <f>'Ind T2'!C16</f>
        <v>379.56299999890007</v>
      </c>
      <c r="D26" s="11">
        <f>'Ind T2'!D16</f>
        <v>377.52300000078952</v>
      </c>
      <c r="E26" s="11">
        <f>'Ind T2'!E16</f>
        <v>381.39600000564673</v>
      </c>
      <c r="F26" s="11">
        <f>'Ind T2'!F16</f>
        <v>385.73300000349366</v>
      </c>
      <c r="H26" s="11">
        <f t="shared" si="0"/>
        <v>14.827999999156191</v>
      </c>
      <c r="I26" s="30">
        <f t="shared" si="1"/>
        <v>-2.0399999981105452</v>
      </c>
      <c r="J26" s="11">
        <f t="shared" si="2"/>
        <v>3.8730000048572037</v>
      </c>
      <c r="K26" s="11">
        <f t="shared" si="3"/>
        <v>4.3369999978469309</v>
      </c>
      <c r="L26" s="30">
        <f t="shared" si="4"/>
        <v>8.2100000027041347</v>
      </c>
    </row>
    <row r="27" spans="1:12" ht="12.9" x14ac:dyDescent="0.35">
      <c r="A27" s="10" t="str">
        <f>'Ind T2'!A17</f>
        <v>Information technology</v>
      </c>
      <c r="B27" s="11">
        <f>'Ind T2'!B17</f>
        <v>1025.1799999874218</v>
      </c>
      <c r="C27" s="11">
        <f>'Ind T2'!C17</f>
        <v>1117.2739999872433</v>
      </c>
      <c r="D27" s="11">
        <f>'Ind T2'!D17</f>
        <v>1114.4829999960457</v>
      </c>
      <c r="E27" s="11">
        <f>'Ind T2'!E17</f>
        <v>1198.4030000068362</v>
      </c>
      <c r="F27" s="11">
        <f>'Ind T2'!F17</f>
        <v>1295.671999997531</v>
      </c>
      <c r="H27" s="11">
        <f t="shared" si="0"/>
        <v>92.093999999821563</v>
      </c>
      <c r="I27" s="30">
        <f t="shared" si="1"/>
        <v>-2.7909999911976229</v>
      </c>
      <c r="J27" s="11">
        <f t="shared" si="2"/>
        <v>83.920000010790545</v>
      </c>
      <c r="K27" s="11">
        <f t="shared" si="3"/>
        <v>97.268999990694738</v>
      </c>
      <c r="L27" s="30">
        <f t="shared" si="4"/>
        <v>181.18900000148528</v>
      </c>
    </row>
    <row r="28" spans="1:12" ht="12.9" x14ac:dyDescent="0.35">
      <c r="A28" s="10" t="str">
        <f>'Ind T2'!A18</f>
        <v>Finance and insurance</v>
      </c>
      <c r="B28" s="11">
        <f>'Ind T2'!B18</f>
        <v>1112.9259999897026</v>
      </c>
      <c r="C28" s="11">
        <f>'Ind T2'!C18</f>
        <v>1134.9019999887487</v>
      </c>
      <c r="D28" s="11">
        <f>'Ind T2'!D18</f>
        <v>1150.001999996904</v>
      </c>
      <c r="E28" s="11">
        <f>'Ind T2'!E18</f>
        <v>1156.948000015336</v>
      </c>
      <c r="F28" s="11">
        <f>'Ind T2'!F18</f>
        <v>1136.1170000037719</v>
      </c>
      <c r="H28" s="11">
        <f t="shared" si="0"/>
        <v>21.975999999046053</v>
      </c>
      <c r="I28" s="30">
        <f t="shared" si="1"/>
        <v>15.100000008155348</v>
      </c>
      <c r="J28" s="11">
        <f t="shared" si="2"/>
        <v>6.9460000184319597</v>
      </c>
      <c r="K28" s="11">
        <f t="shared" si="3"/>
        <v>-20.831000011564129</v>
      </c>
      <c r="L28" s="30">
        <f t="shared" si="4"/>
        <v>-13.884999993132169</v>
      </c>
    </row>
    <row r="29" spans="1:12" ht="12.9" x14ac:dyDescent="0.35">
      <c r="A29" s="10" t="str">
        <f>'Ind T2'!A19</f>
        <v>Real estate</v>
      </c>
      <c r="B29" s="11">
        <f>'Ind T2'!B19</f>
        <v>567.9639999983068</v>
      </c>
      <c r="C29" s="11">
        <f>'Ind T2'!C19</f>
        <v>589.93499999883011</v>
      </c>
      <c r="D29" s="11">
        <f>'Ind T2'!D19</f>
        <v>642.99899999800766</v>
      </c>
      <c r="E29" s="11">
        <f>'Ind T2'!E19</f>
        <v>618.73400000524055</v>
      </c>
      <c r="F29" s="11">
        <f>'Ind T2'!F19</f>
        <v>672.2139999999257</v>
      </c>
      <c r="H29" s="11">
        <f t="shared" ref="H29:H31" si="9">C29-B29</f>
        <v>21.971000000523304</v>
      </c>
      <c r="I29" s="30">
        <f t="shared" ref="I29:I31" si="10">D29-C29</f>
        <v>53.063999999177554</v>
      </c>
      <c r="J29" s="11">
        <f t="shared" ref="J29:J31" si="11">E29-D29</f>
        <v>-24.264999992767116</v>
      </c>
      <c r="K29" s="11">
        <f t="shared" ref="K29:K31" si="12">F29-E29</f>
        <v>53.479999994685159</v>
      </c>
      <c r="L29" s="30">
        <f t="shared" si="4"/>
        <v>29.215000001918042</v>
      </c>
    </row>
    <row r="30" spans="1:12" ht="12.9" x14ac:dyDescent="0.35">
      <c r="A30" s="10" t="str">
        <f>'Ind T2'!A20</f>
        <v>Professional services</v>
      </c>
      <c r="B30" s="11">
        <f>'Ind T2'!B20</f>
        <v>2905.843999962251</v>
      </c>
      <c r="C30" s="11">
        <f>'Ind T2'!C20</f>
        <v>3211.5779999596052</v>
      </c>
      <c r="D30" s="11">
        <f>'Ind T2'!D20</f>
        <v>3151.9959999898488</v>
      </c>
      <c r="E30" s="11">
        <f>'Ind T2'!E20</f>
        <v>3312.1770000340839</v>
      </c>
      <c r="F30" s="11">
        <f>'Ind T2'!F20</f>
        <v>3532.0960000137475</v>
      </c>
      <c r="H30" s="11">
        <f t="shared" si="9"/>
        <v>305.7339999973542</v>
      </c>
      <c r="I30" s="30">
        <f t="shared" si="10"/>
        <v>-59.581999969756453</v>
      </c>
      <c r="J30" s="11">
        <f t="shared" si="11"/>
        <v>160.18100004423513</v>
      </c>
      <c r="K30" s="11">
        <f t="shared" si="12"/>
        <v>219.91899997966357</v>
      </c>
      <c r="L30" s="30">
        <f t="shared" si="4"/>
        <v>380.1000000238987</v>
      </c>
    </row>
    <row r="31" spans="1:12" ht="12.9" x14ac:dyDescent="0.35">
      <c r="A31" s="10" t="str">
        <f>'Ind T2'!A21</f>
        <v>Support services</v>
      </c>
      <c r="B31" s="11">
        <f>'Ind T2'!B21</f>
        <v>2845.8150000202299</v>
      </c>
      <c r="C31" s="11">
        <f>'Ind T2'!C21</f>
        <v>3011.6740000154059</v>
      </c>
      <c r="D31" s="11">
        <f>'Ind T2'!D21</f>
        <v>2837.0159999997268</v>
      </c>
      <c r="E31" s="11">
        <f>'Ind T2'!E21</f>
        <v>3004.6220000189205</v>
      </c>
      <c r="F31" s="11">
        <f>'Ind T2'!F21</f>
        <v>3213.9980000022347</v>
      </c>
      <c r="H31" s="11">
        <f t="shared" si="9"/>
        <v>165.85899999517596</v>
      </c>
      <c r="I31" s="30">
        <f t="shared" si="10"/>
        <v>-174.65800001567914</v>
      </c>
      <c r="J31" s="11">
        <f t="shared" si="11"/>
        <v>167.60600001919374</v>
      </c>
      <c r="K31" s="11">
        <f t="shared" si="12"/>
        <v>209.37599998331416</v>
      </c>
      <c r="L31" s="30">
        <f t="shared" si="4"/>
        <v>376.9820000025079</v>
      </c>
    </row>
    <row r="32" spans="1:12" ht="12.9" x14ac:dyDescent="0.35">
      <c r="A32" s="10" t="str">
        <f>'Ind T2'!A25</f>
        <v>Arts and entertainment</v>
      </c>
      <c r="B32" s="11">
        <f>'Ind T2'!B25</f>
        <v>981.94500000564767</v>
      </c>
      <c r="C32" s="11">
        <f>'Ind T2'!C25</f>
        <v>1028.8340000018816</v>
      </c>
      <c r="D32" s="11">
        <f>'Ind T2'!D25</f>
        <v>999.99600000192049</v>
      </c>
      <c r="E32" s="11">
        <f>'Ind T2'!E25</f>
        <v>1030.7410000150874</v>
      </c>
      <c r="F32" s="11">
        <f>'Ind T2'!F25</f>
        <v>1118.7630000101731</v>
      </c>
      <c r="H32" s="11">
        <f t="shared" ref="H32" si="13">C32-B32</f>
        <v>46.888999996233906</v>
      </c>
      <c r="I32" s="30">
        <f t="shared" ref="I32:I33" si="14">D32-C32</f>
        <v>-28.837999999961085</v>
      </c>
      <c r="J32" s="11">
        <f t="shared" ref="J32:J33" si="15">E32-D32</f>
        <v>30.745000013166873</v>
      </c>
      <c r="K32" s="11">
        <f t="shared" ref="K32:K33" si="16">F32-E32</f>
        <v>88.021999995085707</v>
      </c>
      <c r="L32" s="30">
        <f t="shared" si="4"/>
        <v>118.76700000825258</v>
      </c>
    </row>
    <row r="33" spans="1:12" ht="12.9" x14ac:dyDescent="0.35">
      <c r="A33" s="10" t="str">
        <f>'Ind T2'!A26</f>
        <v>Other services</v>
      </c>
      <c r="B33" s="11">
        <f>'Ind T2'!B26</f>
        <v>961.96000000324352</v>
      </c>
      <c r="C33" s="11">
        <f>'Ind T2'!C26</f>
        <v>1004.7960000032627</v>
      </c>
      <c r="D33" s="11">
        <f>'Ind T2'!D26</f>
        <v>999.99799999674599</v>
      </c>
      <c r="E33" s="11">
        <f>'Ind T2'!E26</f>
        <v>986.72500000890125</v>
      </c>
      <c r="F33" s="11">
        <f>'Ind T2'!F26</f>
        <v>992.16000000444581</v>
      </c>
      <c r="H33" s="11">
        <f>C33-B33</f>
        <v>42.836000000019226</v>
      </c>
      <c r="I33" s="30">
        <f t="shared" si="14"/>
        <v>-4.7980000065167587</v>
      </c>
      <c r="J33" s="11">
        <f t="shared" si="15"/>
        <v>-13.272999987844742</v>
      </c>
      <c r="K33" s="11">
        <f t="shared" si="16"/>
        <v>5.4349999955445583</v>
      </c>
      <c r="L33" s="30">
        <f t="shared" si="4"/>
        <v>-7.8379999923001833</v>
      </c>
    </row>
    <row r="34" spans="1:12" ht="12.9" x14ac:dyDescent="0.35">
      <c r="B34" s="31"/>
      <c r="C34" s="31"/>
      <c r="D34" s="31"/>
      <c r="E34" s="31"/>
      <c r="F34" s="31"/>
      <c r="H34" s="11"/>
      <c r="I34" s="30"/>
      <c r="J34" s="11"/>
      <c r="K34" s="11"/>
      <c r="L34" s="30"/>
    </row>
    <row r="35" spans="1:12" s="29" customFormat="1" ht="12.9" x14ac:dyDescent="0.35">
      <c r="A35" s="29" t="str">
        <f>'Ind T1'!A12</f>
        <v>Non-marketed services</v>
      </c>
      <c r="B35" s="30">
        <f>'Ind T1'!B12</f>
        <v>8512.4629999130666</v>
      </c>
      <c r="C35" s="30">
        <f>'Ind T1'!C12</f>
        <v>8714.177999940568</v>
      </c>
      <c r="D35" s="30">
        <f>'Ind T1'!D12</f>
        <v>8780.9900000097841</v>
      </c>
      <c r="E35" s="30">
        <f>'Ind T1'!E12</f>
        <v>9151.5599997551762</v>
      </c>
      <c r="F35" s="30">
        <f>'Ind T1'!F12</f>
        <v>9629.9070000282736</v>
      </c>
      <c r="H35" s="30">
        <f t="shared" si="0"/>
        <v>201.71500002750145</v>
      </c>
      <c r="I35" s="30">
        <f t="shared" si="1"/>
        <v>66.812000069216083</v>
      </c>
      <c r="J35" s="30">
        <f t="shared" si="2"/>
        <v>370.56999974539212</v>
      </c>
      <c r="K35" s="30">
        <f t="shared" si="3"/>
        <v>478.34700027309736</v>
      </c>
      <c r="L35" s="30">
        <f t="shared" si="4"/>
        <v>848.91700001848949</v>
      </c>
    </row>
    <row r="36" spans="1:12" ht="12.9" x14ac:dyDescent="0.35">
      <c r="A36" s="10" t="str">
        <f>'Ind T2'!A22</f>
        <v>Public admin. and defence</v>
      </c>
      <c r="B36" s="31">
        <f>'Ind T2'!B22</f>
        <v>1330.9139999902939</v>
      </c>
      <c r="C36" s="31">
        <f>'Ind T2'!C22</f>
        <v>1358.8989999937271</v>
      </c>
      <c r="D36" s="31">
        <f>'Ind T2'!D22</f>
        <v>1402.9949999971047</v>
      </c>
      <c r="E36" s="31">
        <f>'Ind T2'!E22</f>
        <v>1426.146000000607</v>
      </c>
      <c r="F36" s="31">
        <f>'Ind T2'!F22</f>
        <v>1451.2490000022112</v>
      </c>
      <c r="H36" s="11">
        <f t="shared" si="0"/>
        <v>27.985000003433242</v>
      </c>
      <c r="I36" s="30">
        <f t="shared" si="1"/>
        <v>44.09600000337764</v>
      </c>
      <c r="J36" s="11">
        <f t="shared" si="2"/>
        <v>23.151000003502304</v>
      </c>
      <c r="K36" s="11">
        <f t="shared" si="3"/>
        <v>25.103000001604187</v>
      </c>
      <c r="L36" s="30">
        <f t="shared" si="4"/>
        <v>48.254000005106491</v>
      </c>
    </row>
    <row r="37" spans="1:12" ht="12.9" x14ac:dyDescent="0.35">
      <c r="A37" s="10" t="str">
        <f>'Ind T2'!A23</f>
        <v>Education</v>
      </c>
      <c r="B37" s="31">
        <f>'Ind T2'!B23</f>
        <v>2955.812999982074</v>
      </c>
      <c r="C37" s="31">
        <f>'Ind T2'!C23</f>
        <v>2945.7029999933557</v>
      </c>
      <c r="D37" s="31">
        <f>'Ind T2'!D23</f>
        <v>2955.9990000195403</v>
      </c>
      <c r="E37" s="31">
        <f>'Ind T2'!E23</f>
        <v>2996.5779997995442</v>
      </c>
      <c r="F37" s="31">
        <f>'Ind T2'!F23</f>
        <v>3100.350000033804</v>
      </c>
      <c r="H37" s="11">
        <f t="shared" si="0"/>
        <v>-10.1099999887183</v>
      </c>
      <c r="I37" s="30">
        <f t="shared" si="1"/>
        <v>10.296000026184629</v>
      </c>
      <c r="J37" s="11">
        <f t="shared" si="2"/>
        <v>40.578999780003869</v>
      </c>
      <c r="K37" s="11">
        <f t="shared" si="3"/>
        <v>103.77200023425985</v>
      </c>
      <c r="L37" s="30">
        <f t="shared" si="4"/>
        <v>144.35100001426372</v>
      </c>
    </row>
    <row r="38" spans="1:12" ht="12.9" x14ac:dyDescent="0.35">
      <c r="A38" s="10" t="str">
        <f>'Ind T2'!A24</f>
        <v>Health and social work</v>
      </c>
      <c r="B38" s="31">
        <f>'Ind T2'!B24</f>
        <v>4225.735999940699</v>
      </c>
      <c r="C38" s="31">
        <f>'Ind T2'!C24</f>
        <v>4409.5759999534866</v>
      </c>
      <c r="D38" s="31">
        <f>'Ind T2'!D24</f>
        <v>4421.9959999931389</v>
      </c>
      <c r="E38" s="31">
        <f>'Ind T2'!E24</f>
        <v>4728.8359999550248</v>
      </c>
      <c r="F38" s="31">
        <f>'Ind T2'!F24</f>
        <v>5078.3079999922593</v>
      </c>
      <c r="H38" s="11">
        <f t="shared" si="0"/>
        <v>183.84000001278764</v>
      </c>
      <c r="I38" s="30">
        <f t="shared" si="1"/>
        <v>12.420000039652223</v>
      </c>
      <c r="J38" s="11">
        <f t="shared" si="2"/>
        <v>306.83999996188595</v>
      </c>
      <c r="K38" s="11">
        <f t="shared" si="3"/>
        <v>349.47200003723447</v>
      </c>
      <c r="L38" s="30">
        <f t="shared" si="4"/>
        <v>656.31199999912042</v>
      </c>
    </row>
    <row r="39" spans="1:12" ht="12.9" x14ac:dyDescent="0.35">
      <c r="B39" s="31"/>
      <c r="C39" s="31"/>
      <c r="D39" s="31"/>
      <c r="E39" s="31"/>
      <c r="F39" s="31"/>
      <c r="H39" s="11"/>
      <c r="I39" s="11"/>
      <c r="J39" s="11"/>
      <c r="K39" s="11"/>
      <c r="L39" s="30"/>
    </row>
    <row r="40" spans="1:12" ht="12.9" x14ac:dyDescent="0.35">
      <c r="A40" s="38" t="str">
        <f>'Ind T1'!A14</f>
        <v>All industries</v>
      </c>
      <c r="B40" s="32">
        <f>'Ind T1'!B14</f>
        <v>33655.985000000044</v>
      </c>
      <c r="C40" s="32">
        <f>'Ind T1'!C14</f>
        <v>35365.004000000197</v>
      </c>
      <c r="D40" s="32">
        <f>'Ind T1'!D14</f>
        <v>34974.967999999826</v>
      </c>
      <c r="E40" s="32">
        <f>'Ind T1'!E14</f>
        <v>36022.323999999811</v>
      </c>
      <c r="F40" s="32">
        <f>'Ind T1'!F14</f>
        <v>37567.872000000105</v>
      </c>
      <c r="G40" s="23"/>
      <c r="H40" s="33">
        <f t="shared" si="0"/>
        <v>1709.019000000153</v>
      </c>
      <c r="I40" s="33">
        <f>D40-C40</f>
        <v>-390.03600000037113</v>
      </c>
      <c r="J40" s="33">
        <f>E40-D40</f>
        <v>1047.3559999999852</v>
      </c>
      <c r="K40" s="33">
        <f>F40-E40</f>
        <v>1545.5480000002935</v>
      </c>
      <c r="L40" s="205">
        <f t="shared" si="4"/>
        <v>2592.9040000002788</v>
      </c>
    </row>
    <row r="44" spans="1:12" ht="15.45" x14ac:dyDescent="0.4">
      <c r="A44" s="18" t="str">
        <f>CONCATENATE(A1," (Continued)")</f>
        <v>Industry Table 4  Employment by Industry Group in Sector (SIC 2007), 2015-2035, United Kingdom (Continued)</v>
      </c>
    </row>
    <row r="46" spans="1:12" x14ac:dyDescent="0.3">
      <c r="L46" s="15" t="s">
        <v>20</v>
      </c>
    </row>
    <row r="47" spans="1:12" x14ac:dyDescent="0.3">
      <c r="A47" s="35"/>
      <c r="B47" s="27" t="s">
        <v>14</v>
      </c>
      <c r="C47" s="27"/>
      <c r="D47" s="27"/>
      <c r="E47" s="27"/>
      <c r="F47" s="27"/>
      <c r="G47" s="27"/>
      <c r="H47" s="27" t="s">
        <v>463</v>
      </c>
      <c r="I47" s="27"/>
      <c r="J47" s="27"/>
      <c r="K47" s="27"/>
      <c r="L47" s="27"/>
    </row>
    <row r="48" spans="1:12" x14ac:dyDescent="0.3">
      <c r="A48" s="23"/>
      <c r="B48" s="36" t="str">
        <f>H5</f>
        <v>2015-2019</v>
      </c>
      <c r="C48" s="36" t="str">
        <f>I5</f>
        <v>2019-2020</v>
      </c>
      <c r="D48" s="36" t="str">
        <f>J5</f>
        <v>2020-2025</v>
      </c>
      <c r="E48" s="36" t="str">
        <f>K5</f>
        <v>2025-2035</v>
      </c>
      <c r="F48" s="36" t="str">
        <f>L5</f>
        <v>2020-2035</v>
      </c>
      <c r="G48" s="40"/>
      <c r="H48" s="41">
        <f>B5</f>
        <v>2015</v>
      </c>
      <c r="I48" s="41">
        <f>C5</f>
        <v>2019</v>
      </c>
      <c r="J48" s="41">
        <f>D5</f>
        <v>2020</v>
      </c>
      <c r="K48" s="41">
        <f>E5</f>
        <v>2025</v>
      </c>
      <c r="L48" s="41">
        <f>F5</f>
        <v>2035</v>
      </c>
    </row>
    <row r="50" spans="1:12" s="29" customFormat="1" ht="12.9" x14ac:dyDescent="0.35">
      <c r="A50" s="29" t="str">
        <f>A7</f>
        <v>Primary sector and utilities</v>
      </c>
      <c r="B50" s="43">
        <f t="shared" ref="B50:E54" si="17">IF(AND(C$5-B$5 &lt;&gt; 0,B7&lt;&gt;0,C7&lt;&gt;0),(EXP(LN(C7/B7)/(C$5-B$5))-1)*100,0)</f>
        <v>0.92889737627583902</v>
      </c>
      <c r="C50" s="43">
        <f t="shared" si="17"/>
        <v>-4.1137208595670272</v>
      </c>
      <c r="D50" s="43">
        <f t="shared" si="17"/>
        <v>0.14857335050744158</v>
      </c>
      <c r="E50" s="43">
        <f t="shared" si="17"/>
        <v>0.15250417966685692</v>
      </c>
      <c r="F50" s="43">
        <f>IF(AND(F$5-D$5 &lt;&gt; 0,D7&lt;&gt;0,F7&lt;&gt;0),(EXP(LN(F7/D7)/(F$5-D$5))-1)*100,0)</f>
        <v>0.15119388613791251</v>
      </c>
      <c r="H50" s="43">
        <f>(B7/B$40)*100</f>
        <v>2.3590544148404846</v>
      </c>
      <c r="I50" s="43">
        <f>(C7/C$40)*100</f>
        <v>2.3296392105660506</v>
      </c>
      <c r="J50" s="43">
        <f>(D7/D$40)*100</f>
        <v>2.2587154332664237</v>
      </c>
      <c r="K50" s="43">
        <f>(E7/E$40)*100</f>
        <v>2.2093827150063259</v>
      </c>
      <c r="L50" s="43">
        <f>(F7/F$40)*100</f>
        <v>2.1510188279970048</v>
      </c>
    </row>
    <row r="51" spans="1:12" ht="12.9" x14ac:dyDescent="0.35">
      <c r="A51" t="str">
        <f>A8</f>
        <v>Agriculture</v>
      </c>
      <c r="B51" s="39">
        <f t="shared" si="17"/>
        <v>0.57120475737293397</v>
      </c>
      <c r="C51" s="43">
        <f t="shared" si="17"/>
        <v>-6.0375595169798508</v>
      </c>
      <c r="D51" s="39">
        <f t="shared" si="17"/>
        <v>0.48816491599770195</v>
      </c>
      <c r="E51" s="39">
        <f t="shared" si="17"/>
        <v>0.10462941611719678</v>
      </c>
      <c r="F51" s="43">
        <f t="shared" ref="F51:F83" si="18">IF(AND(F$5-D$5 &lt;&gt; 0,D8&lt;&gt;0,F8&lt;&gt;0),(EXP(LN(F8/D8)/(F$5-D$5))-1)*100,0)</f>
        <v>0.23231165635502204</v>
      </c>
      <c r="H51" s="39">
        <f t="shared" ref="H51:L54" si="19">(B8/B$7)*100</f>
        <v>48.741188191545575</v>
      </c>
      <c r="I51" s="39">
        <f t="shared" si="19"/>
        <v>48.053896394945035</v>
      </c>
      <c r="J51" s="39">
        <f t="shared" si="19"/>
        <v>47.089754868621867</v>
      </c>
      <c r="K51" s="39">
        <f t="shared" si="19"/>
        <v>47.893565665473595</v>
      </c>
      <c r="L51" s="39">
        <f t="shared" si="19"/>
        <v>47.665117337894813</v>
      </c>
    </row>
    <row r="52" spans="1:12" ht="12.9" x14ac:dyDescent="0.35">
      <c r="A52" t="str">
        <f>A9</f>
        <v>Mining and quarrying</v>
      </c>
      <c r="B52" s="39">
        <f t="shared" si="17"/>
        <v>-4.7176671401884747</v>
      </c>
      <c r="C52" s="43">
        <f t="shared" si="17"/>
        <v>1.6329475030808505</v>
      </c>
      <c r="D52" s="39">
        <f t="shared" si="17"/>
        <v>-2.6878433101215404</v>
      </c>
      <c r="E52" s="39">
        <f t="shared" si="17"/>
        <v>-1.4175244517189878</v>
      </c>
      <c r="F52" s="43">
        <f t="shared" si="18"/>
        <v>-1.84279599743844</v>
      </c>
      <c r="H52" s="39">
        <f t="shared" si="19"/>
        <v>9.3204595175804013</v>
      </c>
      <c r="I52" s="39">
        <f t="shared" si="19"/>
        <v>7.4032895686751239</v>
      </c>
      <c r="J52" s="39">
        <f t="shared" si="19"/>
        <v>7.846984436441522</v>
      </c>
      <c r="K52" s="39">
        <f t="shared" si="19"/>
        <v>6.7969557880838885</v>
      </c>
      <c r="L52" s="39">
        <f t="shared" si="19"/>
        <v>5.8035471209092497</v>
      </c>
    </row>
    <row r="53" spans="1:12" ht="12.9" x14ac:dyDescent="0.35">
      <c r="A53" t="str">
        <f>A10</f>
        <v>Electricity and gas</v>
      </c>
      <c r="B53" s="39">
        <f t="shared" si="17"/>
        <v>2.0061729788075411</v>
      </c>
      <c r="C53" s="43">
        <f t="shared" si="17"/>
        <v>1.3882522883906789</v>
      </c>
      <c r="D53" s="39">
        <f t="shared" si="17"/>
        <v>-0.8322710784564924</v>
      </c>
      <c r="E53" s="39">
        <f t="shared" si="17"/>
        <v>-0.10563002552371747</v>
      </c>
      <c r="F53" s="43">
        <f t="shared" si="18"/>
        <v>-0.34843338980957705</v>
      </c>
      <c r="H53" s="39">
        <f t="shared" si="19"/>
        <v>16.75090652829677</v>
      </c>
      <c r="I53" s="39">
        <f t="shared" si="19"/>
        <v>17.477608914796718</v>
      </c>
      <c r="J53" s="39">
        <f t="shared" si="19"/>
        <v>18.480477477449796</v>
      </c>
      <c r="K53" s="39">
        <f t="shared" si="19"/>
        <v>17.59305214048613</v>
      </c>
      <c r="L53" s="39">
        <f t="shared" si="19"/>
        <v>17.144830044087371</v>
      </c>
    </row>
    <row r="54" spans="1:12" ht="12.9" x14ac:dyDescent="0.35">
      <c r="A54" t="str">
        <f>A11</f>
        <v>Water and sewerage</v>
      </c>
      <c r="B54" s="39">
        <f t="shared" si="17"/>
        <v>2.759581612431572</v>
      </c>
      <c r="C54" s="43">
        <f t="shared" si="17"/>
        <v>-5.8228393071027895</v>
      </c>
      <c r="D54" s="39">
        <f t="shared" si="17"/>
        <v>0.98854704572461927</v>
      </c>
      <c r="E54" s="39">
        <f t="shared" si="17"/>
        <v>0.74021741245577921</v>
      </c>
      <c r="F54" s="43">
        <f t="shared" si="18"/>
        <v>0.82292603377598361</v>
      </c>
      <c r="H54" s="39">
        <f t="shared" si="19"/>
        <v>25.187445762577244</v>
      </c>
      <c r="I54" s="39">
        <f t="shared" si="19"/>
        <v>27.065205121583126</v>
      </c>
      <c r="J54" s="39">
        <f t="shared" si="19"/>
        <v>26.582783217486821</v>
      </c>
      <c r="K54" s="39">
        <f t="shared" si="19"/>
        <v>27.71642640595638</v>
      </c>
      <c r="L54" s="39">
        <f t="shared" si="19"/>
        <v>29.386505497108562</v>
      </c>
    </row>
    <row r="55" spans="1:12" ht="12.9" x14ac:dyDescent="0.35">
      <c r="B55" s="39"/>
      <c r="C55" s="43"/>
      <c r="D55" s="39"/>
      <c r="E55" s="39"/>
      <c r="F55" s="43"/>
      <c r="H55" s="39"/>
      <c r="I55" s="39"/>
      <c r="J55" s="39"/>
      <c r="K55" s="39"/>
      <c r="L55" s="39"/>
    </row>
    <row r="56" spans="1:12" s="29" customFormat="1" ht="12.9" x14ac:dyDescent="0.35">
      <c r="A56" s="29" t="str">
        <f>A13</f>
        <v>Manufacturing</v>
      </c>
      <c r="B56" s="43">
        <f t="shared" ref="B56:E59" si="20">IF(AND(C$5-B$5 &lt;&gt; 0,B13&lt;&gt;0,C13&lt;&gt;0),(EXP(LN(C13/B13)/(C$5-B$5))-1)*100,0)</f>
        <v>0.46061713698037909</v>
      </c>
      <c r="C56" s="43">
        <f t="shared" si="20"/>
        <v>-2.2247928458941746</v>
      </c>
      <c r="D56" s="43">
        <f t="shared" si="20"/>
        <v>-0.66639606055379774</v>
      </c>
      <c r="E56" s="43">
        <f t="shared" si="20"/>
        <v>-0.81424460796135634</v>
      </c>
      <c r="F56" s="43">
        <f t="shared" si="18"/>
        <v>-0.76498622594640686</v>
      </c>
      <c r="H56" s="43">
        <f>(B13/B$40)*100</f>
        <v>7.8376223426524572</v>
      </c>
      <c r="I56" s="43">
        <f>(C13/C$40)*100</f>
        <v>7.5972478329044257</v>
      </c>
      <c r="J56" s="43">
        <f>(D13/D$40)*100</f>
        <v>7.5110633410581604</v>
      </c>
      <c r="K56" s="43">
        <f>(E13/E$40)*100</f>
        <v>7.0529041935646628</v>
      </c>
      <c r="L56" s="43">
        <f>(F13/F$40)*100</f>
        <v>6.2318382047365715</v>
      </c>
    </row>
    <row r="57" spans="1:12" ht="12.9" x14ac:dyDescent="0.35">
      <c r="A57" t="str">
        <f>A14</f>
        <v>Food drink and tobacco</v>
      </c>
      <c r="B57" s="39">
        <f t="shared" si="20"/>
        <v>1.4840691581415211</v>
      </c>
      <c r="C57" s="43">
        <f t="shared" si="20"/>
        <v>-9.9400943767247174E-2</v>
      </c>
      <c r="D57" s="39">
        <f t="shared" si="20"/>
        <v>0.31298485207622573</v>
      </c>
      <c r="E57" s="39">
        <f t="shared" si="20"/>
        <v>-0.23090803298854157</v>
      </c>
      <c r="F57" s="43">
        <f t="shared" si="18"/>
        <v>-4.9938859494125243E-2</v>
      </c>
      <c r="H57" s="39">
        <f t="shared" ref="H57:L59" si="21">(B14/B$13)*100</f>
        <v>16.1801997021727</v>
      </c>
      <c r="I57" s="39">
        <f t="shared" si="21"/>
        <v>16.849693330349794</v>
      </c>
      <c r="J57" s="39">
        <f t="shared" si="21"/>
        <v>17.215964114120197</v>
      </c>
      <c r="K57" s="39">
        <f t="shared" si="21"/>
        <v>18.081570640352769</v>
      </c>
      <c r="L57" s="39">
        <f t="shared" si="21"/>
        <v>19.173583795099542</v>
      </c>
    </row>
    <row r="58" spans="1:12" ht="12.9" x14ac:dyDescent="0.35">
      <c r="A58" t="str">
        <f>A15</f>
        <v>Engineering</v>
      </c>
      <c r="B58" s="39">
        <f t="shared" si="20"/>
        <v>0.49208680496111157</v>
      </c>
      <c r="C58" s="43">
        <f t="shared" si="20"/>
        <v>-4.5856202657575835</v>
      </c>
      <c r="D58" s="39">
        <f t="shared" si="20"/>
        <v>0.47584219433727259</v>
      </c>
      <c r="E58" s="39">
        <f t="shared" si="20"/>
        <v>-1.1783939533795307</v>
      </c>
      <c r="F58" s="43">
        <f t="shared" si="18"/>
        <v>-0.63003041533075121</v>
      </c>
      <c r="H58" s="39">
        <f t="shared" si="21"/>
        <v>14.967649532964691</v>
      </c>
      <c r="I58" s="39">
        <f t="shared" si="21"/>
        <v>14.986413038400856</v>
      </c>
      <c r="J58" s="39">
        <f t="shared" si="21"/>
        <v>14.624559191640998</v>
      </c>
      <c r="K58" s="39">
        <f t="shared" si="21"/>
        <v>15.484960363979262</v>
      </c>
      <c r="L58" s="39">
        <f t="shared" si="21"/>
        <v>14.925748632413931</v>
      </c>
    </row>
    <row r="59" spans="1:12" ht="12.9" x14ac:dyDescent="0.35">
      <c r="A59" t="str">
        <f>A16</f>
        <v>Rest of manufacturing</v>
      </c>
      <c r="B59" s="39">
        <f t="shared" si="20"/>
        <v>0.20861540891334851</v>
      </c>
      <c r="C59" s="43">
        <f t="shared" si="20"/>
        <v>-2.2311285598357267</v>
      </c>
      <c r="D59" s="39">
        <f t="shared" si="20"/>
        <v>-1.1746572720423787</v>
      </c>
      <c r="E59" s="39">
        <f t="shared" si="20"/>
        <v>-0.89408088776442574</v>
      </c>
      <c r="F59" s="43">
        <f t="shared" si="18"/>
        <v>-0.98769474749706987</v>
      </c>
      <c r="H59" s="39">
        <f t="shared" si="21"/>
        <v>68.852150764862614</v>
      </c>
      <c r="I59" s="39">
        <f t="shared" si="21"/>
        <v>68.163893631249323</v>
      </c>
      <c r="J59" s="39">
        <f t="shared" si="21"/>
        <v>68.159476694238805</v>
      </c>
      <c r="K59" s="39">
        <f t="shared" si="21"/>
        <v>66.433468995667994</v>
      </c>
      <c r="L59" s="39">
        <f t="shared" si="21"/>
        <v>65.900667572486526</v>
      </c>
    </row>
    <row r="60" spans="1:12" ht="12.9" x14ac:dyDescent="0.35">
      <c r="B60" s="39"/>
      <c r="C60" s="43"/>
      <c r="D60" s="39"/>
      <c r="E60" s="39"/>
      <c r="F60" s="43"/>
      <c r="H60" s="39"/>
      <c r="I60" s="39"/>
      <c r="J60" s="39"/>
      <c r="K60" s="39"/>
      <c r="L60" s="39"/>
    </row>
    <row r="61" spans="1:12" s="29" customFormat="1" ht="12.9" x14ac:dyDescent="0.35">
      <c r="A61" s="29" t="str">
        <f>A18</f>
        <v>Construction</v>
      </c>
      <c r="B61" s="43">
        <f>IF(AND(C$5-B$5 &lt;&gt; 0,B18&lt;&gt;0,C18&lt;&gt;0),(EXP(LN(C18/B18)/(C$5-B$5))-1)*100,0)</f>
        <v>2.4051488978319435</v>
      </c>
      <c r="C61" s="43">
        <f>IF(AND(D$5-C$5 &lt;&gt; 0,C18&lt;&gt;0,D18&lt;&gt;0),(EXP(LN(D18/C18)/(D$5-C$5))-1)*100,0)</f>
        <v>-0.62296071342776704</v>
      </c>
      <c r="D61" s="43">
        <f>IF(AND(E$5-D$5 &lt;&gt; 0,D18&lt;&gt;0,E18&lt;&gt;0),(EXP(LN(E18/D18)/(E$5-D$5))-1)*100,0)</f>
        <v>0.84914832857057032</v>
      </c>
      <c r="E61" s="43">
        <f>IF(AND(F$5-E$5 &lt;&gt; 0,E18&lt;&gt;0,F18&lt;&gt;0),(EXP(LN(F18/E18)/(F$5-E$5))-1)*100,0)</f>
        <v>0.6577447101788314</v>
      </c>
      <c r="F61" s="43">
        <f t="shared" si="18"/>
        <v>0.7215055190288755</v>
      </c>
      <c r="H61" s="43">
        <f>(B18/B$40)*100</f>
        <v>6.3047033090240303</v>
      </c>
      <c r="I61" s="43">
        <f>(C18/C$40)*100</f>
        <v>6.5984270778605039</v>
      </c>
      <c r="J61" s="43">
        <f>(D18/D$40)*100</f>
        <v>6.6304478104679179</v>
      </c>
      <c r="K61" s="43">
        <f>(E18/E$40)*100</f>
        <v>6.7156744243594426</v>
      </c>
      <c r="L61" s="43">
        <f>(F18/F$40)*100</f>
        <v>6.8756968719071168</v>
      </c>
    </row>
    <row r="62" spans="1:12" ht="12.9" x14ac:dyDescent="0.35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ht="12.9" x14ac:dyDescent="0.35">
      <c r="A63" s="29" t="str">
        <f>A20</f>
        <v>Trade, accomod. and transport</v>
      </c>
      <c r="B63" s="43">
        <f t="shared" ref="B63:E66" si="22">IF(AND(C$5-B$5 &lt;&gt; 0,B20&lt;&gt;0,C20&lt;&gt;0),(EXP(LN(C20/B20)/(C$5-B$5))-1)*100,0)</f>
        <v>1.4001472410571925</v>
      </c>
      <c r="C63" s="43">
        <f t="shared" si="22"/>
        <v>-1.5448068054188968</v>
      </c>
      <c r="D63" s="43">
        <f t="shared" si="22"/>
        <v>0.52024302293049995</v>
      </c>
      <c r="E63" s="43">
        <f t="shared" si="22"/>
        <v>0.45069073280219474</v>
      </c>
      <c r="F63" s="43">
        <f t="shared" si="18"/>
        <v>0.47386948066163725</v>
      </c>
      <c r="H63" s="43">
        <f>(B20/B$40)*100</f>
        <v>26.216588223878979</v>
      </c>
      <c r="I63" s="43">
        <f>(C20/C$40)*100</f>
        <v>26.376617969799753</v>
      </c>
      <c r="J63" s="43">
        <f>(D20/D$40)*100</f>
        <v>26.258754547113405</v>
      </c>
      <c r="K63" s="43">
        <f>(E20/E$40)*100</f>
        <v>26.165399545547778</v>
      </c>
      <c r="L63" s="43">
        <f>(F20/F$40)*100</f>
        <v>26.242897122280556</v>
      </c>
    </row>
    <row r="64" spans="1:12" ht="12.9" x14ac:dyDescent="0.35">
      <c r="A64" t="str">
        <f>A21</f>
        <v>Wholesale and retail trade</v>
      </c>
      <c r="B64" s="39">
        <f t="shared" si="22"/>
        <v>0.10477539687316906</v>
      </c>
      <c r="C64" s="43">
        <f t="shared" si="22"/>
        <v>-0.23161123816385354</v>
      </c>
      <c r="D64" s="39">
        <f t="shared" si="22"/>
        <v>0.10898323144079569</v>
      </c>
      <c r="E64" s="39">
        <f t="shared" si="22"/>
        <v>0.10283823868371123</v>
      </c>
      <c r="F64" s="43">
        <f t="shared" si="18"/>
        <v>0.10488652769067297</v>
      </c>
      <c r="H64" s="39">
        <f t="shared" ref="H64:L66" si="23">(B21/B$20)*100</f>
        <v>56.334975963607882</v>
      </c>
      <c r="I64" s="39">
        <f t="shared" si="23"/>
        <v>53.510985955289335</v>
      </c>
      <c r="J64" s="39">
        <f t="shared" si="23"/>
        <v>54.22471559489356</v>
      </c>
      <c r="K64" s="39">
        <f t="shared" si="23"/>
        <v>53.124503667625966</v>
      </c>
      <c r="L64" s="39">
        <f t="shared" si="23"/>
        <v>51.313250223247607</v>
      </c>
    </row>
    <row r="65" spans="1:12" ht="12.9" x14ac:dyDescent="0.35">
      <c r="A65" t="str">
        <f>A22</f>
        <v>Transport and storage</v>
      </c>
      <c r="B65" s="39">
        <f>IF(AND(C$5-B$5 &lt;&gt; 0,B22&lt;&gt;0,C22&lt;&gt;0),(EXP(LN(C22/B22)/(C$5-B$5))-1)*100,0)</f>
        <v>3.0131348651562861</v>
      </c>
      <c r="C65" s="43">
        <f t="shared" si="22"/>
        <v>-1.3115394713853701</v>
      </c>
      <c r="D65" s="39">
        <f t="shared" si="22"/>
        <v>1.2695655160200658</v>
      </c>
      <c r="E65" s="39">
        <f t="shared" si="22"/>
        <v>0.18810576861865158</v>
      </c>
      <c r="F65" s="43">
        <f t="shared" si="18"/>
        <v>0.54730300792840136</v>
      </c>
      <c r="H65" s="39">
        <f t="shared" si="23"/>
        <v>18.234452710032421</v>
      </c>
      <c r="I65" s="39">
        <f t="shared" si="23"/>
        <v>19.422664355950367</v>
      </c>
      <c r="J65" s="39">
        <f t="shared" si="23"/>
        <v>19.468681970533545</v>
      </c>
      <c r="K65" s="39">
        <f t="shared" si="23"/>
        <v>20.205222386027309</v>
      </c>
      <c r="L65" s="39">
        <f t="shared" si="23"/>
        <v>19.683214087559701</v>
      </c>
    </row>
    <row r="66" spans="1:12" ht="12.9" x14ac:dyDescent="0.35">
      <c r="A66" t="str">
        <f>A23</f>
        <v>Accommodation and food</v>
      </c>
      <c r="B66" s="39">
        <f t="shared" si="22"/>
        <v>2.9928268571679517</v>
      </c>
      <c r="C66" s="43">
        <f t="shared" si="22"/>
        <v>-4.3084252301499815</v>
      </c>
      <c r="D66" s="39">
        <f t="shared" si="22"/>
        <v>0.79664407089075073</v>
      </c>
      <c r="E66" s="39">
        <f t="shared" si="22"/>
        <v>1.2966946014602909</v>
      </c>
      <c r="F66" s="43">
        <f t="shared" si="18"/>
        <v>1.1297360591954853</v>
      </c>
      <c r="H66" s="39">
        <f t="shared" si="23"/>
        <v>25.430571326359697</v>
      </c>
      <c r="I66" s="39">
        <f t="shared" si="23"/>
        <v>27.066349688760287</v>
      </c>
      <c r="J66" s="39">
        <f t="shared" si="23"/>
        <v>26.306602434572895</v>
      </c>
      <c r="K66" s="39">
        <f t="shared" si="23"/>
        <v>26.670273946346729</v>
      </c>
      <c r="L66" s="39">
        <f t="shared" si="23"/>
        <v>29.003535689192685</v>
      </c>
    </row>
    <row r="67" spans="1:12" ht="12.9" x14ac:dyDescent="0.35">
      <c r="B67" s="39"/>
      <c r="C67" s="43"/>
      <c r="D67" s="39"/>
      <c r="E67" s="39"/>
      <c r="F67" s="43"/>
      <c r="H67" s="39"/>
      <c r="I67" s="39"/>
      <c r="J67" s="39"/>
      <c r="K67" s="39"/>
      <c r="L67" s="39"/>
    </row>
    <row r="68" spans="1:12" s="29" customFormat="1" ht="12.9" x14ac:dyDescent="0.35">
      <c r="A68" s="29" t="str">
        <f>A25</f>
        <v>Business and other services</v>
      </c>
      <c r="B68" s="43">
        <f t="shared" ref="B68:E71" si="24">IF(AND(C$5-B$5 &lt;&gt; 0,B25&lt;&gt;0,C25&lt;&gt;0),(EXP(LN(C25/B25)/(C$5-B$5))-1)*100,0)</f>
        <v>1.6142226652617886</v>
      </c>
      <c r="C68" s="43">
        <f t="shared" si="24"/>
        <v>-1.7819575909610252</v>
      </c>
      <c r="D68" s="43">
        <f t="shared" si="24"/>
        <v>0.72686300840727469</v>
      </c>
      <c r="E68" s="43">
        <f t="shared" si="24"/>
        <v>0.54830840063087027</v>
      </c>
      <c r="F68" s="43">
        <f t="shared" si="18"/>
        <v>0.60779140694950939</v>
      </c>
      <c r="H68" s="43">
        <f>(B25/B$40)*100</f>
        <v>31.9894633895473</v>
      </c>
      <c r="I68" s="43">
        <f>(C25/C$40)*100</f>
        <v>32.4573864036713</v>
      </c>
      <c r="J68" s="43">
        <f>(D25/D$40)*100</f>
        <v>32.234519842820283</v>
      </c>
      <c r="K68" s="43">
        <f>(E25/E$40)*100</f>
        <v>32.451393197479732</v>
      </c>
      <c r="L68" s="43">
        <f>(F25/F$40)*100</f>
        <v>32.86519129972357</v>
      </c>
    </row>
    <row r="69" spans="1:12" ht="12.9" x14ac:dyDescent="0.35">
      <c r="A69" t="str">
        <f>A26</f>
        <v>Media</v>
      </c>
      <c r="B69" s="39">
        <f t="shared" si="24"/>
        <v>1.0012171848079898</v>
      </c>
      <c r="C69" s="43">
        <f t="shared" si="24"/>
        <v>-0.53746018397906603</v>
      </c>
      <c r="D69" s="39">
        <f t="shared" si="24"/>
        <v>0.20434272499685324</v>
      </c>
      <c r="E69" s="39">
        <f t="shared" si="24"/>
        <v>0.11313609904037847</v>
      </c>
      <c r="F69" s="43">
        <f t="shared" si="18"/>
        <v>0.14352907986494579</v>
      </c>
      <c r="H69" s="39">
        <f t="shared" ref="H69:L71" si="25">(B26/B$25)*100</f>
        <v>3.3877252395944928</v>
      </c>
      <c r="I69" s="39">
        <f t="shared" si="25"/>
        <v>3.3067138410129746</v>
      </c>
      <c r="J69" s="39">
        <f t="shared" si="25"/>
        <v>3.3486124240007498</v>
      </c>
      <c r="K69" s="39">
        <f t="shared" si="25"/>
        <v>3.2626542955001439</v>
      </c>
      <c r="L69" s="39">
        <f t="shared" si="25"/>
        <v>3.1241655194883227</v>
      </c>
    </row>
    <row r="70" spans="1:12" ht="12.9" x14ac:dyDescent="0.35">
      <c r="A70" t="str">
        <f>A27</f>
        <v>Information technology</v>
      </c>
      <c r="B70" s="39">
        <f t="shared" si="24"/>
        <v>2.1738814233276615</v>
      </c>
      <c r="C70" s="43">
        <f t="shared" si="24"/>
        <v>-0.24980443393737284</v>
      </c>
      <c r="D70" s="39">
        <f t="shared" si="24"/>
        <v>1.4625768351077317</v>
      </c>
      <c r="E70" s="39">
        <f t="shared" si="24"/>
        <v>0.78344945318808978</v>
      </c>
      <c r="F70" s="43">
        <f t="shared" si="18"/>
        <v>1.0093186658386211</v>
      </c>
      <c r="H70" s="39">
        <f t="shared" si="25"/>
        <v>9.5220589224705865</v>
      </c>
      <c r="I70" s="39">
        <f t="shared" si="25"/>
        <v>9.7335762441872724</v>
      </c>
      <c r="J70" s="39">
        <f t="shared" si="25"/>
        <v>9.8854152465322151</v>
      </c>
      <c r="K70" s="39">
        <f t="shared" si="25"/>
        <v>10.251745418553615</v>
      </c>
      <c r="L70" s="39">
        <f t="shared" si="25"/>
        <v>10.494030292772717</v>
      </c>
    </row>
    <row r="71" spans="1:12" ht="12.9" x14ac:dyDescent="0.35">
      <c r="A71" t="str">
        <f>A28</f>
        <v>Finance and insurance</v>
      </c>
      <c r="B71" s="39">
        <f t="shared" si="24"/>
        <v>0.49003979883466275</v>
      </c>
      <c r="C71" s="43">
        <f t="shared" si="24"/>
        <v>1.330511357659514</v>
      </c>
      <c r="D71" s="39">
        <f t="shared" si="24"/>
        <v>0.12050899166553553</v>
      </c>
      <c r="E71" s="39">
        <f t="shared" si="24"/>
        <v>-0.18152699446950527</v>
      </c>
      <c r="F71" s="43">
        <f t="shared" si="18"/>
        <v>-8.0949708329636216E-2</v>
      </c>
      <c r="H71" s="39">
        <f t="shared" si="25"/>
        <v>10.337059783044413</v>
      </c>
      <c r="I71" s="39">
        <f t="shared" si="25"/>
        <v>9.8871495682323545</v>
      </c>
      <c r="J71" s="39">
        <f t="shared" si="25"/>
        <v>10.200467216056479</v>
      </c>
      <c r="K71" s="39">
        <f t="shared" si="25"/>
        <v>9.8971183805400429</v>
      </c>
      <c r="L71" s="39">
        <f t="shared" si="25"/>
        <v>9.201747212408975</v>
      </c>
    </row>
    <row r="72" spans="1:12" ht="12.9" x14ac:dyDescent="0.35">
      <c r="A72" t="str">
        <f t="shared" ref="A72:A76" si="26">A29</f>
        <v>Real estate</v>
      </c>
      <c r="B72" s="39">
        <f t="shared" ref="B72:E72" si="27">IF(AND(C$5-B$5 &lt;&gt; 0,B29&lt;&gt;0,C29&lt;&gt;0),(EXP(LN(C29/B29)/(C$5-B$5))-1)*100,0)</f>
        <v>0.95337405337467818</v>
      </c>
      <c r="C72" s="43">
        <f t="shared" si="27"/>
        <v>8.9948892673400884</v>
      </c>
      <c r="D72" s="39">
        <f t="shared" si="27"/>
        <v>-0.76640232617636306</v>
      </c>
      <c r="E72" s="39">
        <f t="shared" si="27"/>
        <v>0.83245869962427221</v>
      </c>
      <c r="F72" s="43">
        <f t="shared" si="18"/>
        <v>0.296662997538788</v>
      </c>
      <c r="H72" s="39">
        <f t="shared" ref="H72:L72" si="28">(B29/B$25)*100</f>
        <v>5.2753532783436237</v>
      </c>
      <c r="I72" s="39">
        <f t="shared" si="28"/>
        <v>5.1394530810426033</v>
      </c>
      <c r="J72" s="39">
        <f t="shared" si="28"/>
        <v>5.7033728806162376</v>
      </c>
      <c r="K72" s="39">
        <f t="shared" si="28"/>
        <v>5.2929635939002928</v>
      </c>
      <c r="L72" s="39">
        <f t="shared" si="28"/>
        <v>5.4444597700950403</v>
      </c>
    </row>
    <row r="73" spans="1:12" ht="12.9" x14ac:dyDescent="0.35">
      <c r="A73" t="str">
        <f t="shared" si="26"/>
        <v>Professional services</v>
      </c>
      <c r="B73" s="39">
        <f t="shared" ref="B73:E73" si="29">IF(AND(C$5-B$5 &lt;&gt; 0,B30&lt;&gt;0,C30&lt;&gt;0),(EXP(LN(C30/B30)/(C$5-B$5))-1)*100,0)</f>
        <v>2.532499524533538</v>
      </c>
      <c r="C73" s="43">
        <f t="shared" si="29"/>
        <v>-1.8552250628976141</v>
      </c>
      <c r="D73" s="39">
        <f t="shared" si="29"/>
        <v>0.99632608905202424</v>
      </c>
      <c r="E73" s="39">
        <f t="shared" si="29"/>
        <v>0.64492861917775368</v>
      </c>
      <c r="F73" s="43">
        <f t="shared" si="18"/>
        <v>0.76192505191492454</v>
      </c>
      <c r="H73" s="39">
        <f t="shared" ref="H73:L73" si="30">(B30/B$25)*100</f>
        <v>26.99000935200419</v>
      </c>
      <c r="I73" s="39">
        <f t="shared" si="30"/>
        <v>27.978937420111993</v>
      </c>
      <c r="J73" s="39">
        <f t="shared" si="30"/>
        <v>27.958066040862683</v>
      </c>
      <c r="K73" s="39">
        <f t="shared" si="30"/>
        <v>28.334037369185804</v>
      </c>
      <c r="L73" s="39">
        <f t="shared" si="30"/>
        <v>28.607488948743388</v>
      </c>
    </row>
    <row r="74" spans="1:12" ht="12.9" x14ac:dyDescent="0.35">
      <c r="A74" t="str">
        <f t="shared" si="26"/>
        <v>Support services</v>
      </c>
      <c r="B74" s="39">
        <f t="shared" ref="B74:E74" si="31">IF(AND(C$5-B$5 &lt;&gt; 0,B31&lt;&gt;0,C31&lt;&gt;0),(EXP(LN(C31/B31)/(C$5-B$5))-1)*100,0)</f>
        <v>1.4262395196440902</v>
      </c>
      <c r="C74" s="43">
        <f t="shared" si="31"/>
        <v>-5.7993660673361642</v>
      </c>
      <c r="D74" s="39">
        <f t="shared" si="31"/>
        <v>1.1545940547600386</v>
      </c>
      <c r="E74" s="39">
        <f t="shared" si="31"/>
        <v>0.67591280233780804</v>
      </c>
      <c r="F74" s="43">
        <f t="shared" si="18"/>
        <v>0.83522099971713448</v>
      </c>
      <c r="H74" s="39">
        <f>(B31/B$25)*100</f>
        <v>26.432449045997519</v>
      </c>
      <c r="I74" s="39">
        <f t="shared" ref="I74:L74" si="32">(C31/C$25)*100</f>
        <v>26.23739432057053</v>
      </c>
      <c r="J74" s="39">
        <f t="shared" si="32"/>
        <v>25.164207279207172</v>
      </c>
      <c r="K74" s="39">
        <f t="shared" si="32"/>
        <v>25.703056336644398</v>
      </c>
      <c r="L74" s="39">
        <f t="shared" si="32"/>
        <v>26.031119274784547</v>
      </c>
    </row>
    <row r="75" spans="1:12" ht="12.9" x14ac:dyDescent="0.35">
      <c r="A75" t="str">
        <f t="shared" si="26"/>
        <v>Arts and entertainment</v>
      </c>
      <c r="B75" s="39">
        <f t="shared" ref="B75:E75" si="33">IF(AND(C$5-B$5 &lt;&gt; 0,B32&lt;&gt;0,C32&lt;&gt;0),(EXP(LN(C32/B32)/(C$5-B$5))-1)*100,0)</f>
        <v>1.1729786299493838</v>
      </c>
      <c r="C75" s="43">
        <f t="shared" si="33"/>
        <v>-2.802978906209197</v>
      </c>
      <c r="D75" s="39">
        <f t="shared" si="33"/>
        <v>0.607476924035244</v>
      </c>
      <c r="E75" s="39">
        <f t="shared" si="33"/>
        <v>0.82282323061881879</v>
      </c>
      <c r="F75" s="43">
        <f t="shared" si="18"/>
        <v>0.75098996150659847</v>
      </c>
      <c r="H75" s="39">
        <f t="shared" ref="H75:L75" si="34">(B32/B$25)*100</f>
        <v>9.1204843527906103</v>
      </c>
      <c r="I75" s="39">
        <f t="shared" si="34"/>
        <v>8.9630960549917233</v>
      </c>
      <c r="J75" s="39">
        <f t="shared" si="34"/>
        <v>8.8699205864291244</v>
      </c>
      <c r="K75" s="39">
        <f t="shared" si="34"/>
        <v>8.8174798665889238</v>
      </c>
      <c r="L75" s="39">
        <f t="shared" si="34"/>
        <v>9.0611920397773584</v>
      </c>
    </row>
    <row r="76" spans="1:12" ht="12.9" x14ac:dyDescent="0.35">
      <c r="A76" t="str">
        <f t="shared" si="26"/>
        <v>Other services</v>
      </c>
      <c r="B76" s="39">
        <f t="shared" ref="B76:E76" si="35">IF(AND(C$5-B$5 &lt;&gt; 0,B33&lt;&gt;0,C33&lt;&gt;0),(EXP(LN(C33/B33)/(C$5-B$5))-1)*100,0)</f>
        <v>1.0951267158335165</v>
      </c>
      <c r="C76" s="43">
        <f t="shared" si="35"/>
        <v>-0.47750986334551548</v>
      </c>
      <c r="D76" s="39">
        <f t="shared" si="35"/>
        <v>-0.26688124598299723</v>
      </c>
      <c r="E76" s="39">
        <f t="shared" si="35"/>
        <v>5.4945150050822456E-2</v>
      </c>
      <c r="F76" s="43">
        <f t="shared" si="18"/>
        <v>-5.2445538322776208E-2</v>
      </c>
      <c r="H76" s="39">
        <f t="shared" ref="H76:L76" si="36">(B33/B$25)*100</f>
        <v>8.9348600257545741</v>
      </c>
      <c r="I76" s="39">
        <f t="shared" si="36"/>
        <v>8.7536794698505656</v>
      </c>
      <c r="J76" s="39">
        <f t="shared" si="36"/>
        <v>8.8699383262953582</v>
      </c>
      <c r="K76" s="39">
        <f t="shared" si="36"/>
        <v>8.440944739086822</v>
      </c>
      <c r="L76" s="39">
        <f t="shared" si="36"/>
        <v>8.0357969419296502</v>
      </c>
    </row>
    <row r="77" spans="1:12" ht="12.9" x14ac:dyDescent="0.35">
      <c r="B77" s="39"/>
      <c r="C77" s="43"/>
      <c r="D77" s="39"/>
      <c r="E77" s="39"/>
      <c r="F77" s="43"/>
      <c r="H77" s="39"/>
      <c r="I77" s="39"/>
      <c r="J77" s="39"/>
      <c r="K77" s="39"/>
      <c r="L77" s="39"/>
    </row>
    <row r="78" spans="1:12" s="29" customFormat="1" ht="12.9" x14ac:dyDescent="0.35">
      <c r="A78" s="29" t="str">
        <f>A35</f>
        <v>Non-marketed services</v>
      </c>
      <c r="B78" s="43">
        <f t="shared" ref="B78:E79" si="37">IF(AND(C$5-B$5 &lt;&gt; 0,B35&lt;&gt;0,C35&lt;&gt;0),(EXP(LN(C35/B35)/(C$5-B$5))-1)*100,0)</f>
        <v>0.58721814254238947</v>
      </c>
      <c r="C78" s="43">
        <f t="shared" ref="C78:C83" si="38">IF(AND(D$5-C$5 &lt;&gt; 0,C35&lt;&gt;0,D35&lt;&gt;0),(EXP(LN(D35/C35)/(D$5-C$5))-1)*100,0)</f>
        <v>0.7667045597378408</v>
      </c>
      <c r="D78" s="43">
        <f t="shared" si="37"/>
        <v>0.83013061306549396</v>
      </c>
      <c r="E78" s="43">
        <f t="shared" si="37"/>
        <v>0.51079223729522116</v>
      </c>
      <c r="F78" s="43">
        <f t="shared" si="18"/>
        <v>0.61712582916333414</v>
      </c>
      <c r="H78" s="43">
        <f>(B35/B$40)*100</f>
        <v>25.292568320056763</v>
      </c>
      <c r="I78" s="43">
        <f>(C35/C$40)*100</f>
        <v>24.640681505197961</v>
      </c>
      <c r="J78" s="43">
        <f>(D35/D$40)*100</f>
        <v>25.106499025273809</v>
      </c>
      <c r="K78" s="43">
        <f>(E35/E$40)*100</f>
        <v>25.40524592404206</v>
      </c>
      <c r="L78" s="43">
        <f>(F35/F$40)*100</f>
        <v>25.633357673355167</v>
      </c>
    </row>
    <row r="79" spans="1:12" ht="12.9" x14ac:dyDescent="0.35">
      <c r="A79" t="str">
        <f>A36</f>
        <v>Public admin. and defence</v>
      </c>
      <c r="B79" s="39">
        <f t="shared" si="37"/>
        <v>0.5215777254391929</v>
      </c>
      <c r="C79" s="43">
        <f t="shared" si="38"/>
        <v>3.2449799435853022</v>
      </c>
      <c r="D79" s="39">
        <f t="shared" si="37"/>
        <v>0.3278655817396503</v>
      </c>
      <c r="E79" s="39">
        <f t="shared" si="37"/>
        <v>0.17464095927453016</v>
      </c>
      <c r="F79" s="43">
        <f t="shared" si="18"/>
        <v>0.22568981458614967</v>
      </c>
      <c r="H79" s="39">
        <f>(B36/B$35)*100</f>
        <v>15.634887341112504</v>
      </c>
      <c r="I79" s="39">
        <f t="shared" ref="I79:L81" si="39">(C36/C$35)*100</f>
        <v>15.594115704349795</v>
      </c>
      <c r="J79" s="39">
        <f t="shared" si="39"/>
        <v>15.977640334353433</v>
      </c>
      <c r="K79" s="39">
        <f t="shared" si="39"/>
        <v>15.583638199812485</v>
      </c>
      <c r="L79" s="39">
        <f t="shared" si="39"/>
        <v>15.070228611739973</v>
      </c>
    </row>
    <row r="80" spans="1:12" ht="12.9" x14ac:dyDescent="0.35">
      <c r="A80" t="str">
        <f>A37</f>
        <v>Education</v>
      </c>
      <c r="B80" s="39">
        <f t="shared" ref="B80:E81" si="40">IF(AND(C$5-B$5 &lt;&gt; 0,B37&lt;&gt;0,C37&lt;&gt;0),(EXP(LN(C37/B37)/(C$5-B$5))-1)*100,0)</f>
        <v>-8.5619366260369922E-2</v>
      </c>
      <c r="C80" s="43">
        <f t="shared" si="38"/>
        <v>0.34952607327378704</v>
      </c>
      <c r="D80" s="39">
        <f t="shared" si="40"/>
        <v>0.27305824840724302</v>
      </c>
      <c r="E80" s="39">
        <f t="shared" si="40"/>
        <v>0.34102053117455178</v>
      </c>
      <c r="F80" s="43">
        <f t="shared" si="18"/>
        <v>0.31836132035545361</v>
      </c>
      <c r="H80" s="39">
        <f>(B37/B$35)*100</f>
        <v>34.723357975385738</v>
      </c>
      <c r="I80" s="39">
        <f t="shared" si="39"/>
        <v>33.803567014736743</v>
      </c>
      <c r="J80" s="39">
        <f t="shared" si="39"/>
        <v>33.66361879487674</v>
      </c>
      <c r="K80" s="39">
        <f t="shared" si="39"/>
        <v>32.743903770282976</v>
      </c>
      <c r="L80" s="39">
        <f t="shared" si="39"/>
        <v>32.195014967690774</v>
      </c>
    </row>
    <row r="81" spans="1:12" ht="12.9" x14ac:dyDescent="0.35">
      <c r="A81" t="str">
        <f>A38</f>
        <v>Health and social work</v>
      </c>
      <c r="B81" s="39">
        <f>IF(AND(C$5-B$5 &lt;&gt; 0,B38&lt;&gt;0,C38&lt;&gt;0),(EXP(LN(C38/B38)/(C$5-B$5))-1)*100,0)</f>
        <v>1.070314644035042</v>
      </c>
      <c r="C81" s="43">
        <f t="shared" si="38"/>
        <v>0.28165973417360046</v>
      </c>
      <c r="D81" s="39">
        <f t="shared" si="40"/>
        <v>1.3508000803234443</v>
      </c>
      <c r="E81" s="39">
        <f t="shared" si="40"/>
        <v>0.7155383473332888</v>
      </c>
      <c r="F81" s="43">
        <f t="shared" si="18"/>
        <v>0.92684860036267303</v>
      </c>
      <c r="H81" s="39">
        <f>(B38/B$35)*100</f>
        <v>49.641754683501759</v>
      </c>
      <c r="I81" s="39">
        <f t="shared" si="39"/>
        <v>50.602317280913475</v>
      </c>
      <c r="J81" s="39">
        <f t="shared" si="39"/>
        <v>50.358740870769822</v>
      </c>
      <c r="K81" s="39">
        <f t="shared" si="39"/>
        <v>51.672458029904533</v>
      </c>
      <c r="L81" s="39">
        <f t="shared" si="39"/>
        <v>52.734756420569262</v>
      </c>
    </row>
    <row r="82" spans="1:12" ht="12.9" x14ac:dyDescent="0.35">
      <c r="B82" s="39"/>
      <c r="C82" s="43"/>
      <c r="D82" s="39"/>
      <c r="E82" s="39"/>
      <c r="F82" s="43"/>
      <c r="H82" s="39"/>
      <c r="I82" s="39"/>
      <c r="J82" s="39"/>
      <c r="K82" s="39"/>
      <c r="L82" s="39"/>
    </row>
    <row r="83" spans="1:12" ht="12.9" x14ac:dyDescent="0.35">
      <c r="A83" s="23" t="str">
        <f>A40</f>
        <v>All industries</v>
      </c>
      <c r="B83" s="42">
        <f>IF(AND(C$5-B$5 &lt;&gt; 0,B40&lt;&gt;0,C40&lt;&gt;0),(EXP(LN(C40/B40)/(C$5-B$5))-1)*100,0)</f>
        <v>1.2459947050990516</v>
      </c>
      <c r="C83" s="206">
        <f t="shared" si="38"/>
        <v>-1.1028869104620198</v>
      </c>
      <c r="D83" s="42">
        <f>IF(AND(E$5-D$5 &lt;&gt; 0,D40&lt;&gt;0,E40&lt;&gt;0),(EXP(LN(E40/D40)/(E$5-D$5))-1)*100,0)</f>
        <v>0.59186970332352207</v>
      </c>
      <c r="E83" s="42">
        <f>IF(AND(F$5-E$5 &lt;&gt; 0,E40&lt;&gt;0,F40&lt;&gt;0),(EXP(LN(F40/E40)/(F$5-E$5))-1)*100,0)</f>
        <v>0.42098726884287618</v>
      </c>
      <c r="F83" s="206">
        <f t="shared" si="18"/>
        <v>0.47791580152367619</v>
      </c>
      <c r="G83" s="23"/>
      <c r="H83" s="42">
        <f>(B40/B$40)*100</f>
        <v>100</v>
      </c>
      <c r="I83" s="42">
        <f>(C40/C$40)*100</f>
        <v>100</v>
      </c>
      <c r="J83" s="42">
        <f>(D40/D$40)*100</f>
        <v>100</v>
      </c>
      <c r="K83" s="42">
        <f>(E40/E$40)*100</f>
        <v>100</v>
      </c>
      <c r="L83" s="42">
        <f>(F40/F$40)*100</f>
        <v>100</v>
      </c>
    </row>
    <row r="86" spans="1:12" x14ac:dyDescent="0.3">
      <c r="A86" s="35"/>
      <c r="B86" s="27" t="s">
        <v>14</v>
      </c>
      <c r="C86" s="27"/>
    </row>
    <row r="87" spans="1:12" x14ac:dyDescent="0.3">
      <c r="A87" s="23"/>
      <c r="B87" s="36" t="str">
        <f>B5&amp;"-"&amp;D5</f>
        <v>2015-2020</v>
      </c>
      <c r="C87" s="36" t="str">
        <f>F48</f>
        <v>2020-2035</v>
      </c>
    </row>
    <row r="89" spans="1:12" ht="12.9" x14ac:dyDescent="0.35">
      <c r="A89" s="29" t="str">
        <f>A7</f>
        <v>Primary sector and utilities</v>
      </c>
      <c r="B89" s="43">
        <f>IF(AND(D$5-B$5 &lt;&gt; 0,B7&lt;&gt;0,D7&lt;&gt;0),(EXP(LN(D7/B7)/(D$5-B$5))-1)*100,0)</f>
        <v>-0.10040761242606777</v>
      </c>
      <c r="C89" s="43">
        <f>IF(AND(F$5-D$5 &lt;&gt; 0,D7&lt;&gt;0,F7&lt;&gt;0),(EXP(LN(F7/D7)/(F$5-D$5))-1)*100,0)</f>
        <v>0.15119388613791251</v>
      </c>
    </row>
    <row r="90" spans="1:12" ht="12.9" x14ac:dyDescent="0.35">
      <c r="A90" s="29" t="str">
        <f t="shared" ref="A90:A122" si="41">A8</f>
        <v>Agriculture</v>
      </c>
      <c r="B90" s="43">
        <f t="shared" ref="B90:B122" si="42">IF(AND(D$5-B$5 &lt;&gt; 0,B8&lt;&gt;0,D8&lt;&gt;0),(EXP(LN(D8/B8)/(D$5-B$5))-1)*100,0)</f>
        <v>-0.78672638330883338</v>
      </c>
      <c r="C90" s="43">
        <f t="shared" ref="C90:C122" si="43">IF(AND(F$5-D$5 &lt;&gt; 0,D8&lt;&gt;0,F8&lt;&gt;0),(EXP(LN(F8/D8)/(F$5-D$5))-1)*100,0)</f>
        <v>0.23231165635502204</v>
      </c>
    </row>
    <row r="91" spans="1:12" ht="12.9" x14ac:dyDescent="0.35">
      <c r="A91" s="29" t="str">
        <f t="shared" si="41"/>
        <v>Mining and quarrying</v>
      </c>
      <c r="B91" s="43">
        <f t="shared" si="42"/>
        <v>-3.4801119390548196</v>
      </c>
      <c r="C91" s="43">
        <f t="shared" si="43"/>
        <v>-1.84279599743844</v>
      </c>
    </row>
    <row r="92" spans="1:12" ht="12.9" x14ac:dyDescent="0.35">
      <c r="A92" s="29" t="str">
        <f t="shared" si="41"/>
        <v>Electricity and gas</v>
      </c>
      <c r="B92" s="43">
        <f t="shared" si="42"/>
        <v>1.882288294458756</v>
      </c>
      <c r="C92" s="43">
        <f t="shared" si="43"/>
        <v>-0.34843338980957705</v>
      </c>
    </row>
    <row r="93" spans="1:12" ht="12.9" x14ac:dyDescent="0.35">
      <c r="A93" s="29" t="str">
        <f t="shared" si="41"/>
        <v>Water and sewerage</v>
      </c>
      <c r="B93" s="43">
        <f t="shared" si="42"/>
        <v>0.98270049308539775</v>
      </c>
      <c r="C93" s="43">
        <f t="shared" si="43"/>
        <v>0.82292603377598361</v>
      </c>
    </row>
    <row r="94" spans="1:12" ht="12.9" x14ac:dyDescent="0.35">
      <c r="A94" s="29"/>
      <c r="B94" s="43"/>
      <c r="C94" s="43"/>
    </row>
    <row r="95" spans="1:12" ht="12.9" x14ac:dyDescent="0.35">
      <c r="A95" s="29" t="str">
        <f t="shared" si="41"/>
        <v>Manufacturing</v>
      </c>
      <c r="B95" s="43">
        <f t="shared" si="42"/>
        <v>-8.2301413019525427E-2</v>
      </c>
      <c r="C95" s="43">
        <f t="shared" si="43"/>
        <v>-0.76498622594640686</v>
      </c>
    </row>
    <row r="96" spans="1:12" ht="12.9" x14ac:dyDescent="0.35">
      <c r="A96" s="29" t="str">
        <f t="shared" si="41"/>
        <v>Food drink and tobacco</v>
      </c>
      <c r="B96" s="43">
        <f t="shared" si="42"/>
        <v>1.1653798604115195</v>
      </c>
      <c r="C96" s="43">
        <f t="shared" si="43"/>
        <v>-4.9938859494125243E-2</v>
      </c>
    </row>
    <row r="97" spans="1:3" ht="12.9" x14ac:dyDescent="0.35">
      <c r="A97" s="29" t="str">
        <f t="shared" si="41"/>
        <v>Engineering</v>
      </c>
      <c r="B97" s="43">
        <f t="shared" si="42"/>
        <v>-0.5446252560898257</v>
      </c>
      <c r="C97" s="43">
        <f t="shared" si="43"/>
        <v>-0.63003041533075121</v>
      </c>
    </row>
    <row r="98" spans="1:3" ht="12.9" x14ac:dyDescent="0.35">
      <c r="A98" s="29" t="str">
        <f t="shared" si="41"/>
        <v>Rest of manufacturing</v>
      </c>
      <c r="B98" s="43">
        <f t="shared" si="42"/>
        <v>-0.28415597406286075</v>
      </c>
      <c r="C98" s="43">
        <f t="shared" si="43"/>
        <v>-0.98769474749706987</v>
      </c>
    </row>
    <row r="99" spans="1:3" ht="12.9" x14ac:dyDescent="0.35">
      <c r="A99" s="29"/>
      <c r="B99" s="43"/>
      <c r="C99" s="43"/>
    </row>
    <row r="100" spans="1:3" ht="12.9" x14ac:dyDescent="0.35">
      <c r="A100" s="29" t="str">
        <f t="shared" si="41"/>
        <v>Construction</v>
      </c>
      <c r="B100" s="43">
        <f t="shared" si="42"/>
        <v>1.7922339231661422</v>
      </c>
      <c r="C100" s="43">
        <f t="shared" si="43"/>
        <v>0.7215055190288755</v>
      </c>
    </row>
    <row r="101" spans="1:3" ht="12.9" x14ac:dyDescent="0.35">
      <c r="A101" s="29"/>
      <c r="B101" s="43"/>
      <c r="C101" s="43"/>
    </row>
    <row r="102" spans="1:3" ht="12.9" x14ac:dyDescent="0.35">
      <c r="A102" s="29" t="str">
        <f t="shared" si="41"/>
        <v>Trade, accomod. and transport</v>
      </c>
      <c r="B102" s="43">
        <f t="shared" si="42"/>
        <v>0.80419231929085289</v>
      </c>
      <c r="C102" s="43">
        <f t="shared" si="43"/>
        <v>0.47386948066163725</v>
      </c>
    </row>
    <row r="103" spans="1:3" ht="12.9" x14ac:dyDescent="0.35">
      <c r="A103" s="29" t="str">
        <f t="shared" si="41"/>
        <v>Wholesale and retail trade</v>
      </c>
      <c r="B103" s="43">
        <f t="shared" si="42"/>
        <v>3.7407457083959983E-2</v>
      </c>
      <c r="C103" s="43">
        <f t="shared" si="43"/>
        <v>0.10488652769067297</v>
      </c>
    </row>
    <row r="104" spans="1:3" ht="12.9" x14ac:dyDescent="0.35">
      <c r="A104" s="29" t="str">
        <f t="shared" si="41"/>
        <v>Transport and storage</v>
      </c>
      <c r="B104" s="43">
        <f t="shared" si="42"/>
        <v>2.1332984294132107</v>
      </c>
      <c r="C104" s="43">
        <f t="shared" si="43"/>
        <v>0.54730300792840136</v>
      </c>
    </row>
    <row r="105" spans="1:3" ht="12.9" x14ac:dyDescent="0.35">
      <c r="A105" s="29" t="str">
        <f t="shared" si="41"/>
        <v>Accommodation and food</v>
      </c>
      <c r="B105" s="43">
        <f t="shared" si="42"/>
        <v>1.489315430163729</v>
      </c>
      <c r="C105" s="43">
        <f t="shared" si="43"/>
        <v>1.1297360591954853</v>
      </c>
    </row>
    <row r="106" spans="1:3" ht="12.9" x14ac:dyDescent="0.35">
      <c r="A106" s="29"/>
      <c r="B106" s="43"/>
      <c r="C106" s="43"/>
    </row>
    <row r="107" spans="1:3" ht="12.9" x14ac:dyDescent="0.35">
      <c r="A107" s="29" t="str">
        <f t="shared" si="41"/>
        <v>Business and other services</v>
      </c>
      <c r="B107" s="43">
        <f t="shared" si="42"/>
        <v>0.92571949449997692</v>
      </c>
      <c r="C107" s="43">
        <f t="shared" si="43"/>
        <v>0.60779140694950939</v>
      </c>
    </row>
    <row r="108" spans="1:3" ht="12.9" x14ac:dyDescent="0.35">
      <c r="A108" s="29" t="str">
        <f t="shared" si="41"/>
        <v>Media</v>
      </c>
      <c r="B108" s="43">
        <f t="shared" si="42"/>
        <v>0.69158913819420409</v>
      </c>
      <c r="C108" s="43">
        <f t="shared" si="43"/>
        <v>0.14352907986494579</v>
      </c>
    </row>
    <row r="109" spans="1:3" ht="12.9" x14ac:dyDescent="0.35">
      <c r="A109" s="29" t="str">
        <f t="shared" si="41"/>
        <v>Information technology</v>
      </c>
      <c r="B109" s="43">
        <f t="shared" si="42"/>
        <v>1.6844782660904611</v>
      </c>
      <c r="C109" s="43">
        <f t="shared" si="43"/>
        <v>1.0093186658386211</v>
      </c>
    </row>
    <row r="110" spans="1:3" ht="12.9" x14ac:dyDescent="0.35">
      <c r="A110" s="29" t="str">
        <f t="shared" si="41"/>
        <v>Finance and insurance</v>
      </c>
      <c r="B110" s="43">
        <f t="shared" si="42"/>
        <v>0.65757455805504073</v>
      </c>
      <c r="C110" s="43">
        <f t="shared" si="43"/>
        <v>-8.0949708329636216E-2</v>
      </c>
    </row>
    <row r="111" spans="1:3" ht="12.9" x14ac:dyDescent="0.35">
      <c r="A111" s="29" t="str">
        <f t="shared" si="41"/>
        <v>Real estate</v>
      </c>
      <c r="B111" s="43">
        <f t="shared" si="42"/>
        <v>2.5127532210172498</v>
      </c>
      <c r="C111" s="43">
        <f t="shared" si="43"/>
        <v>0.296662997538788</v>
      </c>
    </row>
    <row r="112" spans="1:3" ht="12.9" x14ac:dyDescent="0.35">
      <c r="A112" s="29" t="str">
        <f t="shared" si="41"/>
        <v>Professional services</v>
      </c>
      <c r="B112" s="43">
        <f t="shared" si="42"/>
        <v>1.6395356888000867</v>
      </c>
      <c r="C112" s="43">
        <f t="shared" si="43"/>
        <v>0.76192505191492454</v>
      </c>
    </row>
    <row r="113" spans="1:3" ht="12.9" x14ac:dyDescent="0.35">
      <c r="A113" s="29" t="str">
        <f t="shared" si="41"/>
        <v>Support services</v>
      </c>
      <c r="B113" s="43">
        <f t="shared" si="42"/>
        <v>-6.1914794420347974E-2</v>
      </c>
      <c r="C113" s="43">
        <f t="shared" si="43"/>
        <v>0.83522099971713448</v>
      </c>
    </row>
    <row r="114" spans="1:3" ht="12.9" x14ac:dyDescent="0.35">
      <c r="A114" s="29" t="str">
        <f t="shared" si="41"/>
        <v>Arts and entertainment</v>
      </c>
      <c r="B114" s="43">
        <f t="shared" si="42"/>
        <v>0.3649840571615659</v>
      </c>
      <c r="C114" s="43">
        <f t="shared" si="43"/>
        <v>0.75098996150659847</v>
      </c>
    </row>
    <row r="115" spans="1:3" ht="12.9" x14ac:dyDescent="0.35">
      <c r="A115" s="29" t="str">
        <f t="shared" si="41"/>
        <v>Other services</v>
      </c>
      <c r="B115" s="43">
        <f t="shared" si="42"/>
        <v>0.77862381600848352</v>
      </c>
      <c r="C115" s="43">
        <f t="shared" si="43"/>
        <v>-5.2445538322776208E-2</v>
      </c>
    </row>
    <row r="116" spans="1:3" ht="12.9" x14ac:dyDescent="0.35">
      <c r="A116" s="29"/>
      <c r="B116" s="43"/>
      <c r="C116" s="43"/>
    </row>
    <row r="117" spans="1:3" ht="12.9" x14ac:dyDescent="0.35">
      <c r="A117" s="29" t="str">
        <f t="shared" si="41"/>
        <v>Non-marketed services</v>
      </c>
      <c r="B117" s="43">
        <f t="shared" si="42"/>
        <v>0.62308983153576136</v>
      </c>
      <c r="C117" s="43">
        <f t="shared" si="43"/>
        <v>0.61712582916333414</v>
      </c>
    </row>
    <row r="118" spans="1:3" ht="12.9" x14ac:dyDescent="0.35">
      <c r="A118" s="29" t="str">
        <f t="shared" si="41"/>
        <v>Public admin. and defence</v>
      </c>
      <c r="B118" s="43">
        <f t="shared" si="42"/>
        <v>1.0604495905914835</v>
      </c>
      <c r="C118" s="43">
        <f t="shared" si="43"/>
        <v>0.22568981458614967</v>
      </c>
    </row>
    <row r="119" spans="1:3" ht="12.9" x14ac:dyDescent="0.35">
      <c r="A119" s="29" t="str">
        <f t="shared" si="41"/>
        <v>Education</v>
      </c>
      <c r="B119" s="43">
        <f t="shared" si="42"/>
        <v>1.2585055677361012E-3</v>
      </c>
      <c r="C119" s="43">
        <f t="shared" si="43"/>
        <v>0.31836132035545361</v>
      </c>
    </row>
    <row r="120" spans="1:3" ht="12.9" x14ac:dyDescent="0.35">
      <c r="A120" s="29" t="str">
        <f t="shared" si="41"/>
        <v>Health and social work</v>
      </c>
      <c r="B120" s="43">
        <f t="shared" si="42"/>
        <v>0.91208903251582818</v>
      </c>
      <c r="C120" s="43">
        <f t="shared" si="43"/>
        <v>0.92684860036267303</v>
      </c>
    </row>
    <row r="121" spans="1:3" ht="12.9" x14ac:dyDescent="0.35">
      <c r="A121" s="29"/>
      <c r="B121" s="43"/>
      <c r="C121" s="43"/>
    </row>
    <row r="122" spans="1:3" ht="12.9" x14ac:dyDescent="0.35">
      <c r="A122" s="344" t="str">
        <f t="shared" si="41"/>
        <v>All industries</v>
      </c>
      <c r="B122" s="206">
        <f t="shared" si="42"/>
        <v>0.77179721851199368</v>
      </c>
      <c r="C122" s="206">
        <f t="shared" si="43"/>
        <v>0.47791580152367619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0"/>
  <dimension ref="A1:Q577"/>
  <sheetViews>
    <sheetView showGridLines="0" zoomScale="85" zoomScaleNormal="85" workbookViewId="0"/>
  </sheetViews>
  <sheetFormatPr defaultColWidth="9.15234375" defaultRowHeight="12.45" x14ac:dyDescent="0.3"/>
  <cols>
    <col min="1" max="1" width="22.15234375" style="282" customWidth="1"/>
    <col min="2" max="2" width="9.15234375" style="283"/>
    <col min="3" max="3" width="9.3046875" style="282" customWidth="1"/>
    <col min="4" max="4" width="9.15234375" style="283"/>
    <col min="5" max="5" width="9.3046875" style="282" customWidth="1"/>
    <col min="6" max="6" width="9.15234375" style="283"/>
    <col min="7" max="7" width="9.3046875" style="282" customWidth="1"/>
    <col min="8" max="8" width="9.15234375" style="283"/>
    <col min="9" max="9" width="9.3046875" style="282" customWidth="1"/>
    <col min="10" max="10" width="5.53515625" style="282" customWidth="1"/>
    <col min="11" max="14" width="9.3046875" style="283" customWidth="1"/>
    <col min="15" max="16384" width="9.15234375" style="282"/>
  </cols>
  <sheetData>
    <row r="1" spans="1:17" ht="15.45" x14ac:dyDescent="0.4">
      <c r="A1" s="18" t="str">
        <f>CONCATENATE("Industry Table 5  Employment status by Industry (SIC 2007) and Gender, ",A$8,"-",A$18,", ",Info!B5)</f>
        <v>Industry Table 5  Employment status by Industry (SIC 2007) and Gender, 2020-2035, United Kingdom</v>
      </c>
    </row>
    <row r="2" spans="1:17" x14ac:dyDescent="0.3">
      <c r="A2" s="1" t="s">
        <v>530</v>
      </c>
    </row>
    <row r="5" spans="1:17" x14ac:dyDescent="0.3">
      <c r="A5" s="288"/>
      <c r="B5" s="289" t="s">
        <v>379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3">
      <c r="N6" s="287" t="s">
        <v>377</v>
      </c>
    </row>
    <row r="7" spans="1:17" x14ac:dyDescent="0.3">
      <c r="A7" s="296" t="s">
        <v>378</v>
      </c>
      <c r="B7" s="371" t="s">
        <v>376</v>
      </c>
      <c r="C7" s="371"/>
      <c r="D7" s="371" t="s">
        <v>375</v>
      </c>
      <c r="E7" s="371"/>
      <c r="F7" s="371" t="s">
        <v>374</v>
      </c>
      <c r="G7" s="371"/>
      <c r="H7" s="371" t="s">
        <v>32</v>
      </c>
      <c r="I7" s="371"/>
      <c r="J7" s="296"/>
      <c r="K7" s="297" t="s">
        <v>339</v>
      </c>
      <c r="L7" s="297" t="s">
        <v>341</v>
      </c>
      <c r="M7" s="297" t="s">
        <v>337</v>
      </c>
      <c r="N7" s="297" t="s">
        <v>32</v>
      </c>
    </row>
    <row r="8" spans="1:17" x14ac:dyDescent="0.3">
      <c r="A8" s="286">
        <f>'Ind T6'!L5</f>
        <v>2020</v>
      </c>
      <c r="B8" s="287" t="s">
        <v>60</v>
      </c>
      <c r="C8" s="19" t="s">
        <v>373</v>
      </c>
      <c r="D8" s="287" t="s">
        <v>60</v>
      </c>
      <c r="E8" s="19" t="s">
        <v>373</v>
      </c>
      <c r="F8" s="287" t="s">
        <v>60</v>
      </c>
      <c r="G8" s="19" t="s">
        <v>373</v>
      </c>
      <c r="H8" s="287" t="s">
        <v>60</v>
      </c>
      <c r="I8" s="19" t="s">
        <v>373</v>
      </c>
      <c r="J8" s="181"/>
      <c r="K8" s="286" t="str">
        <f>CONCATENATE(A8," - ",A13)</f>
        <v>2020 - 2025</v>
      </c>
      <c r="L8" s="285"/>
      <c r="M8" s="285"/>
    </row>
    <row r="9" spans="1:17" x14ac:dyDescent="0.3">
      <c r="A9" s="282" t="s">
        <v>355</v>
      </c>
      <c r="B9" s="249">
        <f>SUM(B30,B51,B72,B93,B114,B135,B156,B177,B198,B219,B240,B261,B282,B303,B324,B345,B366,B387,B408,B429,B450,B471)</f>
        <v>12465.77899999655</v>
      </c>
      <c r="C9" s="299" t="str">
        <f>CONCATENATE("(",ROUND((B9/$H11)*100,1),")")</f>
        <v>(35.6)</v>
      </c>
      <c r="D9" s="249">
        <f>SUM(D30,D51,D72,D93,D114,D135,D156,D177,D198,D219,D240,D261,D282,D303,D324,D345,D366,D387,D408,D429,D450,D471)</f>
        <v>2925.2570000004957</v>
      </c>
      <c r="E9" s="299" t="str">
        <f>CONCATENATE("(",ROUND((D9/$H11)*100,1),")")</f>
        <v>(8.4)</v>
      </c>
      <c r="F9" s="249">
        <f>SUM(F30,F51,F72,F93,F114,F135,F156,F177,F198,F219,F240,F261,F282,F303,F324,F345,F366,F387,F408,F429,F450,F471)</f>
        <v>2681.0460000027392</v>
      </c>
      <c r="G9" s="299" t="str">
        <f>CONCATENATE("(",ROUND((F9/$H11)*100,1),")")</f>
        <v>(7.7)</v>
      </c>
      <c r="H9" s="249">
        <f>SUM(H30,H51,H72,H93,H114,H135,H156,H177,H198,H219,H240,H261,H282,H303,H324,H345,H366,H387,H408,H429,H450,H471)</f>
        <v>18072.081999999784</v>
      </c>
      <c r="I9" s="299" t="str">
        <f>CONCATENATE("(",ROUND((H9/$H11)*100,1),")")</f>
        <v>(51.7)</v>
      </c>
      <c r="K9" s="249">
        <f>B14-B9</f>
        <v>270.62699999945471</v>
      </c>
      <c r="L9" s="249">
        <f>D14-D9</f>
        <v>108.95700000106399</v>
      </c>
      <c r="M9" s="249">
        <f>F14-F9</f>
        <v>104.27499999955899</v>
      </c>
      <c r="N9" s="249">
        <f>SUM(K9:M9)</f>
        <v>483.85900000007769</v>
      </c>
      <c r="O9" s="298"/>
      <c r="P9" s="298"/>
      <c r="Q9" s="298"/>
    </row>
    <row r="10" spans="1:17" x14ac:dyDescent="0.3">
      <c r="A10" s="282" t="s">
        <v>356</v>
      </c>
      <c r="B10" s="249">
        <f t="shared" ref="B10:B21" si="0">SUM(B31,B52,B73,B94,B115,B136,B157,B178,B199,B220,B241,B262,B283,B304,B325,B346,B367,B388,B409,B430,B451,B472)</f>
        <v>8175.6579999942333</v>
      </c>
      <c r="C10" s="299" t="str">
        <f>CONCATENATE("(",ROUND((B10/$H11)*100,1),")")</f>
        <v>(23.4)</v>
      </c>
      <c r="D10" s="249">
        <f t="shared" ref="D10" si="1">SUM(D31,D52,D73,D94,D115,D136,D157,D178,D199,D220,D241,D262,D283,D304,D325,D346,D367,D388,D409,D430,D451,D472)</f>
        <v>7044.2910000101911</v>
      </c>
      <c r="E10" s="299" t="str">
        <f>CONCATENATE("(",ROUND((D10/$H11)*100,1),")")</f>
        <v>(20.1)</v>
      </c>
      <c r="F10" s="249">
        <f t="shared" ref="F10" si="2">SUM(F31,F52,F73,F94,F115,F136,F157,F178,F199,F220,F241,F262,F283,F304,F325,F346,F367,F388,F409,F430,F451,F472)</f>
        <v>1682.9369999956307</v>
      </c>
      <c r="G10" s="299" t="str">
        <f>CONCATENATE("(",ROUND((F10/$H11)*100,1),")")</f>
        <v>(4.8)</v>
      </c>
      <c r="H10" s="249">
        <f t="shared" ref="H10" si="3">SUM(H31,H52,H73,H94,H115,H136,H157,H178,H199,H220,H241,H262,H283,H304,H325,H346,H367,H388,H409,H430,H451,H472)</f>
        <v>16902.886000000057</v>
      </c>
      <c r="I10" s="299" t="str">
        <f>CONCATENATE("(",ROUND((H10/$H11)*100,1),")")</f>
        <v>(48.3)</v>
      </c>
      <c r="K10" s="249">
        <f t="shared" ref="K10:K11" si="4">B15-B10</f>
        <v>400.15700000677134</v>
      </c>
      <c r="L10" s="249">
        <f t="shared" ref="L10:L11" si="5">D15-D10</f>
        <v>101.20399999144229</v>
      </c>
      <c r="M10" s="249">
        <f t="shared" ref="M10:M11" si="6">F15-F10</f>
        <v>62.136000001682532</v>
      </c>
      <c r="N10" s="249">
        <f t="shared" ref="N10:N11" si="7">SUM(K10:M10)</f>
        <v>563.49699999989616</v>
      </c>
      <c r="O10" s="298"/>
      <c r="P10" s="298"/>
      <c r="Q10" s="298"/>
    </row>
    <row r="11" spans="1:17" x14ac:dyDescent="0.3">
      <c r="A11" s="282" t="s">
        <v>354</v>
      </c>
      <c r="B11" s="249">
        <f t="shared" si="0"/>
        <v>20641.436999990783</v>
      </c>
      <c r="C11" s="299" t="str">
        <f>CONCATENATE("(",ROUND((B11/$H11)*100,1),")")</f>
        <v>(59)</v>
      </c>
      <c r="D11" s="249">
        <f t="shared" ref="D11" si="8">SUM(D32,D53,D74,D95,D116,D137,D158,D179,D200,D221,D242,D263,D284,D305,D326,D347,D368,D389,D410,D431,D452,D473)</f>
        <v>9969.5480000106872</v>
      </c>
      <c r="E11" s="299" t="str">
        <f>CONCATENATE("(",ROUND((D11/$H11)*100,1),")")</f>
        <v>(28.5)</v>
      </c>
      <c r="F11" s="249">
        <f t="shared" ref="F11" si="9">SUM(F32,F53,F74,F95,F116,F137,F158,F179,F200,F221,F242,F263,F284,F305,F326,F347,F368,F389,F410,F431,F452,F473)</f>
        <v>4363.9829999983685</v>
      </c>
      <c r="G11" s="299" t="str">
        <f>CONCATENATE("(",ROUND((F11/$H11)*100,1),")")</f>
        <v>(12.5)</v>
      </c>
      <c r="H11" s="249">
        <f t="shared" ref="H11" si="10">SUM(H32,H53,H74,H95,H116,H137,H158,H179,H200,H221,H242,H263,H284,H305,H326,H347,H368,H389,H410,H431,H452,H473)</f>
        <v>34974.967999999841</v>
      </c>
      <c r="I11" s="299" t="str">
        <f>CONCATENATE("(",ROUND((H11/$H11)*100,1),")")</f>
        <v>(100)</v>
      </c>
      <c r="K11" s="249">
        <f t="shared" si="4"/>
        <v>670.78400000623151</v>
      </c>
      <c r="L11" s="249">
        <f t="shared" si="5"/>
        <v>210.16099999250582</v>
      </c>
      <c r="M11" s="249">
        <f t="shared" si="6"/>
        <v>166.41100000124334</v>
      </c>
      <c r="N11" s="249">
        <f t="shared" si="7"/>
        <v>1047.3559999999807</v>
      </c>
      <c r="O11" s="298"/>
      <c r="P11" s="298"/>
      <c r="Q11" s="298"/>
    </row>
    <row r="12" spans="1:17" x14ac:dyDescent="0.3">
      <c r="B12" s="249"/>
      <c r="C12" s="284"/>
      <c r="D12" s="249"/>
      <c r="E12" s="284"/>
      <c r="F12" s="249"/>
      <c r="G12" s="284"/>
      <c r="H12" s="249"/>
      <c r="I12" s="284"/>
    </row>
    <row r="13" spans="1:17" x14ac:dyDescent="0.3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3">
      <c r="A14" s="282" t="s">
        <v>355</v>
      </c>
      <c r="B14" s="249">
        <f>SUM(B35,B56,B77,B98,B119,B140,B161,B182,B203,B224,B245,B266,B287,B308,B329,B350,B371,B392,B413,B434,B455,B476)</f>
        <v>12736.405999996005</v>
      </c>
      <c r="C14" s="299" t="str">
        <f>CONCATENATE("(",ROUND((B14/$H16)*100,1),")")</f>
        <v>(35.4)</v>
      </c>
      <c r="D14" s="249">
        <f t="shared" ref="D14" si="11">SUM(D35,D56,D77,D98,D119,D140,D161,D182,D203,D224,D245,D266,D287,D308,D329,D350,D371,D392,D413,D434,D455,D476)</f>
        <v>3034.2140000015597</v>
      </c>
      <c r="E14" s="299" t="str">
        <f>CONCATENATE("(",ROUND((D14/$H16)*100,1),")")</f>
        <v>(8.4)</v>
      </c>
      <c r="F14" s="249">
        <f t="shared" ref="F14" si="12">SUM(F35,F56,F77,F98,F119,F140,F161,F182,F203,F224,F245,F266,F287,F308,F329,F350,F371,F392,F413,F434,F455,F476)</f>
        <v>2785.3210000022982</v>
      </c>
      <c r="G14" s="299" t="str">
        <f>CONCATENATE("(",ROUND((F14/$H16)*100,1),")")</f>
        <v>(7.7)</v>
      </c>
      <c r="H14" s="249">
        <f t="shared" ref="H14" si="13">SUM(H35,H56,H77,H98,H119,H140,H161,H182,H203,H224,H245,H266,H287,H308,H329,H350,H371,H392,H413,H434,H455,H476)</f>
        <v>18555.940999999864</v>
      </c>
      <c r="I14" s="299" t="str">
        <f>CONCATENATE("(",ROUND((H14/$H16)*100,1),")")</f>
        <v>(51.5)</v>
      </c>
      <c r="K14" s="249">
        <f>B19-B14</f>
        <v>272.10199999705037</v>
      </c>
      <c r="L14" s="249">
        <f>D19-D14</f>
        <v>215.79200000148467</v>
      </c>
      <c r="M14" s="249">
        <f>F19-F14</f>
        <v>169.10000000151467</v>
      </c>
      <c r="N14" s="249">
        <f>SUM(K14:M14)</f>
        <v>656.99400000004971</v>
      </c>
    </row>
    <row r="15" spans="1:17" x14ac:dyDescent="0.3">
      <c r="A15" s="282" t="s">
        <v>356</v>
      </c>
      <c r="B15" s="249">
        <f t="shared" si="0"/>
        <v>8575.8150000010046</v>
      </c>
      <c r="C15" s="299" t="str">
        <f>CONCATENATE("(",ROUND((B15/$H16)*100,1),")")</f>
        <v>(23.8)</v>
      </c>
      <c r="D15" s="249">
        <f t="shared" ref="D15" si="14">SUM(D36,D57,D78,D99,D120,D141,D162,D183,D204,D225,D246,D267,D288,D309,D330,D351,D372,D393,D414,D435,D456,D477)</f>
        <v>7145.4950000016333</v>
      </c>
      <c r="E15" s="299" t="str">
        <f>CONCATENATE("(",ROUND((D15/$H16)*100,1),")")</f>
        <v>(19.8)</v>
      </c>
      <c r="F15" s="249">
        <f t="shared" ref="F15" si="15">SUM(F36,F57,F78,F99,F120,F141,F162,F183,F204,F225,F246,F267,F288,F309,F330,F351,F372,F393,F414,F435,F456,F477)</f>
        <v>1745.0729999973132</v>
      </c>
      <c r="G15" s="299" t="str">
        <f>CONCATENATE("(",ROUND((F15/$H16)*100,1),")")</f>
        <v>(4.8)</v>
      </c>
      <c r="H15" s="249">
        <f t="shared" ref="H15" si="16">SUM(H36,H57,H78,H99,H120,H141,H162,H183,H204,H225,H246,H267,H288,H309,H330,H351,H372,H393,H414,H435,H456,H477)</f>
        <v>17466.382999999951</v>
      </c>
      <c r="I15" s="299" t="str">
        <f>CONCATENATE("(",ROUND((H15/$H16)*100,1),")")</f>
        <v>(48.5)</v>
      </c>
      <c r="K15" s="249">
        <f t="shared" ref="K15:K16" si="17">B20-B15</f>
        <v>647.67200001476522</v>
      </c>
      <c r="L15" s="249">
        <f t="shared" ref="L15:L16" si="18">D20-D15</f>
        <v>112.06199997576914</v>
      </c>
      <c r="M15" s="249">
        <f t="shared" ref="M15:M16" si="19">F20-F15</f>
        <v>128.82000000970493</v>
      </c>
      <c r="N15" s="249">
        <f t="shared" ref="N15:N16" si="20">SUM(K15:M15)</f>
        <v>888.55400000023928</v>
      </c>
    </row>
    <row r="16" spans="1:17" x14ac:dyDescent="0.3">
      <c r="A16" s="282" t="s">
        <v>354</v>
      </c>
      <c r="B16" s="249">
        <f t="shared" si="0"/>
        <v>21312.220999997015</v>
      </c>
      <c r="C16" s="299" t="str">
        <f>CONCATENATE("(",ROUND((B16/$H16)*100,1),")")</f>
        <v>(59.2)</v>
      </c>
      <c r="D16" s="249">
        <f t="shared" ref="D16" si="21">SUM(D37,D58,D79,D100,D121,D142,D163,D184,D205,D226,D247,D268,D289,D310,D331,D352,D373,D394,D415,D436,D457,D478)</f>
        <v>10179.709000003193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4530.3939999996119</v>
      </c>
      <c r="G16" s="299" t="str">
        <f>CONCATENATE("(",ROUND((F16/$H16)*100,1),")")</f>
        <v>(12.6)</v>
      </c>
      <c r="H16" s="249">
        <f t="shared" ref="H16" si="23">SUM(H37,H58,H79,H100,H121,H142,H163,H184,H205,H226,H247,H268,H289,H310,H331,H352,H373,H394,H415,H436,H457,H478)</f>
        <v>36022.323999999819</v>
      </c>
      <c r="I16" s="299" t="str">
        <f>CONCATENATE("(",ROUND((H16/$H16)*100,1),")")</f>
        <v>(100)</v>
      </c>
      <c r="K16" s="249">
        <f t="shared" si="17"/>
        <v>919.77400001180649</v>
      </c>
      <c r="L16" s="249">
        <f t="shared" si="18"/>
        <v>327.8539999772529</v>
      </c>
      <c r="M16" s="249">
        <f t="shared" si="19"/>
        <v>297.9200000112196</v>
      </c>
      <c r="N16" s="249">
        <f t="shared" si="20"/>
        <v>1545.548000000279</v>
      </c>
    </row>
    <row r="17" spans="1:14" x14ac:dyDescent="0.3">
      <c r="B17" s="249"/>
      <c r="C17" s="284"/>
      <c r="D17" s="249"/>
      <c r="E17" s="284"/>
      <c r="F17" s="249"/>
      <c r="G17" s="284"/>
      <c r="H17" s="249"/>
      <c r="I17" s="284"/>
    </row>
    <row r="18" spans="1:14" x14ac:dyDescent="0.3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3">
      <c r="A19" s="282" t="s">
        <v>355</v>
      </c>
      <c r="B19" s="249">
        <f t="shared" si="0"/>
        <v>13008.507999993055</v>
      </c>
      <c r="C19" s="299" t="str">
        <f>CONCATENATE("(",ROUND((B19/$H21)*100,1),")")</f>
        <v>(34.6)</v>
      </c>
      <c r="D19" s="249">
        <f t="shared" ref="D19" si="24">SUM(D40,D61,D82,D103,D124,D145,D166,D187,D208,D229,D250,D271,D292,D313,D334,D355,D376,D397,D418,D439,D460,D481)</f>
        <v>3250.0060000030444</v>
      </c>
      <c r="E19" s="299" t="str">
        <f>CONCATENATE("(",ROUND((D19/$H21)*100,1),")")</f>
        <v>(8.7)</v>
      </c>
      <c r="F19" s="249">
        <f t="shared" ref="F19" si="25">SUM(F40,F61,F82,F103,F124,F145,F166,F187,F208,F229,F250,F271,F292,F313,F334,F355,F376,F397,F418,F439,F460,F481)</f>
        <v>2954.4210000038129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19212.934999999914</v>
      </c>
      <c r="I19" s="299" t="str">
        <f>CONCATENATE("(",ROUND((H19/$H21)*100,1),")")</f>
        <v>(51.1)</v>
      </c>
      <c r="K19" s="249">
        <f>B19-B9</f>
        <v>542.72899999650508</v>
      </c>
      <c r="L19" s="249">
        <f>D19-D9</f>
        <v>324.74900000254866</v>
      </c>
      <c r="M19" s="249">
        <f>F19-F9</f>
        <v>273.37500000107366</v>
      </c>
      <c r="N19" s="249">
        <f>SUM(K19:M19)</f>
        <v>1140.8530000001274</v>
      </c>
    </row>
    <row r="20" spans="1:14" x14ac:dyDescent="0.3">
      <c r="A20" s="282" t="s">
        <v>356</v>
      </c>
      <c r="B20" s="249">
        <f t="shared" si="0"/>
        <v>9223.4870000157698</v>
      </c>
      <c r="C20" s="299" t="str">
        <f>CONCATENATE("(",ROUND((B20/$H21)*100,1),")")</f>
        <v>(24.6)</v>
      </c>
      <c r="D20" s="249">
        <f t="shared" ref="D20" si="27">SUM(D41,D62,D83,D104,D125,D146,D167,D188,D209,D230,D251,D272,D293,D314,D335,D356,D377,D398,D419,D440,D461,D482)</f>
        <v>7257.5569999774025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1873.8930000070181</v>
      </c>
      <c r="G20" s="299" t="str">
        <f>CONCATENATE("(",ROUND((F20/$H21)*100,1),")")</f>
        <v>(5)</v>
      </c>
      <c r="H20" s="249">
        <f t="shared" ref="H20" si="29">SUM(H41,H62,H83,H104,H125,H146,H167,H188,H209,H230,H251,H272,H293,H314,H335,H356,H377,H398,H419,H440,H461,H482)</f>
        <v>18354.937000000195</v>
      </c>
      <c r="I20" s="299" t="str">
        <f>CONCATENATE("(",ROUND((H20/$H21)*100,1),")")</f>
        <v>(48.9)</v>
      </c>
      <c r="K20" s="249">
        <f t="shared" ref="K20:K21" si="30">B20-B10</f>
        <v>1047.8290000215366</v>
      </c>
      <c r="L20" s="249">
        <f t="shared" ref="L20:L21" si="31">D20-D10</f>
        <v>213.26599996721143</v>
      </c>
      <c r="M20" s="249">
        <f t="shared" ref="M20:M21" si="32">F20-F10</f>
        <v>190.95600001138746</v>
      </c>
      <c r="N20" s="249">
        <f t="shared" ref="N20:N21" si="33">SUM(K20:M20)</f>
        <v>1452.0510000001354</v>
      </c>
    </row>
    <row r="21" spans="1:14" x14ac:dyDescent="0.3">
      <c r="A21" s="282" t="s">
        <v>354</v>
      </c>
      <c r="B21" s="249">
        <f t="shared" si="0"/>
        <v>22231.995000008821</v>
      </c>
      <c r="C21" s="299" t="str">
        <f>CONCATENATE("(",ROUND((B21/$H21)*100,1),")")</f>
        <v>(59.2)</v>
      </c>
      <c r="D21" s="249">
        <f t="shared" ref="D21" si="34">SUM(D42,D63,D84,D105,D126,D147,D168,D189,D210,D231,D252,D273,D294,D315,D336,D357,D378,D399,D420,D441,D462,D483)</f>
        <v>10507.562999980446</v>
      </c>
      <c r="E21" s="299" t="str">
        <f>CONCATENATE("(",ROUND((D21/$H21)*100,1),")")</f>
        <v>(28)</v>
      </c>
      <c r="F21" s="249">
        <f>SUM(F42,F63,F84,F105,F126,F147,F168,F189,F210,F231,F252,F273,F294,F315,F336,F357,F378,F399,F420,F441,F462,F483)</f>
        <v>4828.3140000108315</v>
      </c>
      <c r="G21" s="299" t="str">
        <f>CONCATENATE("(",ROUND((F21/$H21)*100,1),")")</f>
        <v>(12.9)</v>
      </c>
      <c r="H21" s="249">
        <f t="shared" ref="H21" si="35">SUM(H42,H63,H84,H105,H126,H147,H168,H189,H210,H231,H252,H273,H294,H315,H336,H357,H378,H399,H420,H441,H462,H483)</f>
        <v>37567.872000000098</v>
      </c>
      <c r="I21" s="299" t="str">
        <f>CONCATENATE("(",ROUND((H21/$H21)*100,1),")")</f>
        <v>(100)</v>
      </c>
      <c r="K21" s="249">
        <f t="shared" si="30"/>
        <v>1590.558000018038</v>
      </c>
      <c r="L21" s="249">
        <f t="shared" si="31"/>
        <v>538.01499996975872</v>
      </c>
      <c r="M21" s="249">
        <f t="shared" si="32"/>
        <v>464.33100001246294</v>
      </c>
      <c r="N21" s="249">
        <f t="shared" si="33"/>
        <v>2592.9040000002597</v>
      </c>
    </row>
    <row r="22" spans="1:14" x14ac:dyDescent="0.3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3">
      <c r="A26" s="288"/>
      <c r="B26" s="289" t="s">
        <v>379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3">
      <c r="N27" s="287" t="s">
        <v>377</v>
      </c>
    </row>
    <row r="28" spans="1:14" x14ac:dyDescent="0.3">
      <c r="A28" s="296" t="s">
        <v>378</v>
      </c>
      <c r="B28" s="371" t="s">
        <v>376</v>
      </c>
      <c r="C28" s="371"/>
      <c r="D28" s="371" t="s">
        <v>375</v>
      </c>
      <c r="E28" s="371"/>
      <c r="F28" s="371" t="s">
        <v>374</v>
      </c>
      <c r="G28" s="371"/>
      <c r="H28" s="371" t="s">
        <v>32</v>
      </c>
      <c r="I28" s="371"/>
      <c r="J28" s="296"/>
      <c r="K28" s="297" t="s">
        <v>339</v>
      </c>
      <c r="L28" s="297" t="s">
        <v>341</v>
      </c>
      <c r="M28" s="297" t="s">
        <v>337</v>
      </c>
      <c r="N28" s="297" t="s">
        <v>32</v>
      </c>
    </row>
    <row r="29" spans="1:14" x14ac:dyDescent="0.3">
      <c r="A29" s="292">
        <f>$A$8</f>
        <v>2020</v>
      </c>
      <c r="B29" s="287" t="s">
        <v>60</v>
      </c>
      <c r="C29" s="19" t="s">
        <v>373</v>
      </c>
      <c r="D29" s="287" t="s">
        <v>60</v>
      </c>
      <c r="E29" s="19" t="s">
        <v>373</v>
      </c>
      <c r="F29" s="287" t="s">
        <v>60</v>
      </c>
      <c r="G29" s="19" t="s">
        <v>373</v>
      </c>
      <c r="H29" s="287" t="s">
        <v>60</v>
      </c>
      <c r="I29" s="19" t="s">
        <v>373</v>
      </c>
      <c r="J29" s="181"/>
      <c r="K29" s="286" t="str">
        <f>CONCATENATE(A29," - ",A34)</f>
        <v>2020 - 2025</v>
      </c>
      <c r="L29" s="285"/>
      <c r="M29" s="285"/>
    </row>
    <row r="30" spans="1:14" x14ac:dyDescent="0.3">
      <c r="A30" s="282" t="s">
        <v>355</v>
      </c>
      <c r="B30" s="302">
        <f>'Ind T6'!L10</f>
        <v>113.85000000016049</v>
      </c>
      <c r="C30" s="299" t="str">
        <f>CONCATENATE("(",ROUND((B30/$H32)*100,1),")")</f>
        <v>(30.6)</v>
      </c>
      <c r="D30" s="302">
        <f>'Ind T6'!M10</f>
        <v>19.54099999993467</v>
      </c>
      <c r="E30" s="299" t="str">
        <f>CONCATENATE("(",ROUND((D30/$H32)*100,1),")")</f>
        <v>(5.3)</v>
      </c>
      <c r="F30" s="302">
        <f>'Ind T6'!N10</f>
        <v>119.02599999747864</v>
      </c>
      <c r="G30" s="299" t="str">
        <f>CONCATENATE("(",ROUND((F30/$H32)*100,1),")")</f>
        <v>(32)</v>
      </c>
      <c r="H30" s="302">
        <f>SUM(B30,D30,F30)</f>
        <v>252.41699999757381</v>
      </c>
      <c r="I30" s="299" t="str">
        <f>CONCATENATE("(",ROUND((H30/$H32)*100,1),")")</f>
        <v>(67.9)</v>
      </c>
      <c r="K30" s="302">
        <f>B35-B30</f>
        <v>6.6550000006125458</v>
      </c>
      <c r="L30" s="302">
        <f>D35-D30</f>
        <v>0.58100000002160712</v>
      </c>
      <c r="M30" s="302">
        <f>F35-F30</f>
        <v>-0.60600000258089892</v>
      </c>
      <c r="N30" s="302">
        <f>SUM(K30:M30)</f>
        <v>6.629999998053254</v>
      </c>
    </row>
    <row r="31" spans="1:14" x14ac:dyDescent="0.3">
      <c r="A31" s="282" t="s">
        <v>356</v>
      </c>
      <c r="B31" s="302">
        <f>'Ind T6'!L9</f>
        <v>52.759000000006274</v>
      </c>
      <c r="C31" s="299" t="str">
        <f>CONCATENATE("(",ROUND((B31/$H32)*100,1),")")</f>
        <v>(14.2)</v>
      </c>
      <c r="D31" s="302">
        <f>'Ind T6'!M9</f>
        <v>32.851000000087495</v>
      </c>
      <c r="E31" s="299" t="str">
        <f>CONCATENATE("(",ROUND((D31/$H32)*100,1),")")</f>
        <v>(8.8)</v>
      </c>
      <c r="F31" s="302">
        <f>'Ind T6'!N9</f>
        <v>33.974999999326933</v>
      </c>
      <c r="G31" s="299" t="str">
        <f>CONCATENATE("(",ROUND((F31/$H32)*100,1),")")</f>
        <v>(9.1)</v>
      </c>
      <c r="H31" s="302">
        <f t="shared" ref="H31" si="36">SUM(B31,D31,F31)</f>
        <v>119.58499999942072</v>
      </c>
      <c r="I31" s="299" t="str">
        <f>CONCATENATE("(",ROUND((H31/$H32)*100,1),")")</f>
        <v>(32.1)</v>
      </c>
      <c r="K31" s="302">
        <f t="shared" ref="K31:K32" si="37">B36-B31</f>
        <v>1.306000001203337</v>
      </c>
      <c r="L31" s="302">
        <f t="shared" ref="L31:L32" si="38">D36-D31</f>
        <v>-0.21099999969618466</v>
      </c>
      <c r="M31" s="302">
        <f t="shared" ref="M31:M32" si="39">F36-F31</f>
        <v>1.4440000007010596</v>
      </c>
      <c r="N31" s="302">
        <f t="shared" ref="N31:N32" si="40">SUM(K31:M31)</f>
        <v>2.539000002208212</v>
      </c>
    </row>
    <row r="32" spans="1:14" x14ac:dyDescent="0.3">
      <c r="A32" s="282" t="s">
        <v>354</v>
      </c>
      <c r="B32" s="302">
        <f>SUM(B30:B31)</f>
        <v>166.60900000016676</v>
      </c>
      <c r="C32" s="299" t="str">
        <f>CONCATENATE("(",ROUND((B32/$H32)*100,1),")")</f>
        <v>(44.8)</v>
      </c>
      <c r="D32" s="302">
        <f>SUM(D30:D31)</f>
        <v>52.392000000022165</v>
      </c>
      <c r="E32" s="299" t="str">
        <f>CONCATENATE("(",ROUND((D32/$H32)*100,1),")")</f>
        <v>(14.1)</v>
      </c>
      <c r="F32" s="302">
        <f>SUM(F30:F31)</f>
        <v>153.00099999680558</v>
      </c>
      <c r="G32" s="299" t="str">
        <f>CONCATENATE("(",ROUND((F32/$H32)*100,1),")")</f>
        <v>(41.1)</v>
      </c>
      <c r="H32" s="302">
        <f>SUM(H30:H31)</f>
        <v>372.00199999699453</v>
      </c>
      <c r="I32" s="299" t="str">
        <f>CONCATENATE("(",ROUND((H32/$H32)*100,1),")")</f>
        <v>(100)</v>
      </c>
      <c r="K32" s="302">
        <f t="shared" si="37"/>
        <v>7.9610000018158757</v>
      </c>
      <c r="L32" s="302">
        <f t="shared" si="38"/>
        <v>0.37000000032541891</v>
      </c>
      <c r="M32" s="302">
        <f t="shared" si="39"/>
        <v>0.83799999812015358</v>
      </c>
      <c r="N32" s="302">
        <f t="shared" si="40"/>
        <v>9.1690000002614482</v>
      </c>
    </row>
    <row r="33" spans="1:14" x14ac:dyDescent="0.3">
      <c r="B33" s="302"/>
      <c r="C33" s="284"/>
      <c r="D33" s="302"/>
      <c r="E33" s="284"/>
      <c r="F33" s="302"/>
      <c r="G33" s="284"/>
      <c r="H33" s="302"/>
      <c r="I33" s="284"/>
    </row>
    <row r="34" spans="1:14" x14ac:dyDescent="0.3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3">
      <c r="A35" s="282" t="s">
        <v>355</v>
      </c>
      <c r="B35" s="302">
        <f>'Ind T6'!Q10</f>
        <v>120.50500000077304</v>
      </c>
      <c r="C35" s="299" t="str">
        <f>CONCATENATE("(",ROUND((B35/$H37)*100,1),")")</f>
        <v>(31.6)</v>
      </c>
      <c r="D35" s="302">
        <f>'Ind T6'!R10</f>
        <v>20.121999999956277</v>
      </c>
      <c r="E35" s="299" t="str">
        <f>CONCATENATE("(",ROUND((D35/$H37)*100,1),")")</f>
        <v>(5.3)</v>
      </c>
      <c r="F35" s="302">
        <f>'Ind T6'!S10</f>
        <v>118.41999999489774</v>
      </c>
      <c r="G35" s="299" t="str">
        <f>CONCATENATE("(",ROUND((F35/$H37)*100,1),")")</f>
        <v>(31.1)</v>
      </c>
      <c r="H35" s="302">
        <f>SUM(B35,D35,F35)</f>
        <v>259.04699999562706</v>
      </c>
      <c r="I35" s="299" t="str">
        <f>CONCATENATE("(",ROUND((H35/$H37)*100,1),")")</f>
        <v>(68)</v>
      </c>
      <c r="K35" s="302">
        <f>B40-B35</f>
        <v>9.833000000060423</v>
      </c>
      <c r="L35" s="302">
        <f>D40-D35</f>
        <v>0.52100000017813741</v>
      </c>
      <c r="M35" s="302">
        <f>F40-F35</f>
        <v>-6.1949999985974671</v>
      </c>
      <c r="N35" s="302">
        <f>SUM(K35:M35)</f>
        <v>4.1590000016410933</v>
      </c>
    </row>
    <row r="36" spans="1:14" x14ac:dyDescent="0.3">
      <c r="A36" s="282" t="s">
        <v>356</v>
      </c>
      <c r="B36" s="302">
        <f>'Ind T6'!Q9</f>
        <v>54.065000001209611</v>
      </c>
      <c r="C36" s="299" t="str">
        <f>CONCATENATE("(",ROUND((B36/$H37)*100,1),")")</f>
        <v>(14.2)</v>
      </c>
      <c r="D36" s="302">
        <f>'Ind T6'!R9</f>
        <v>32.640000000391311</v>
      </c>
      <c r="E36" s="299" t="str">
        <f>CONCATENATE("(",ROUND((D36/$H37)*100,1),")")</f>
        <v>(8.6)</v>
      </c>
      <c r="F36" s="302">
        <f>'Ind T6'!S9</f>
        <v>35.419000000027992</v>
      </c>
      <c r="G36" s="299" t="str">
        <f>CONCATENATE("(",ROUND((F36/$H37)*100,1),")")</f>
        <v>(9.3)</v>
      </c>
      <c r="H36" s="302">
        <f t="shared" ref="H36" si="41">SUM(B36,D36,F36)</f>
        <v>122.12400000162891</v>
      </c>
      <c r="I36" s="299" t="str">
        <f>CONCATENATE("(",ROUND((H36/$H37)*100,1),")")</f>
        <v>(32)</v>
      </c>
      <c r="K36" s="302">
        <f t="shared" ref="K36:K37" si="42">B41-B36</f>
        <v>0.1879999991034822</v>
      </c>
      <c r="L36" s="302">
        <f t="shared" ref="L36:L37" si="43">D41-D36</f>
        <v>-1.8330000005226026</v>
      </c>
      <c r="M36" s="302">
        <f t="shared" ref="M36:M37" si="44">F41-F36</f>
        <v>1.4929999996226329</v>
      </c>
      <c r="N36" s="302">
        <f t="shared" ref="N36:N37" si="45">SUM(K36:M36)</f>
        <v>-0.15200000179648754</v>
      </c>
    </row>
    <row r="37" spans="1:14" x14ac:dyDescent="0.3">
      <c r="A37" s="282" t="s">
        <v>354</v>
      </c>
      <c r="B37" s="302">
        <f>SUM(B35:B36)</f>
        <v>174.57000000198263</v>
      </c>
      <c r="C37" s="299" t="str">
        <f>CONCATENATE("(",ROUND((B37/$H37)*100,1),")")</f>
        <v>(45.8)</v>
      </c>
      <c r="D37" s="302">
        <f>SUM(D35:D36)</f>
        <v>52.762000000347584</v>
      </c>
      <c r="E37" s="299" t="str">
        <f>CONCATENATE("(",ROUND((D37/$H37)*100,1),")")</f>
        <v>(13.8)</v>
      </c>
      <c r="F37" s="302">
        <f>SUM(F35:F36)</f>
        <v>153.83899999492573</v>
      </c>
      <c r="G37" s="299" t="str">
        <f>CONCATENATE("(",ROUND((F37/$H37)*100,1),")")</f>
        <v>(40.4)</v>
      </c>
      <c r="H37" s="302">
        <f>SUM(H35:H36)</f>
        <v>381.17099999725599</v>
      </c>
      <c r="I37" s="299" t="str">
        <f>CONCATENATE("(",ROUND((H37/$H37)*100,1),")")</f>
        <v>(100)</v>
      </c>
      <c r="K37" s="302">
        <f t="shared" si="42"/>
        <v>10.020999999163905</v>
      </c>
      <c r="L37" s="302">
        <f t="shared" si="43"/>
        <v>-1.3120000003444616</v>
      </c>
      <c r="M37" s="302">
        <f t="shared" si="44"/>
        <v>-4.7019999989748271</v>
      </c>
      <c r="N37" s="302">
        <f t="shared" si="45"/>
        <v>4.0069999998446164</v>
      </c>
    </row>
    <row r="38" spans="1:14" x14ac:dyDescent="0.3">
      <c r="B38" s="302"/>
      <c r="C38" s="284"/>
      <c r="D38" s="302"/>
      <c r="E38" s="284"/>
      <c r="F38" s="302"/>
      <c r="G38" s="284"/>
      <c r="H38" s="302"/>
      <c r="I38" s="284"/>
    </row>
    <row r="39" spans="1:14" x14ac:dyDescent="0.3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3">
      <c r="A40" s="282" t="s">
        <v>355</v>
      </c>
      <c r="B40" s="302">
        <f>'Ind T6'!V10</f>
        <v>130.33800000083346</v>
      </c>
      <c r="C40" s="299" t="str">
        <f>CONCATENATE("(",ROUND((B40/$H42)*100,1),")")</f>
        <v>(33.8)</v>
      </c>
      <c r="D40" s="302">
        <f>'Ind T6'!W10</f>
        <v>20.643000000134414</v>
      </c>
      <c r="E40" s="299" t="str">
        <f>CONCATENATE("(",ROUND((D40/$H42)*100,1),")")</f>
        <v>(5.4)</v>
      </c>
      <c r="F40" s="302">
        <f>'Ind T6'!X10</f>
        <v>112.22499999630027</v>
      </c>
      <c r="G40" s="299" t="str">
        <f>CONCATENATE("(",ROUND((F40/$H42)*100,1),")")</f>
        <v>(29.1)</v>
      </c>
      <c r="H40" s="302">
        <f>SUM(B40,D40,F40)</f>
        <v>263.20599999726812</v>
      </c>
      <c r="I40" s="299" t="str">
        <f>CONCATENATE("(",ROUND((H40/$H42)*100,1),")")</f>
        <v>(68.3)</v>
      </c>
      <c r="K40" s="302">
        <f>B40-B30</f>
        <v>16.488000000672969</v>
      </c>
      <c r="L40" s="302">
        <f>D40-D30</f>
        <v>1.1020000001997445</v>
      </c>
      <c r="M40" s="302">
        <f>F40-F30</f>
        <v>-6.801000001178366</v>
      </c>
      <c r="N40" s="302">
        <f>SUM(K40:M40)</f>
        <v>10.788999999694347</v>
      </c>
    </row>
    <row r="41" spans="1:14" x14ac:dyDescent="0.3">
      <c r="A41" s="282" t="s">
        <v>356</v>
      </c>
      <c r="B41" s="302">
        <f>'Ind T6'!V9</f>
        <v>54.253000000313094</v>
      </c>
      <c r="C41" s="299" t="str">
        <f>CONCATENATE("(",ROUND((B41/$H42)*100,1),")")</f>
        <v>(14.1)</v>
      </c>
      <c r="D41" s="302">
        <f>'Ind T6'!W9</f>
        <v>30.806999999868708</v>
      </c>
      <c r="E41" s="299" t="str">
        <f>CONCATENATE("(",ROUND((D41/$H42)*100,1),")")</f>
        <v>(8)</v>
      </c>
      <c r="F41" s="302">
        <f>'Ind T6'!X9</f>
        <v>36.911999999650625</v>
      </c>
      <c r="G41" s="299" t="str">
        <f>CONCATENATE("(",ROUND((F41/$H42)*100,1),")")</f>
        <v>(9.6)</v>
      </c>
      <c r="H41" s="302">
        <f t="shared" ref="H41" si="46">SUM(B41,D41,F41)</f>
        <v>121.97199999983243</v>
      </c>
      <c r="I41" s="299" t="str">
        <f>CONCATENATE("(",ROUND((H41/$H42)*100,1),")")</f>
        <v>(31.7)</v>
      </c>
      <c r="K41" s="302">
        <f t="shared" ref="K41:K42" si="47">B41-B31</f>
        <v>1.4940000003068192</v>
      </c>
      <c r="L41" s="302">
        <f t="shared" ref="L41:L42" si="48">D41-D31</f>
        <v>-2.0440000002187872</v>
      </c>
      <c r="M41" s="302">
        <f t="shared" ref="M41:M42" si="49">F41-F31</f>
        <v>2.9370000003236925</v>
      </c>
      <c r="N41" s="302">
        <f t="shared" ref="N41:N42" si="50">SUM(K41:M41)</f>
        <v>2.3870000004117244</v>
      </c>
    </row>
    <row r="42" spans="1:14" x14ac:dyDescent="0.3">
      <c r="A42" s="282" t="s">
        <v>354</v>
      </c>
      <c r="B42" s="302">
        <f>SUM(B40:B41)</f>
        <v>184.59100000114654</v>
      </c>
      <c r="C42" s="299" t="str">
        <f>CONCATENATE("(",ROUND((B42/$H42)*100,1),")")</f>
        <v>(47.9)</v>
      </c>
      <c r="D42" s="302">
        <f>SUM(D40:D41)</f>
        <v>51.450000000003122</v>
      </c>
      <c r="E42" s="299" t="str">
        <f>CONCATENATE("(",ROUND((D42/$H42)*100,1),")")</f>
        <v>(13.4)</v>
      </c>
      <c r="F42" s="302">
        <f>SUM(F40:F41)</f>
        <v>149.1369999959509</v>
      </c>
      <c r="G42" s="299" t="str">
        <f>CONCATENATE("(",ROUND((F42/$H42)*100,1),")")</f>
        <v>(38.7)</v>
      </c>
      <c r="H42" s="302">
        <f>SUM(H40:H41)</f>
        <v>385.17799999710053</v>
      </c>
      <c r="I42" s="299" t="str">
        <f>CONCATENATE("(",ROUND((H42/$H42)*100,1),")")</f>
        <v>(100)</v>
      </c>
      <c r="K42" s="302">
        <f t="shared" si="47"/>
        <v>17.982000000979781</v>
      </c>
      <c r="L42" s="302">
        <f t="shared" si="48"/>
        <v>-0.94200000001904272</v>
      </c>
      <c r="M42" s="302">
        <f t="shared" si="49"/>
        <v>-3.8640000008546735</v>
      </c>
      <c r="N42" s="302">
        <f t="shared" si="50"/>
        <v>13.176000000106065</v>
      </c>
    </row>
    <row r="43" spans="1:14" x14ac:dyDescent="0.3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3">
      <c r="C46" s="181"/>
      <c r="E46" s="181"/>
      <c r="G46" s="181"/>
      <c r="I46" s="181"/>
    </row>
    <row r="47" spans="1:14" x14ac:dyDescent="0.3">
      <c r="A47" s="288"/>
      <c r="B47" s="289" t="s">
        <v>379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3">
      <c r="N48" s="287" t="s">
        <v>377</v>
      </c>
    </row>
    <row r="49" spans="1:14" x14ac:dyDescent="0.3">
      <c r="A49" s="181" t="s">
        <v>378</v>
      </c>
      <c r="B49" s="370" t="s">
        <v>376</v>
      </c>
      <c r="C49" s="370"/>
      <c r="D49" s="370" t="s">
        <v>375</v>
      </c>
      <c r="E49" s="370"/>
      <c r="F49" s="370" t="s">
        <v>374</v>
      </c>
      <c r="G49" s="370"/>
      <c r="H49" s="370" t="s">
        <v>32</v>
      </c>
      <c r="I49" s="370"/>
      <c r="J49" s="181"/>
      <c r="K49" s="297" t="s">
        <v>339</v>
      </c>
      <c r="L49" s="297" t="s">
        <v>341</v>
      </c>
      <c r="M49" s="297" t="s">
        <v>337</v>
      </c>
      <c r="N49" s="297" t="s">
        <v>32</v>
      </c>
    </row>
    <row r="50" spans="1:14" x14ac:dyDescent="0.3">
      <c r="A50" s="292">
        <f>$A$8</f>
        <v>2020</v>
      </c>
      <c r="B50" s="287" t="s">
        <v>60</v>
      </c>
      <c r="C50" s="19" t="s">
        <v>373</v>
      </c>
      <c r="D50" s="287" t="s">
        <v>60</v>
      </c>
      <c r="E50" s="19" t="s">
        <v>373</v>
      </c>
      <c r="F50" s="287" t="s">
        <v>60</v>
      </c>
      <c r="G50" s="19" t="s">
        <v>373</v>
      </c>
      <c r="H50" s="287" t="s">
        <v>60</v>
      </c>
      <c r="I50" s="19" t="s">
        <v>373</v>
      </c>
      <c r="J50" s="181"/>
      <c r="K50" s="286" t="str">
        <f>CONCATENATE(A50," - ",A55)</f>
        <v>2020 - 2025</v>
      </c>
      <c r="L50" s="285"/>
      <c r="M50" s="285"/>
    </row>
    <row r="51" spans="1:14" x14ac:dyDescent="0.3">
      <c r="A51" s="282" t="s">
        <v>355</v>
      </c>
      <c r="B51" s="302">
        <f>'Ind T6'!L20</f>
        <v>44.688999999983118</v>
      </c>
      <c r="C51" s="299" t="str">
        <f>CONCATENATE("(",ROUND((B51/$H53)*100,1),")")</f>
        <v>(72.1)</v>
      </c>
      <c r="D51" s="302">
        <f>'Ind T6'!M20</f>
        <v>1.3100000000023866</v>
      </c>
      <c r="E51" s="299" t="str">
        <f>CONCATENATE("(",ROUND((D51/$H53)*100,1),")")</f>
        <v>(2.1)</v>
      </c>
      <c r="F51" s="302">
        <f>'Ind T6'!N20</f>
        <v>4.8259999999598113</v>
      </c>
      <c r="G51" s="299" t="str">
        <f>CONCATENATE("(",ROUND((F51/$H53)*100,1),")")</f>
        <v>(7.8)</v>
      </c>
      <c r="H51" s="302">
        <f>SUM(B51,D51,F51)</f>
        <v>50.824999999945319</v>
      </c>
      <c r="I51" s="299" t="str">
        <f>CONCATENATE("(",ROUND((H51/$H53)*100,1),")")</f>
        <v>(82)</v>
      </c>
      <c r="K51" s="302">
        <f>B56-B51</f>
        <v>-5.8199999998890348</v>
      </c>
      <c r="L51" s="302">
        <f>D56-D51</f>
        <v>-0.13699999999795209</v>
      </c>
      <c r="M51" s="302">
        <f>F56-F51</f>
        <v>-0.54099999999504078</v>
      </c>
      <c r="N51" s="302">
        <f>SUM(K51:M51)</f>
        <v>-6.4979999998820279</v>
      </c>
    </row>
    <row r="52" spans="1:14" x14ac:dyDescent="0.3">
      <c r="A52" s="282" t="s">
        <v>356</v>
      </c>
      <c r="B52" s="302">
        <f>'Ind T6'!L19</f>
        <v>7.3079999999373291</v>
      </c>
      <c r="C52" s="299" t="str">
        <f>CONCATENATE("(",ROUND((B52/$H53)*100,1),")")</f>
        <v>(11.8)</v>
      </c>
      <c r="D52" s="302">
        <f>'Ind T6'!M19</f>
        <v>1.69100000001512</v>
      </c>
      <c r="E52" s="299" t="str">
        <f>CONCATENATE("(",ROUND((D52/$H53)*100,1),")")</f>
        <v>(2.7)</v>
      </c>
      <c r="F52" s="302">
        <f>'Ind T6'!N19</f>
        <v>2.1660000000100879</v>
      </c>
      <c r="G52" s="299" t="str">
        <f>CONCATENATE("(",ROUND((F52/$H53)*100,1),")")</f>
        <v>(3.5)</v>
      </c>
      <c r="H52" s="302">
        <f t="shared" ref="H52" si="51">SUM(B52,D52,F52)</f>
        <v>11.164999999962538</v>
      </c>
      <c r="I52" s="299" t="str">
        <f>CONCATENATE("(",ROUND((H52/$H53)*100,1),")")</f>
        <v>(18)</v>
      </c>
      <c r="K52" s="302">
        <f t="shared" ref="K52:K53" si="52">B57-B52</f>
        <v>-0.9679999998858495</v>
      </c>
      <c r="L52" s="302">
        <f t="shared" ref="L52:L53" si="53">D57-D52</f>
        <v>-0.19400000000376161</v>
      </c>
      <c r="M52" s="302">
        <f t="shared" ref="M52:M53" si="54">F57-F52</f>
        <v>-0.23499999998423871</v>
      </c>
      <c r="N52" s="302">
        <f t="shared" ref="N52:N53" si="55">SUM(K52:M52)</f>
        <v>-1.3969999998738498</v>
      </c>
    </row>
    <row r="53" spans="1:14" x14ac:dyDescent="0.3">
      <c r="A53" s="282" t="s">
        <v>354</v>
      </c>
      <c r="B53" s="302">
        <f>SUM(B51:B52)</f>
        <v>51.996999999920448</v>
      </c>
      <c r="C53" s="299" t="str">
        <f>CONCATENATE("(",ROUND((B53/$H53)*100,1),")")</f>
        <v>(83.9)</v>
      </c>
      <c r="D53" s="302">
        <f>SUM(D51:D52)</f>
        <v>3.0010000000175063</v>
      </c>
      <c r="E53" s="299" t="str">
        <f>CONCATENATE("(",ROUND((D53/$H53)*100,1),")")</f>
        <v>(4.8)</v>
      </c>
      <c r="F53" s="302">
        <f>SUM(F51:F52)</f>
        <v>6.9919999999698987</v>
      </c>
      <c r="G53" s="299" t="str">
        <f>CONCATENATE("(",ROUND((F53/$H53)*100,1),")")</f>
        <v>(11.3)</v>
      </c>
      <c r="H53" s="302">
        <f>SUM(H51:H52)</f>
        <v>61.989999999907859</v>
      </c>
      <c r="I53" s="299" t="str">
        <f>CONCATENATE("(",ROUND((H53/$H53)*100,1),")")</f>
        <v>(100)</v>
      </c>
      <c r="K53" s="302">
        <f t="shared" si="52"/>
        <v>-6.7879999997748826</v>
      </c>
      <c r="L53" s="302">
        <f t="shared" si="53"/>
        <v>-0.3310000000017137</v>
      </c>
      <c r="M53" s="302">
        <f t="shared" si="54"/>
        <v>-0.7759999999792786</v>
      </c>
      <c r="N53" s="302">
        <f t="shared" si="55"/>
        <v>-7.8949999997558749</v>
      </c>
    </row>
    <row r="54" spans="1:14" x14ac:dyDescent="0.3">
      <c r="B54" s="302"/>
      <c r="C54" s="284"/>
      <c r="D54" s="302"/>
      <c r="E54" s="284"/>
      <c r="F54" s="302"/>
      <c r="G54" s="284"/>
      <c r="H54" s="302"/>
      <c r="I54" s="284"/>
    </row>
    <row r="55" spans="1:14" x14ac:dyDescent="0.3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3">
      <c r="A56" s="282" t="s">
        <v>355</v>
      </c>
      <c r="B56" s="302">
        <f>'Ind T6'!Q20</f>
        <v>38.869000000094083</v>
      </c>
      <c r="C56" s="299" t="str">
        <f>CONCATENATE("(",ROUND((B56/$H58)*100,1),")")</f>
        <v>(71.9)</v>
      </c>
      <c r="D56" s="302">
        <f>'Ind T6'!R20</f>
        <v>1.1730000000044345</v>
      </c>
      <c r="E56" s="299" t="str">
        <f>CONCATENATE("(",ROUND((D56/$H58)*100,1),")")</f>
        <v>(2.2)</v>
      </c>
      <c r="F56" s="302">
        <f>'Ind T6'!S20</f>
        <v>4.2849999999647705</v>
      </c>
      <c r="G56" s="299" t="str">
        <f>CONCATENATE("(",ROUND((F56/$H58)*100,1),")")</f>
        <v>(7.9)</v>
      </c>
      <c r="H56" s="302">
        <f>SUM(B56,D56,F56)</f>
        <v>44.327000000063286</v>
      </c>
      <c r="I56" s="299" t="str">
        <f>CONCATENATE("(",ROUND((H56/$H58)*100,1),")")</f>
        <v>(81.9)</v>
      </c>
      <c r="K56" s="302">
        <f>B61-B56</f>
        <v>-5.0479999999973728</v>
      </c>
      <c r="L56" s="302">
        <f>D61-D56</f>
        <v>-0.11499999999833088</v>
      </c>
      <c r="M56" s="302">
        <f>F61-F56</f>
        <v>-0.63999999997320067</v>
      </c>
      <c r="N56" s="302">
        <f>SUM(K56:M56)</f>
        <v>-5.8029999999689039</v>
      </c>
    </row>
    <row r="57" spans="1:14" x14ac:dyDescent="0.3">
      <c r="A57" s="282" t="s">
        <v>356</v>
      </c>
      <c r="B57" s="302">
        <f>'Ind T6'!Q19</f>
        <v>6.3400000000514796</v>
      </c>
      <c r="C57" s="299" t="str">
        <f>CONCATENATE("(",ROUND((B57/$H58)*100,1),")")</f>
        <v>(11.7)</v>
      </c>
      <c r="D57" s="302">
        <f>'Ind T6'!R19</f>
        <v>1.4970000000113584</v>
      </c>
      <c r="E57" s="299" t="str">
        <f>CONCATENATE("(",ROUND((D57/$H58)*100,1),")")</f>
        <v>(2.8)</v>
      </c>
      <c r="F57" s="302">
        <f>'Ind T6'!S19</f>
        <v>1.9310000000258492</v>
      </c>
      <c r="G57" s="299" t="str">
        <f>CONCATENATE("(",ROUND((F57/$H58)*100,1),")")</f>
        <v>(3.6)</v>
      </c>
      <c r="H57" s="302">
        <f t="shared" ref="H57" si="56">SUM(B57,D57,F57)</f>
        <v>9.7680000000886871</v>
      </c>
      <c r="I57" s="299" t="str">
        <f>CONCATENATE("(",ROUND((H57/$H58)*100,1),")")</f>
        <v>(18.1)</v>
      </c>
      <c r="K57" s="302">
        <f t="shared" ref="K57:K58" si="57">B62-B57</f>
        <v>-0.99900000005341827</v>
      </c>
      <c r="L57" s="302">
        <f t="shared" ref="L57:L58" si="58">D62-D57</f>
        <v>-0.13399999998603551</v>
      </c>
      <c r="M57" s="302">
        <f t="shared" ref="M57:M58" si="59">F62-F57</f>
        <v>-0.2609999999724375</v>
      </c>
      <c r="N57" s="302">
        <f t="shared" ref="N57:N58" si="60">SUM(K57:M57)</f>
        <v>-1.3940000000118913</v>
      </c>
    </row>
    <row r="58" spans="1:14" x14ac:dyDescent="0.3">
      <c r="A58" s="282" t="s">
        <v>354</v>
      </c>
      <c r="B58" s="302">
        <f>SUM(B56:B57)</f>
        <v>45.209000000145565</v>
      </c>
      <c r="C58" s="299" t="str">
        <f>CONCATENATE("(",ROUND((B58/$H58)*100,1),")")</f>
        <v>(83.6)</v>
      </c>
      <c r="D58" s="302">
        <f>SUM(D56:D57)</f>
        <v>2.6700000000157926</v>
      </c>
      <c r="E58" s="299" t="str">
        <f>CONCATENATE("(",ROUND((D58/$H58)*100,1),")")</f>
        <v>(4.9)</v>
      </c>
      <c r="F58" s="302">
        <f>SUM(F56:F57)</f>
        <v>6.2159999999906201</v>
      </c>
      <c r="G58" s="299" t="str">
        <f>CONCATENATE("(",ROUND((F58/$H58)*100,1),")")</f>
        <v>(11.5)</v>
      </c>
      <c r="H58" s="302">
        <f>SUM(H56:H57)</f>
        <v>54.09500000015197</v>
      </c>
      <c r="I58" s="299" t="str">
        <f>CONCATENATE("(",ROUND((H58/$H58)*100,1),")")</f>
        <v>(100)</v>
      </c>
      <c r="K58" s="302">
        <f t="shared" si="57"/>
        <v>-6.0470000000507937</v>
      </c>
      <c r="L58" s="302">
        <f t="shared" si="58"/>
        <v>-0.24899999998436595</v>
      </c>
      <c r="M58" s="302">
        <f t="shared" si="59"/>
        <v>-0.90099999994563884</v>
      </c>
      <c r="N58" s="302">
        <f t="shared" si="60"/>
        <v>-7.1969999999807985</v>
      </c>
    </row>
    <row r="59" spans="1:14" x14ac:dyDescent="0.3">
      <c r="B59" s="302"/>
      <c r="C59" s="284"/>
      <c r="D59" s="302"/>
      <c r="E59" s="284"/>
      <c r="F59" s="302"/>
      <c r="G59" s="284"/>
      <c r="H59" s="302"/>
      <c r="I59" s="284"/>
    </row>
    <row r="60" spans="1:14" x14ac:dyDescent="0.3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3">
      <c r="A61" s="282" t="s">
        <v>355</v>
      </c>
      <c r="B61" s="302">
        <f>'Ind T6'!V20</f>
        <v>33.82100000009671</v>
      </c>
      <c r="C61" s="299" t="str">
        <f>CONCATENATE("(",ROUND((B61/$H63)*100,1),")")</f>
        <v>(72.1)</v>
      </c>
      <c r="D61" s="302">
        <f>'Ind T6'!W20</f>
        <v>1.0580000000061036</v>
      </c>
      <c r="E61" s="299" t="str">
        <f>CONCATENATE("(",ROUND((D61/$H63)*100,1),")")</f>
        <v>(2.3)</v>
      </c>
      <c r="F61" s="302">
        <f>'Ind T6'!X20</f>
        <v>3.6449999999915699</v>
      </c>
      <c r="G61" s="299" t="str">
        <f>CONCATENATE("(",ROUND((F61/$H63)*100,1),")")</f>
        <v>(7.8)</v>
      </c>
      <c r="H61" s="302">
        <f>SUM(B61,D61,F61)</f>
        <v>38.524000000094382</v>
      </c>
      <c r="I61" s="299" t="str">
        <f>CONCATENATE("(",ROUND((H61/$H63)*100,1),")")</f>
        <v>(82.1)</v>
      </c>
      <c r="K61" s="302">
        <f>B61-B51</f>
        <v>-10.867999999886408</v>
      </c>
      <c r="L61" s="302">
        <f>D61-D51</f>
        <v>-0.25199999999628298</v>
      </c>
      <c r="M61" s="302">
        <f>F61-F51</f>
        <v>-1.1809999999682415</v>
      </c>
      <c r="N61" s="302">
        <f>SUM(K61:M61)</f>
        <v>-12.300999999850932</v>
      </c>
    </row>
    <row r="62" spans="1:14" x14ac:dyDescent="0.3">
      <c r="A62" s="282" t="s">
        <v>356</v>
      </c>
      <c r="B62" s="302">
        <f>'Ind T6'!V19</f>
        <v>5.3409999999980613</v>
      </c>
      <c r="C62" s="299" t="str">
        <f>CONCATENATE("(",ROUND((B62/$H63)*100,1),")")</f>
        <v>(11.4)</v>
      </c>
      <c r="D62" s="302">
        <f>'Ind T6'!W19</f>
        <v>1.3630000000253228</v>
      </c>
      <c r="E62" s="299" t="str">
        <f>CONCATENATE("(",ROUND((D62/$H63)*100,1),")")</f>
        <v>(2.9)</v>
      </c>
      <c r="F62" s="302">
        <f>'Ind T6'!X19</f>
        <v>1.6700000000534116</v>
      </c>
      <c r="G62" s="299" t="str">
        <f>CONCATENATE("(",ROUND((F62/$H63)*100,1),")")</f>
        <v>(3.6)</v>
      </c>
      <c r="H62" s="302">
        <f t="shared" ref="H62" si="61">SUM(B62,D62,F62)</f>
        <v>8.374000000076796</v>
      </c>
      <c r="I62" s="299" t="str">
        <f>CONCATENATE("(",ROUND((H62/$H63)*100,1),")")</f>
        <v>(17.9)</v>
      </c>
      <c r="K62" s="302">
        <f t="shared" ref="K62:K63" si="62">B62-B52</f>
        <v>-1.9669999999392678</v>
      </c>
      <c r="L62" s="302">
        <f t="shared" ref="L62:L63" si="63">D62-D52</f>
        <v>-0.32799999998979712</v>
      </c>
      <c r="M62" s="302">
        <f t="shared" ref="M62:M63" si="64">F62-F52</f>
        <v>-0.49599999995667621</v>
      </c>
      <c r="N62" s="302">
        <f t="shared" ref="N62:N63" si="65">SUM(K62:M62)</f>
        <v>-2.7909999998857407</v>
      </c>
    </row>
    <row r="63" spans="1:14" x14ac:dyDescent="0.3">
      <c r="A63" s="282" t="s">
        <v>354</v>
      </c>
      <c r="B63" s="302">
        <f>SUM(B61:B62)</f>
        <v>39.162000000094771</v>
      </c>
      <c r="C63" s="299" t="str">
        <f>CONCATENATE("(",ROUND((B63/$H63)*100,1),")")</f>
        <v>(83.5)</v>
      </c>
      <c r="D63" s="302">
        <f>SUM(D61:D62)</f>
        <v>2.4210000000314267</v>
      </c>
      <c r="E63" s="299" t="str">
        <f>CONCATENATE("(",ROUND((D63/$H63)*100,1),")")</f>
        <v>(5.2)</v>
      </c>
      <c r="F63" s="302">
        <f>SUM(F61:F62)</f>
        <v>5.3150000000449813</v>
      </c>
      <c r="G63" s="299" t="str">
        <f>CONCATENATE("(",ROUND((F63/$H63)*100,1),")")</f>
        <v>(11.3)</v>
      </c>
      <c r="H63" s="302">
        <f>SUM(H61:H62)</f>
        <v>46.89800000017118</v>
      </c>
      <c r="I63" s="299" t="str">
        <f>CONCATENATE("(",ROUND((H63/$H63)*100,1),")")</f>
        <v>(100)</v>
      </c>
      <c r="K63" s="302">
        <f t="shared" si="62"/>
        <v>-12.834999999825676</v>
      </c>
      <c r="L63" s="302">
        <f t="shared" si="63"/>
        <v>-0.57999999998607965</v>
      </c>
      <c r="M63" s="302">
        <f t="shared" si="64"/>
        <v>-1.6769999999249174</v>
      </c>
      <c r="N63" s="302">
        <f t="shared" si="65"/>
        <v>-15.091999999736672</v>
      </c>
    </row>
    <row r="64" spans="1:14" x14ac:dyDescent="0.3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3">
      <c r="A68" s="288"/>
      <c r="B68" s="289" t="s">
        <v>379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3">
      <c r="N69" s="287" t="s">
        <v>377</v>
      </c>
    </row>
    <row r="70" spans="1:14" x14ac:dyDescent="0.3">
      <c r="A70" s="181" t="s">
        <v>378</v>
      </c>
      <c r="B70" s="370" t="s">
        <v>376</v>
      </c>
      <c r="C70" s="370"/>
      <c r="D70" s="370" t="s">
        <v>375</v>
      </c>
      <c r="E70" s="370"/>
      <c r="F70" s="370" t="s">
        <v>374</v>
      </c>
      <c r="G70" s="370"/>
      <c r="H70" s="370" t="s">
        <v>32</v>
      </c>
      <c r="I70" s="370"/>
      <c r="J70" s="181"/>
      <c r="K70" s="297" t="s">
        <v>339</v>
      </c>
      <c r="L70" s="297" t="s">
        <v>341</v>
      </c>
      <c r="M70" s="297" t="s">
        <v>337</v>
      </c>
      <c r="N70" s="297" t="s">
        <v>32</v>
      </c>
    </row>
    <row r="71" spans="1:14" x14ac:dyDescent="0.3">
      <c r="A71" s="292">
        <f>$A$8</f>
        <v>2020</v>
      </c>
      <c r="B71" s="287" t="s">
        <v>60</v>
      </c>
      <c r="C71" s="19" t="s">
        <v>373</v>
      </c>
      <c r="D71" s="287" t="s">
        <v>60</v>
      </c>
      <c r="E71" s="19" t="s">
        <v>373</v>
      </c>
      <c r="F71" s="287" t="s">
        <v>60</v>
      </c>
      <c r="G71" s="19" t="s">
        <v>373</v>
      </c>
      <c r="H71" s="287" t="s">
        <v>60</v>
      </c>
      <c r="I71" s="19" t="s">
        <v>373</v>
      </c>
      <c r="J71" s="181"/>
      <c r="K71" s="286" t="str">
        <f>CONCATENATE(A71," - ",A76)</f>
        <v>2020 - 2025</v>
      </c>
      <c r="L71" s="285"/>
      <c r="M71" s="285"/>
    </row>
    <row r="72" spans="1:14" x14ac:dyDescent="0.3">
      <c r="A72" s="282" t="s">
        <v>355</v>
      </c>
      <c r="B72" s="302">
        <f>'Ind T6'!L40</f>
        <v>262.55999999992855</v>
      </c>
      <c r="C72" s="299" t="str">
        <f>CONCATENATE("(",ROUND((B72/$H74)*100,1),")")</f>
        <v>(58.1)</v>
      </c>
      <c r="D72" s="302">
        <f>'Ind T6'!M40</f>
        <v>19.03599999986929</v>
      </c>
      <c r="E72" s="299" t="str">
        <f>CONCATENATE("(",ROUND((D72/$H74)*100,1),")")</f>
        <v>(4.2)</v>
      </c>
      <c r="F72" s="302">
        <f>'Ind T6'!N40</f>
        <v>6.5929999999701856</v>
      </c>
      <c r="G72" s="299" t="str">
        <f>CONCATENATE("(",ROUND((F72/$H74)*100,1),")")</f>
        <v>(1.5)</v>
      </c>
      <c r="H72" s="302">
        <f>SUM(B72,D72,F72)</f>
        <v>288.18899999976804</v>
      </c>
      <c r="I72" s="299" t="str">
        <f>CONCATENATE("(",ROUND((H72/$H74)*100,1),")")</f>
        <v>(63.7)</v>
      </c>
      <c r="K72" s="302">
        <f>B77-B72</f>
        <v>0.15000000116498313</v>
      </c>
      <c r="L72" s="302">
        <f>D77-D72</f>
        <v>0.38600000007139101</v>
      </c>
      <c r="M72" s="302">
        <f>F77-F72</f>
        <v>0.18499999998938677</v>
      </c>
      <c r="N72" s="302">
        <f>SUM(K72:M72)</f>
        <v>0.72100000122576091</v>
      </c>
    </row>
    <row r="73" spans="1:14" x14ac:dyDescent="0.3">
      <c r="A73" s="282" t="s">
        <v>356</v>
      </c>
      <c r="B73" s="302">
        <f>'Ind T6'!L39</f>
        <v>120.81399999953166</v>
      </c>
      <c r="C73" s="299" t="str">
        <f>CONCATENATE("(",ROUND((B73/$H74)*100,1),")")</f>
        <v>(26.7)</v>
      </c>
      <c r="D73" s="302">
        <f>'Ind T6'!M39</f>
        <v>33.945000000764892</v>
      </c>
      <c r="E73" s="299" t="str">
        <f>CONCATENATE("(",ROUND((D73/$H74)*100,1),")")</f>
        <v>(7.5)</v>
      </c>
      <c r="F73" s="302">
        <f>'Ind T6'!N39</f>
        <v>9.3139999998500329</v>
      </c>
      <c r="G73" s="299" t="str">
        <f>CONCATENATE("(",ROUND((F73/$H74)*100,1),")")</f>
        <v>(2.1)</v>
      </c>
      <c r="H73" s="302">
        <f t="shared" ref="H73" si="66">SUM(B73,D73,F73)</f>
        <v>164.07300000014661</v>
      </c>
      <c r="I73" s="299" t="str">
        <f>CONCATENATE("(",ROUND((H73/$H74)*100,1),")")</f>
        <v>(36.3)</v>
      </c>
      <c r="K73" s="302">
        <f t="shared" ref="K73:K74" si="67">B78-B73</f>
        <v>5.655000003959799</v>
      </c>
      <c r="L73" s="302">
        <f t="shared" ref="L73:L74" si="68">D78-D73</f>
        <v>0.52800000047287909</v>
      </c>
      <c r="M73" s="302">
        <f t="shared" ref="M73:M74" si="69">F78-F73</f>
        <v>0.21800000014839682</v>
      </c>
      <c r="N73" s="302">
        <f t="shared" ref="N73:N74" si="70">SUM(K73:M73)</f>
        <v>6.4010000045810749</v>
      </c>
    </row>
    <row r="74" spans="1:14" x14ac:dyDescent="0.3">
      <c r="A74" s="282" t="s">
        <v>354</v>
      </c>
      <c r="B74" s="302">
        <f>SUM(B72:B73)</f>
        <v>383.37399999946024</v>
      </c>
      <c r="C74" s="299" t="str">
        <f>CONCATENATE("(",ROUND((B74/$H74)*100,1),")")</f>
        <v>(84.8)</v>
      </c>
      <c r="D74" s="302">
        <f>SUM(D72:D73)</f>
        <v>52.981000000634182</v>
      </c>
      <c r="E74" s="299" t="str">
        <f>CONCATENATE("(",ROUND((D74/$H74)*100,1),")")</f>
        <v>(11.7)</v>
      </c>
      <c r="F74" s="302">
        <f>SUM(F72:F73)</f>
        <v>15.906999999820219</v>
      </c>
      <c r="G74" s="299" t="str">
        <f>CONCATENATE("(",ROUND((F74/$H74)*100,1),")")</f>
        <v>(3.5)</v>
      </c>
      <c r="H74" s="302">
        <f>SUM(H72:H73)</f>
        <v>452.26199999991468</v>
      </c>
      <c r="I74" s="299" t="str">
        <f>CONCATENATE("(",ROUND((H74/$H74)*100,1),")")</f>
        <v>(100)</v>
      </c>
      <c r="K74" s="302">
        <f t="shared" si="67"/>
        <v>5.8050000051247252</v>
      </c>
      <c r="L74" s="302">
        <f t="shared" si="68"/>
        <v>0.91400000054427011</v>
      </c>
      <c r="M74" s="302">
        <f t="shared" si="69"/>
        <v>0.40300000013778359</v>
      </c>
      <c r="N74" s="302">
        <f t="shared" si="70"/>
        <v>7.1220000058067789</v>
      </c>
    </row>
    <row r="75" spans="1:14" x14ac:dyDescent="0.3">
      <c r="B75" s="302"/>
      <c r="C75" s="284"/>
      <c r="D75" s="302"/>
      <c r="E75" s="284"/>
      <c r="F75" s="302"/>
      <c r="G75" s="284"/>
      <c r="H75" s="302"/>
      <c r="I75" s="284"/>
    </row>
    <row r="76" spans="1:14" x14ac:dyDescent="0.3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3">
      <c r="A77" s="282" t="s">
        <v>355</v>
      </c>
      <c r="B77" s="302">
        <f>'Ind T6'!Q40</f>
        <v>262.71000000109353</v>
      </c>
      <c r="C77" s="299" t="str">
        <f>CONCATENATE("(",ROUND((B77/$H79)*100,1),")")</f>
        <v>(57.2)</v>
      </c>
      <c r="D77" s="302">
        <f>'Ind T6'!R40</f>
        <v>19.421999999940681</v>
      </c>
      <c r="E77" s="299" t="str">
        <f>CONCATENATE("(",ROUND((D77/$H79)*100,1),")")</f>
        <v>(4.2)</v>
      </c>
      <c r="F77" s="302">
        <f>'Ind T6'!S40</f>
        <v>6.7779999999595724</v>
      </c>
      <c r="G77" s="299" t="str">
        <f>CONCATENATE("(",ROUND((F77/$H79)*100,1),")")</f>
        <v>(1.5)</v>
      </c>
      <c r="H77" s="302">
        <f>SUM(B77,D77,F77)</f>
        <v>288.91000000099376</v>
      </c>
      <c r="I77" s="299" t="str">
        <f>CONCATENATE("(",ROUND((H77/$H79)*100,1),")")</f>
        <v>(62.9)</v>
      </c>
      <c r="K77" s="302">
        <f>B82-B77</f>
        <v>-13.392999999903878</v>
      </c>
      <c r="L77" s="302">
        <f>D82-D77</f>
        <v>-0.27500000000651781</v>
      </c>
      <c r="M77" s="302">
        <f>F82-F77</f>
        <v>0.10800000001256649</v>
      </c>
      <c r="N77" s="302">
        <f>SUM(K77:M77)</f>
        <v>-13.55999999989783</v>
      </c>
    </row>
    <row r="78" spans="1:14" x14ac:dyDescent="0.3">
      <c r="A78" s="282" t="s">
        <v>356</v>
      </c>
      <c r="B78" s="302">
        <f>'Ind T6'!Q39</f>
        <v>126.46900000349146</v>
      </c>
      <c r="C78" s="299" t="str">
        <f>CONCATENATE("(",ROUND((B78/$H79)*100,1),")")</f>
        <v>(27.5)</v>
      </c>
      <c r="D78" s="302">
        <f>'Ind T6'!R39</f>
        <v>34.473000001237772</v>
      </c>
      <c r="E78" s="299" t="str">
        <f>CONCATENATE("(",ROUND((D78/$H79)*100,1),")")</f>
        <v>(7.5)</v>
      </c>
      <c r="F78" s="302">
        <f>'Ind T6'!S39</f>
        <v>9.5319999999984297</v>
      </c>
      <c r="G78" s="299" t="str">
        <f>CONCATENATE("(",ROUND((F78/$H79)*100,1),")")</f>
        <v>(2.1)</v>
      </c>
      <c r="H78" s="302">
        <f t="shared" ref="H78" si="71">SUM(B78,D78,F78)</f>
        <v>170.47400000472766</v>
      </c>
      <c r="I78" s="299" t="str">
        <f>CONCATENATE("(",ROUND((H78/$H79)*100,1),")")</f>
        <v>(37.1)</v>
      </c>
      <c r="K78" s="302">
        <f t="shared" ref="K78:K79" si="72">B83-B78</f>
        <v>4.1049999960141008</v>
      </c>
      <c r="L78" s="302">
        <f t="shared" ref="L78:L79" si="73">D83-D78</f>
        <v>-0.88500000147318758</v>
      </c>
      <c r="M78" s="302">
        <f t="shared" ref="M78:M79" si="74">F83-F78</f>
        <v>-0.15799999998397851</v>
      </c>
      <c r="N78" s="302">
        <f t="shared" ref="N78:N79" si="75">SUM(K78:M78)</f>
        <v>3.0619999945569347</v>
      </c>
    </row>
    <row r="79" spans="1:14" x14ac:dyDescent="0.3">
      <c r="A79" s="282" t="s">
        <v>354</v>
      </c>
      <c r="B79" s="302">
        <f>SUM(B77:B78)</f>
        <v>389.17900000458496</v>
      </c>
      <c r="C79" s="299" t="str">
        <f>CONCATENATE("(",ROUND((B79/$H79)*100,1),")")</f>
        <v>(84.7)</v>
      </c>
      <c r="D79" s="302">
        <f>SUM(D77:D78)</f>
        <v>53.895000001178452</v>
      </c>
      <c r="E79" s="299" t="str">
        <f>CONCATENATE("(",ROUND((D79/$H79)*100,1),")")</f>
        <v>(11.7)</v>
      </c>
      <c r="F79" s="302">
        <f>SUM(F77:F78)</f>
        <v>16.309999999958002</v>
      </c>
      <c r="G79" s="299" t="str">
        <f>CONCATENATE("(",ROUND((F79/$H79)*100,1),")")</f>
        <v>(3.6)</v>
      </c>
      <c r="H79" s="302">
        <f>SUM(H77:H78)</f>
        <v>459.38400000572142</v>
      </c>
      <c r="I79" s="299" t="str">
        <f>CONCATENATE("(",ROUND((H79/$H79)*100,1),")")</f>
        <v>(100)</v>
      </c>
      <c r="K79" s="302">
        <f t="shared" si="72"/>
        <v>-9.2880000038897492</v>
      </c>
      <c r="L79" s="302">
        <f t="shared" si="73"/>
        <v>-1.1600000014797089</v>
      </c>
      <c r="M79" s="302">
        <f t="shared" si="74"/>
        <v>-4.9999999971412024E-2</v>
      </c>
      <c r="N79" s="302">
        <f t="shared" si="75"/>
        <v>-10.49800000534087</v>
      </c>
    </row>
    <row r="80" spans="1:14" x14ac:dyDescent="0.3">
      <c r="B80" s="302"/>
      <c r="C80" s="284"/>
      <c r="D80" s="302"/>
      <c r="E80" s="284"/>
      <c r="F80" s="302"/>
      <c r="G80" s="284"/>
      <c r="H80" s="302"/>
      <c r="I80" s="284"/>
    </row>
    <row r="81" spans="1:14" x14ac:dyDescent="0.3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3">
      <c r="A82" s="282" t="s">
        <v>355</v>
      </c>
      <c r="B82" s="302">
        <f>'Ind T6'!V40</f>
        <v>249.31700000118965</v>
      </c>
      <c r="C82" s="299" t="str">
        <f>CONCATENATE("(",ROUND((B82/$H84)*100,1),")")</f>
        <v>(55.5)</v>
      </c>
      <c r="D82" s="302">
        <f>'Ind T6'!W40</f>
        <v>19.146999999934163</v>
      </c>
      <c r="E82" s="299" t="str">
        <f>CONCATENATE("(",ROUND((D82/$H84)*100,1),")")</f>
        <v>(4.3)</v>
      </c>
      <c r="F82" s="302">
        <f>'Ind T6'!X40</f>
        <v>6.8859999999721389</v>
      </c>
      <c r="G82" s="299" t="str">
        <f>CONCATENATE("(",ROUND((F82/$H84)*100,1),")")</f>
        <v>(1.5)</v>
      </c>
      <c r="H82" s="302">
        <f>SUM(B82,D82,F82)</f>
        <v>275.35000000109591</v>
      </c>
      <c r="I82" s="299" t="str">
        <f>CONCATENATE("(",ROUND((H82/$H84)*100,1),")")</f>
        <v>(61.3)</v>
      </c>
      <c r="K82" s="302">
        <f>B82-B72</f>
        <v>-13.242999998738895</v>
      </c>
      <c r="L82" s="302">
        <f>D82-D72</f>
        <v>0.11100000006487321</v>
      </c>
      <c r="M82" s="302">
        <f>F82-F72</f>
        <v>0.29300000000195325</v>
      </c>
      <c r="N82" s="302">
        <f>SUM(K82:M82)</f>
        <v>-12.838999998672069</v>
      </c>
    </row>
    <row r="83" spans="1:14" x14ac:dyDescent="0.3">
      <c r="A83" s="282" t="s">
        <v>356</v>
      </c>
      <c r="B83" s="302">
        <f>'Ind T6'!V39</f>
        <v>130.57399999950556</v>
      </c>
      <c r="C83" s="299" t="str">
        <f>CONCATENATE("(",ROUND((B83/$H84)*100,1),")")</f>
        <v>(29.1)</v>
      </c>
      <c r="D83" s="302">
        <f>'Ind T6'!W39</f>
        <v>33.587999999764584</v>
      </c>
      <c r="E83" s="299" t="str">
        <f>CONCATENATE("(",ROUND((D83/$H84)*100,1),")")</f>
        <v>(7.5)</v>
      </c>
      <c r="F83" s="302">
        <f>'Ind T6'!X39</f>
        <v>9.3740000000144512</v>
      </c>
      <c r="G83" s="299" t="str">
        <f>CONCATENATE("(",ROUND((F83/$H84)*100,1),")")</f>
        <v>(2.1)</v>
      </c>
      <c r="H83" s="302">
        <f t="shared" ref="H83" si="76">SUM(B83,D83,F83)</f>
        <v>173.5359999992846</v>
      </c>
      <c r="I83" s="299" t="str">
        <f>CONCATENATE("(",ROUND((H83/$H84)*100,1),")")</f>
        <v>(38.7)</v>
      </c>
      <c r="K83" s="302">
        <f t="shared" ref="K83:K84" si="77">B83-B73</f>
        <v>9.7599999999738998</v>
      </c>
      <c r="L83" s="302">
        <f t="shared" ref="L83:L84" si="78">D83-D73</f>
        <v>-0.35700000100030849</v>
      </c>
      <c r="M83" s="302">
        <f t="shared" ref="M83:M84" si="79">F83-F73</f>
        <v>6.000000016441831E-2</v>
      </c>
      <c r="N83" s="302">
        <f t="shared" ref="N83:N84" si="80">SUM(K83:M83)</f>
        <v>9.4629999991380096</v>
      </c>
    </row>
    <row r="84" spans="1:14" x14ac:dyDescent="0.3">
      <c r="A84" s="282" t="s">
        <v>354</v>
      </c>
      <c r="B84" s="302">
        <f>SUM(B82:B83)</f>
        <v>379.89100000069521</v>
      </c>
      <c r="C84" s="299" t="str">
        <f>CONCATENATE("(",ROUND((B84/$H84)*100,1),")")</f>
        <v>(84.6)</v>
      </c>
      <c r="D84" s="302">
        <f>SUM(D82:D83)</f>
        <v>52.734999999698744</v>
      </c>
      <c r="E84" s="299" t="str">
        <f>CONCATENATE("(",ROUND((D84/$H84)*100,1),")")</f>
        <v>(11.7)</v>
      </c>
      <c r="F84" s="302">
        <f>SUM(F82:F83)</f>
        <v>16.25999999998659</v>
      </c>
      <c r="G84" s="299" t="str">
        <f>CONCATENATE("(",ROUND((F84/$H84)*100,1),")")</f>
        <v>(3.6)</v>
      </c>
      <c r="H84" s="302">
        <f>SUM(H82:H83)</f>
        <v>448.88600000038048</v>
      </c>
      <c r="I84" s="299" t="str">
        <f>CONCATENATE("(",ROUND((H84/$H84)*100,1),")")</f>
        <v>(100)</v>
      </c>
      <c r="K84" s="302">
        <f t="shared" si="77"/>
        <v>-3.482999998765024</v>
      </c>
      <c r="L84" s="302">
        <f t="shared" si="78"/>
        <v>-0.24600000093543883</v>
      </c>
      <c r="M84" s="302">
        <f t="shared" si="79"/>
        <v>0.35300000016637156</v>
      </c>
      <c r="N84" s="302">
        <f t="shared" si="80"/>
        <v>-3.3759999995340912</v>
      </c>
    </row>
    <row r="85" spans="1:14" x14ac:dyDescent="0.3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3">
      <c r="A89" s="288"/>
      <c r="B89" s="289" t="s">
        <v>379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3">
      <c r="N90" s="287" t="s">
        <v>377</v>
      </c>
    </row>
    <row r="91" spans="1:14" x14ac:dyDescent="0.3">
      <c r="A91" s="181" t="s">
        <v>378</v>
      </c>
      <c r="B91" s="370" t="s">
        <v>376</v>
      </c>
      <c r="C91" s="370"/>
      <c r="D91" s="370" t="s">
        <v>375</v>
      </c>
      <c r="E91" s="370"/>
      <c r="F91" s="370" t="s">
        <v>374</v>
      </c>
      <c r="G91" s="370"/>
      <c r="H91" s="370" t="s">
        <v>32</v>
      </c>
      <c r="I91" s="370"/>
      <c r="J91" s="181"/>
      <c r="K91" s="297" t="s">
        <v>339</v>
      </c>
      <c r="L91" s="297" t="s">
        <v>341</v>
      </c>
      <c r="M91" s="297" t="s">
        <v>337</v>
      </c>
      <c r="N91" s="297" t="s">
        <v>32</v>
      </c>
    </row>
    <row r="92" spans="1:14" x14ac:dyDescent="0.3">
      <c r="A92" s="292">
        <f>$A$8</f>
        <v>2020</v>
      </c>
      <c r="B92" s="287" t="s">
        <v>60</v>
      </c>
      <c r="C92" s="19" t="s">
        <v>373</v>
      </c>
      <c r="D92" s="287" t="s">
        <v>60</v>
      </c>
      <c r="E92" s="19" t="s">
        <v>373</v>
      </c>
      <c r="F92" s="287" t="s">
        <v>60</v>
      </c>
      <c r="G92" s="19" t="s">
        <v>373</v>
      </c>
      <c r="H92" s="287" t="s">
        <v>60</v>
      </c>
      <c r="I92" s="19" t="s">
        <v>373</v>
      </c>
      <c r="J92" s="181"/>
      <c r="K92" s="286" t="str">
        <f>CONCATENATE(A92," - ",A97)</f>
        <v>2020 - 2025</v>
      </c>
      <c r="L92" s="285"/>
      <c r="M92" s="285"/>
    </row>
    <row r="93" spans="1:14" x14ac:dyDescent="0.3">
      <c r="A93" s="282" t="s">
        <v>355</v>
      </c>
      <c r="B93" s="302">
        <f>'Ind T6'!L65</f>
        <v>269.29199999944802</v>
      </c>
      <c r="C93" s="299" t="str">
        <f>CONCATENATE("(",ROUND((B93/$H95)*100,1),")")</f>
        <v>(70.1)</v>
      </c>
      <c r="D93" s="302">
        <f>'Ind T6'!M65</f>
        <v>10.934999999973556</v>
      </c>
      <c r="E93" s="299" t="str">
        <f>CONCATENATE("(",ROUND((D93/$H95)*100,1),")")</f>
        <v>(2.8)</v>
      </c>
      <c r="F93" s="302">
        <f>'Ind T6'!N65</f>
        <v>11.240000000019023</v>
      </c>
      <c r="G93" s="299" t="str">
        <f>CONCATENATE("(",ROUND((F93/$H95)*100,1),")")</f>
        <v>(2.9)</v>
      </c>
      <c r="H93" s="302">
        <f>SUM(B93,D93,F93)</f>
        <v>291.46699999944065</v>
      </c>
      <c r="I93" s="299" t="str">
        <f>CONCATENATE("(",ROUND((H93/$H95)*100,1),")")</f>
        <v>(75.9)</v>
      </c>
      <c r="K93" s="302">
        <f>B98-B93</f>
        <v>6.8310000008241332</v>
      </c>
      <c r="L93" s="302">
        <f>D98-D93</f>
        <v>0.51700000000874979</v>
      </c>
      <c r="M93" s="302">
        <f>F98-F93</f>
        <v>0.71499999998792774</v>
      </c>
      <c r="N93" s="302">
        <f>SUM(K93:M93)</f>
        <v>8.0630000008208107</v>
      </c>
    </row>
    <row r="94" spans="1:14" x14ac:dyDescent="0.3">
      <c r="A94" s="282" t="s">
        <v>356</v>
      </c>
      <c r="B94" s="302">
        <f>'Ind T6'!L64</f>
        <v>69.054999999415529</v>
      </c>
      <c r="C94" s="299" t="str">
        <f>CONCATENATE("(",ROUND((B94/$H95)*100,1),")")</f>
        <v>(18)</v>
      </c>
      <c r="D94" s="302">
        <f>'Ind T6'!M64</f>
        <v>16.010000000139268</v>
      </c>
      <c r="E94" s="299" t="str">
        <f>CONCATENATE("(",ROUND((D94/$H95)*100,1),")")</f>
        <v>(4.2)</v>
      </c>
      <c r="F94" s="302">
        <f>'Ind T6'!N64</f>
        <v>7.6539999999198747</v>
      </c>
      <c r="G94" s="299" t="str">
        <f>CONCATENATE("(",ROUND((F94/$H95)*100,1),")")</f>
        <v>(2)</v>
      </c>
      <c r="H94" s="302">
        <f t="shared" ref="H94" si="81">SUM(B94,D94,F94)</f>
        <v>92.718999999474676</v>
      </c>
      <c r="I94" s="299" t="str">
        <f>CONCATENATE("(",ROUND((H94/$H95)*100,1),")")</f>
        <v>(24.1)</v>
      </c>
      <c r="K94" s="302">
        <f t="shared" ref="K94:K95" si="82">B99-B94</f>
        <v>0.65800000181674534</v>
      </c>
      <c r="L94" s="302">
        <f t="shared" ref="L94:L95" si="83">D99-D94</f>
        <v>0.25300000010129864</v>
      </c>
      <c r="M94" s="302">
        <f t="shared" ref="M94:M95" si="84">F99-F94</f>
        <v>0.25400000006626922</v>
      </c>
      <c r="N94" s="302">
        <f t="shared" ref="N94:N95" si="85">SUM(K94:M94)</f>
        <v>1.1650000019843132</v>
      </c>
    </row>
    <row r="95" spans="1:14" x14ac:dyDescent="0.3">
      <c r="A95" s="282" t="s">
        <v>354</v>
      </c>
      <c r="B95" s="302">
        <f>SUM(B93:B94)</f>
        <v>338.34699999886357</v>
      </c>
      <c r="C95" s="299" t="str">
        <f>CONCATENATE("(",ROUND((B95/$H95)*100,1),")")</f>
        <v>(88.1)</v>
      </c>
      <c r="D95" s="302">
        <f>SUM(D93:D94)</f>
        <v>26.945000000112824</v>
      </c>
      <c r="E95" s="299" t="str">
        <f>CONCATENATE("(",ROUND((D95/$H95)*100,1),")")</f>
        <v>(7)</v>
      </c>
      <c r="F95" s="302">
        <f>SUM(F93:F94)</f>
        <v>18.893999999938899</v>
      </c>
      <c r="G95" s="299" t="str">
        <f>CONCATENATE("(",ROUND((F95/$H95)*100,1),")")</f>
        <v>(4.9)</v>
      </c>
      <c r="H95" s="302">
        <f>SUM(H93:H94)</f>
        <v>384.18599999891535</v>
      </c>
      <c r="I95" s="299" t="str">
        <f>CONCATENATE("(",ROUND((H95/$H95)*100,1),")")</f>
        <v>(100)</v>
      </c>
      <c r="K95" s="302">
        <f t="shared" si="82"/>
        <v>7.4890000026408643</v>
      </c>
      <c r="L95" s="302">
        <f t="shared" si="83"/>
        <v>0.77000000011004843</v>
      </c>
      <c r="M95" s="302">
        <f t="shared" si="84"/>
        <v>0.96900000005419429</v>
      </c>
      <c r="N95" s="302">
        <f t="shared" si="85"/>
        <v>9.228000002805107</v>
      </c>
    </row>
    <row r="96" spans="1:14" x14ac:dyDescent="0.3">
      <c r="B96" s="302"/>
      <c r="C96" s="284"/>
      <c r="D96" s="302"/>
      <c r="E96" s="284"/>
      <c r="F96" s="302"/>
      <c r="G96" s="284"/>
      <c r="H96" s="302"/>
      <c r="I96" s="284"/>
    </row>
    <row r="97" spans="1:14" x14ac:dyDescent="0.3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3">
      <c r="A98" s="282" t="s">
        <v>355</v>
      </c>
      <c r="B98" s="302">
        <f>'Ind T6'!Q65</f>
        <v>276.12300000027216</v>
      </c>
      <c r="C98" s="299" t="str">
        <f>CONCATENATE("(",ROUND((B98/$H100)*100,1),")")</f>
        <v>(70.2)</v>
      </c>
      <c r="D98" s="302">
        <f>'Ind T6'!R65</f>
        <v>11.451999999982306</v>
      </c>
      <c r="E98" s="299" t="str">
        <f>CONCATENATE("(",ROUND((D98/$H100)*100,1),")")</f>
        <v>(2.9)</v>
      </c>
      <c r="F98" s="302">
        <f>'Ind T6'!S65</f>
        <v>11.955000000006951</v>
      </c>
      <c r="G98" s="299" t="str">
        <f>CONCATENATE("(",ROUND((F98/$H100)*100,1),")")</f>
        <v>(3)</v>
      </c>
      <c r="H98" s="302">
        <f>SUM(B98,D98,F98)</f>
        <v>299.53000000026145</v>
      </c>
      <c r="I98" s="299" t="str">
        <f>CONCATENATE("(",ROUND((H98/$H100)*100,1),")")</f>
        <v>(76.1)</v>
      </c>
      <c r="K98" s="302">
        <f>B103-B98</f>
        <v>-30.745999999857133</v>
      </c>
      <c r="L98" s="302">
        <f>D103-D98</f>
        <v>-0.70100000001794527</v>
      </c>
      <c r="M98" s="302">
        <f>F103-F98</f>
        <v>-0.69899999998392204</v>
      </c>
      <c r="N98" s="302">
        <f>SUM(K98:M98)</f>
        <v>-32.145999999859001</v>
      </c>
    </row>
    <row r="99" spans="1:14" x14ac:dyDescent="0.3">
      <c r="A99" s="282" t="s">
        <v>356</v>
      </c>
      <c r="B99" s="302">
        <f>'Ind T6'!Q64</f>
        <v>69.713000001232274</v>
      </c>
      <c r="C99" s="299" t="str">
        <f>CONCATENATE("(",ROUND((B99/$H100)*100,1),")")</f>
        <v>(17.7)</v>
      </c>
      <c r="D99" s="302">
        <f>'Ind T6'!R64</f>
        <v>16.263000000240567</v>
      </c>
      <c r="E99" s="299" t="str">
        <f>CONCATENATE("(",ROUND((D99/$H100)*100,1),")")</f>
        <v>(4.1)</v>
      </c>
      <c r="F99" s="302">
        <f>'Ind T6'!S64</f>
        <v>7.9079999999861439</v>
      </c>
      <c r="G99" s="299" t="str">
        <f>CONCATENATE("(",ROUND((F99/$H100)*100,1),")")</f>
        <v>(2)</v>
      </c>
      <c r="H99" s="302">
        <f t="shared" ref="H99" si="86">SUM(B99,D99,F99)</f>
        <v>93.884000001458986</v>
      </c>
      <c r="I99" s="299" t="str">
        <f>CONCATENATE("(",ROUND((H99/$H100)*100,1),")")</f>
        <v>(23.9)</v>
      </c>
      <c r="K99" s="302">
        <f t="shared" ref="K99:K100" si="87">B104-B99</f>
        <v>-9.4900000011502641</v>
      </c>
      <c r="L99" s="302">
        <f t="shared" ref="L99:L100" si="88">D104-D99</f>
        <v>-1.8470000003149067</v>
      </c>
      <c r="M99" s="302">
        <f t="shared" ref="M99:M100" si="89">F104-F99</f>
        <v>-0.49400000001846323</v>
      </c>
      <c r="N99" s="302">
        <f t="shared" ref="N99:N100" si="90">SUM(K99:M99)</f>
        <v>-11.831000001483634</v>
      </c>
    </row>
    <row r="100" spans="1:14" x14ac:dyDescent="0.3">
      <c r="A100" s="282" t="s">
        <v>354</v>
      </c>
      <c r="B100" s="302">
        <f>SUM(B98:B99)</f>
        <v>345.83600000150443</v>
      </c>
      <c r="C100" s="299" t="str">
        <f>CONCATENATE("(",ROUND((B100/$H100)*100,1),")")</f>
        <v>(87.9)</v>
      </c>
      <c r="D100" s="302">
        <f>SUM(D98:D99)</f>
        <v>27.715000000222872</v>
      </c>
      <c r="E100" s="299" t="str">
        <f>CONCATENATE("(",ROUND((D100/$H100)*100,1),")")</f>
        <v>(7)</v>
      </c>
      <c r="F100" s="302">
        <f>SUM(F98:F99)</f>
        <v>19.862999999993093</v>
      </c>
      <c r="G100" s="299" t="str">
        <f>CONCATENATE("(",ROUND((F100/$H100)*100,1),")")</f>
        <v>(5)</v>
      </c>
      <c r="H100" s="302">
        <f>SUM(H98:H99)</f>
        <v>393.41400000172041</v>
      </c>
      <c r="I100" s="299" t="str">
        <f>CONCATENATE("(",ROUND((H100/$H100)*100,1),")")</f>
        <v>(100)</v>
      </c>
      <c r="K100" s="302">
        <f t="shared" si="87"/>
        <v>-40.236000001007369</v>
      </c>
      <c r="L100" s="302">
        <f t="shared" si="88"/>
        <v>-2.548000000332852</v>
      </c>
      <c r="M100" s="302">
        <f t="shared" si="89"/>
        <v>-1.1930000000023853</v>
      </c>
      <c r="N100" s="302">
        <f t="shared" si="90"/>
        <v>-43.977000001342603</v>
      </c>
    </row>
    <row r="101" spans="1:14" x14ac:dyDescent="0.3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3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3">
      <c r="A103" s="282" t="s">
        <v>355</v>
      </c>
      <c r="B103" s="302">
        <f>'Ind T6'!V65</f>
        <v>245.37700000041502</v>
      </c>
      <c r="C103" s="299" t="str">
        <f>CONCATENATE("(",ROUND((B103/$H105)*100,1),")")</f>
        <v>(70.2)</v>
      </c>
      <c r="D103" s="302">
        <f>'Ind T6'!W65</f>
        <v>10.75099999996436</v>
      </c>
      <c r="E103" s="299" t="str">
        <f>CONCATENATE("(",ROUND((D103/$H105)*100,1),")")</f>
        <v>(3.1)</v>
      </c>
      <c r="F103" s="302">
        <f>'Ind T6'!X65</f>
        <v>11.256000000023029</v>
      </c>
      <c r="G103" s="299" t="str">
        <f>CONCATENATE("(",ROUND((F103/$H105)*100,1),")")</f>
        <v>(3.2)</v>
      </c>
      <c r="H103" s="302">
        <f>SUM(B103,D103,F103)</f>
        <v>267.38400000040241</v>
      </c>
      <c r="I103" s="299" t="str">
        <f>CONCATENATE("(",ROUND((H103/$H105)*100,1),")")</f>
        <v>(76.5)</v>
      </c>
      <c r="K103" s="302">
        <f>B103-B93</f>
        <v>-23.914999999033</v>
      </c>
      <c r="L103" s="302">
        <f>D103-D93</f>
        <v>-0.18400000000919547</v>
      </c>
      <c r="M103" s="302">
        <f>F103-F93</f>
        <v>1.6000000004005699E-2</v>
      </c>
      <c r="N103" s="302">
        <f>SUM(K103:M103)</f>
        <v>-24.08299999903819</v>
      </c>
    </row>
    <row r="104" spans="1:14" x14ac:dyDescent="0.3">
      <c r="A104" s="282" t="s">
        <v>356</v>
      </c>
      <c r="B104" s="302">
        <f>'Ind T6'!V64</f>
        <v>60.22300000008201</v>
      </c>
      <c r="C104" s="299" t="str">
        <f>CONCATENATE("(",ROUND((B104/$H105)*100,1),")")</f>
        <v>(17.2)</v>
      </c>
      <c r="D104" s="302">
        <f>'Ind T6'!W64</f>
        <v>14.41599999992566</v>
      </c>
      <c r="E104" s="299" t="str">
        <f>CONCATENATE("(",ROUND((D104/$H105)*100,1),")")</f>
        <v>(4.1)</v>
      </c>
      <c r="F104" s="302">
        <f>'Ind T6'!X64</f>
        <v>7.4139999999676807</v>
      </c>
      <c r="G104" s="299" t="str">
        <f>CONCATENATE("(",ROUND((F104/$H105)*100,1),")")</f>
        <v>(2.1)</v>
      </c>
      <c r="H104" s="302">
        <f t="shared" ref="H104" si="91">SUM(B104,D104,F104)</f>
        <v>82.052999999975356</v>
      </c>
      <c r="I104" s="299" t="str">
        <f>CONCATENATE("(",ROUND((H104/$H105)*100,1),")")</f>
        <v>(23.5)</v>
      </c>
      <c r="K104" s="302">
        <f t="shared" ref="K104:K105" si="92">B104-B94</f>
        <v>-8.8319999993335188</v>
      </c>
      <c r="L104" s="302">
        <f t="shared" ref="L104:L105" si="93">D104-D94</f>
        <v>-1.5940000002136081</v>
      </c>
      <c r="M104" s="302">
        <f t="shared" ref="M104:M105" si="94">F104-F94</f>
        <v>-0.23999999995219401</v>
      </c>
      <c r="N104" s="302">
        <f t="shared" ref="N104:N105" si="95">SUM(K104:M104)</f>
        <v>-10.66599999949932</v>
      </c>
    </row>
    <row r="105" spans="1:14" x14ac:dyDescent="0.3">
      <c r="A105" s="282" t="s">
        <v>354</v>
      </c>
      <c r="B105" s="302">
        <f>SUM(B103:B104)</f>
        <v>305.60000000049706</v>
      </c>
      <c r="C105" s="299" t="str">
        <f>CONCATENATE("(",ROUND((B105/$H105)*100,1),")")</f>
        <v>(87.5)</v>
      </c>
      <c r="D105" s="302">
        <f>SUM(D103:D104)</f>
        <v>25.16699999989002</v>
      </c>
      <c r="E105" s="299" t="str">
        <f>CONCATENATE("(",ROUND((D105/$H105)*100,1),")")</f>
        <v>(7.2)</v>
      </c>
      <c r="F105" s="302">
        <f>SUM(F103:F104)</f>
        <v>18.669999999990708</v>
      </c>
      <c r="G105" s="299" t="str">
        <f>CONCATENATE("(",ROUND((F105/$H105)*100,1),")")</f>
        <v>(5.3)</v>
      </c>
      <c r="H105" s="302">
        <f>SUM(H103:H104)</f>
        <v>349.43700000037779</v>
      </c>
      <c r="I105" s="299" t="str">
        <f>CONCATENATE("(",ROUND((H105/$H105)*100,1),")")</f>
        <v>(100)</v>
      </c>
      <c r="K105" s="302">
        <f t="shared" si="92"/>
        <v>-32.746999998366505</v>
      </c>
      <c r="L105" s="302">
        <f t="shared" si="93"/>
        <v>-1.7780000002228036</v>
      </c>
      <c r="M105" s="302">
        <f t="shared" si="94"/>
        <v>-0.22399999994819098</v>
      </c>
      <c r="N105" s="302">
        <f t="shared" si="95"/>
        <v>-34.748999998537499</v>
      </c>
    </row>
    <row r="106" spans="1:14" x14ac:dyDescent="0.3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3">
      <c r="A107" s="295"/>
    </row>
    <row r="109" spans="1:14" x14ac:dyDescent="0.3">
      <c r="C109" s="181"/>
      <c r="E109" s="181"/>
      <c r="G109" s="181"/>
      <c r="I109" s="181"/>
    </row>
    <row r="110" spans="1:14" x14ac:dyDescent="0.3">
      <c r="A110" s="288"/>
      <c r="B110" s="289" t="s">
        <v>379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3">
      <c r="N111" s="287" t="s">
        <v>377</v>
      </c>
    </row>
    <row r="112" spans="1:14" x14ac:dyDescent="0.3">
      <c r="A112" s="181" t="s">
        <v>378</v>
      </c>
      <c r="B112" s="370" t="s">
        <v>376</v>
      </c>
      <c r="C112" s="370"/>
      <c r="D112" s="370" t="s">
        <v>375</v>
      </c>
      <c r="E112" s="370"/>
      <c r="F112" s="370" t="s">
        <v>374</v>
      </c>
      <c r="G112" s="370"/>
      <c r="H112" s="370" t="s">
        <v>32</v>
      </c>
      <c r="I112" s="370"/>
      <c r="J112" s="181"/>
      <c r="K112" s="297" t="s">
        <v>339</v>
      </c>
      <c r="L112" s="297" t="s">
        <v>341</v>
      </c>
      <c r="M112" s="297" t="s">
        <v>337</v>
      </c>
      <c r="N112" s="297" t="s">
        <v>32</v>
      </c>
    </row>
    <row r="113" spans="1:14" x14ac:dyDescent="0.3">
      <c r="A113" s="292">
        <f>$A$8</f>
        <v>2020</v>
      </c>
      <c r="B113" s="287" t="s">
        <v>60</v>
      </c>
      <c r="C113" s="19" t="s">
        <v>373</v>
      </c>
      <c r="D113" s="287" t="s">
        <v>60</v>
      </c>
      <c r="E113" s="19" t="s">
        <v>373</v>
      </c>
      <c r="F113" s="287" t="s">
        <v>60</v>
      </c>
      <c r="G113" s="19" t="s">
        <v>373</v>
      </c>
      <c r="H113" s="287" t="s">
        <v>60</v>
      </c>
      <c r="I113" s="19" t="s">
        <v>373</v>
      </c>
      <c r="J113" s="181"/>
      <c r="K113" s="286" t="str">
        <f>CONCATENATE(A113," - ",A118)</f>
        <v>2020 - 2025</v>
      </c>
      <c r="L113" s="285"/>
      <c r="M113" s="285"/>
    </row>
    <row r="114" spans="1:14" x14ac:dyDescent="0.3">
      <c r="A114" s="282" t="s">
        <v>355</v>
      </c>
      <c r="B114" s="302">
        <f>'Ind T6'!L155</f>
        <v>1220.2249999981018</v>
      </c>
      <c r="C114" s="299" t="str">
        <f>CONCATENATE("(",ROUND((B114/$H116)*100,1),")")</f>
        <v>(68.1)</v>
      </c>
      <c r="D114" s="302">
        <f>'Ind T6'!M155</f>
        <v>64.290000000043477</v>
      </c>
      <c r="E114" s="299" t="str">
        <f>CONCATENATE("(",ROUND((D114/$H116)*100,1),")")</f>
        <v>(3.6)</v>
      </c>
      <c r="F114" s="302">
        <f>'Ind T6'!N155</f>
        <v>99.569999999699206</v>
      </c>
      <c r="G114" s="299" t="str">
        <f>CONCATENATE("(",ROUND((F114/$H116)*100,1),")")</f>
        <v>(5.6)</v>
      </c>
      <c r="H114" s="302">
        <f>SUM(B114,D114,F114)</f>
        <v>1384.0849999978443</v>
      </c>
      <c r="I114" s="299" t="str">
        <f>CONCATENATE("(",ROUND((H114/$H116)*100,1),")")</f>
        <v>(77.3)</v>
      </c>
      <c r="K114" s="302">
        <f>B119-B114</f>
        <v>-70.154999996119841</v>
      </c>
      <c r="L114" s="302">
        <f>D119-D114</f>
        <v>-3.887000000000306</v>
      </c>
      <c r="M114" s="302">
        <f>F119-F114</f>
        <v>-6.4390000006517027</v>
      </c>
      <c r="N114" s="302">
        <f>SUM(K114:M114)</f>
        <v>-80.480999996771857</v>
      </c>
    </row>
    <row r="115" spans="1:14" x14ac:dyDescent="0.3">
      <c r="A115" s="282" t="s">
        <v>356</v>
      </c>
      <c r="B115" s="302">
        <f>'Ind T6'!L154</f>
        <v>278.16599999748297</v>
      </c>
      <c r="C115" s="299" t="str">
        <f>CONCATENATE("(",ROUND((B115/$H116)*100,1),")")</f>
        <v>(15.5)</v>
      </c>
      <c r="D115" s="302">
        <f>'Ind T6'!M154</f>
        <v>86.657000001147125</v>
      </c>
      <c r="E115" s="299" t="str">
        <f>CONCATENATE("(",ROUND((D115/$H116)*100,1),")")</f>
        <v>(4.8)</v>
      </c>
      <c r="F115" s="302">
        <f>'Ind T6'!N154</f>
        <v>41.635999999505998</v>
      </c>
      <c r="G115" s="299" t="str">
        <f>CONCATENATE("(",ROUND((F115/$H116)*100,1),")")</f>
        <v>(2.3)</v>
      </c>
      <c r="H115" s="302">
        <f t="shared" ref="H115" si="96">SUM(B115,D115,F115)</f>
        <v>406.45899999813611</v>
      </c>
      <c r="I115" s="299" t="str">
        <f>CONCATENATE("(",ROUND((H115/$H116)*100,1),")")</f>
        <v>(22.7)</v>
      </c>
      <c r="K115" s="302">
        <f t="shared" ref="K115:K116" si="97">B120-B115</f>
        <v>-13.229999992168757</v>
      </c>
      <c r="L115" s="302">
        <f t="shared" ref="L115:L116" si="98">D120-D115</f>
        <v>-4.9969999996307735</v>
      </c>
      <c r="M115" s="302">
        <f t="shared" ref="M115:M116" si="99">F120-F115</f>
        <v>-4.0139999994148781</v>
      </c>
      <c r="N115" s="302">
        <f t="shared" ref="N115:N116" si="100">SUM(K115:M115)</f>
        <v>-22.240999991214409</v>
      </c>
    </row>
    <row r="116" spans="1:14" x14ac:dyDescent="0.3">
      <c r="A116" s="282" t="s">
        <v>354</v>
      </c>
      <c r="B116" s="302">
        <f>SUM(B114:B115)</f>
        <v>1498.3909999955847</v>
      </c>
      <c r="C116" s="299" t="str">
        <f>CONCATENATE("(",ROUND((B116/$H116)*100,1),")")</f>
        <v>(83.7)</v>
      </c>
      <c r="D116" s="302">
        <f>SUM(D114:D115)</f>
        <v>150.94700000119059</v>
      </c>
      <c r="E116" s="299" t="str">
        <f>CONCATENATE("(",ROUND((D116/$H116)*100,1),")")</f>
        <v>(8.4)</v>
      </c>
      <c r="F116" s="302">
        <f>SUM(F114:F115)</f>
        <v>141.2059999992052</v>
      </c>
      <c r="G116" s="299" t="str">
        <f>CONCATENATE("(",ROUND((F116/$H116)*100,1),")")</f>
        <v>(7.9)</v>
      </c>
      <c r="H116" s="302">
        <f>SUM(H114:H115)</f>
        <v>1790.5439999959804</v>
      </c>
      <c r="I116" s="299" t="str">
        <f>CONCATENATE("(",ROUND((H116/$H116)*100,1),")")</f>
        <v>(100)</v>
      </c>
      <c r="K116" s="302">
        <f t="shared" si="97"/>
        <v>-83.384999988288428</v>
      </c>
      <c r="L116" s="302">
        <f t="shared" si="98"/>
        <v>-8.8839999996310723</v>
      </c>
      <c r="M116" s="302">
        <f t="shared" si="99"/>
        <v>-10.453000000066567</v>
      </c>
      <c r="N116" s="302">
        <f t="shared" si="100"/>
        <v>-102.72199998798607</v>
      </c>
    </row>
    <row r="117" spans="1:14" x14ac:dyDescent="0.3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3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3">
      <c r="A119" s="282" t="s">
        <v>355</v>
      </c>
      <c r="B119" s="302">
        <f>'Ind T6'!Q155</f>
        <v>1150.070000001982</v>
      </c>
      <c r="C119" s="299" t="str">
        <f>CONCATENATE("(",ROUND((B119/$H121)*100,1),")")</f>
        <v>(68.1)</v>
      </c>
      <c r="D119" s="302">
        <f>'Ind T6'!R155</f>
        <v>60.403000000043171</v>
      </c>
      <c r="E119" s="299" t="str">
        <f>CONCATENATE("(",ROUND((D119/$H121)*100,1),")")</f>
        <v>(3.6)</v>
      </c>
      <c r="F119" s="302">
        <f>'Ind T6'!S155</f>
        <v>93.130999999047503</v>
      </c>
      <c r="G119" s="299" t="str">
        <f>CONCATENATE("(",ROUND((F119/$H121)*100,1),")")</f>
        <v>(5.5)</v>
      </c>
      <c r="H119" s="302">
        <f>SUM(B119,D119,F119)</f>
        <v>1303.6040000010726</v>
      </c>
      <c r="I119" s="299" t="str">
        <f>CONCATENATE("(",ROUND((H119/$H121)*100,1),")")</f>
        <v>(77.2)</v>
      </c>
      <c r="K119" s="302">
        <f>B124-B119</f>
        <v>-106.26399999987575</v>
      </c>
      <c r="L119" s="302">
        <f>D124-D119</f>
        <v>-5.0889999999370588</v>
      </c>
      <c r="M119" s="302">
        <f>F124-F119</f>
        <v>-5.3029999995319486</v>
      </c>
      <c r="N119" s="302">
        <f>SUM(K119:M119)</f>
        <v>-116.65599999934476</v>
      </c>
    </row>
    <row r="120" spans="1:14" x14ac:dyDescent="0.3">
      <c r="A120" s="282" t="s">
        <v>356</v>
      </c>
      <c r="B120" s="302">
        <f>'Ind T6'!Q154</f>
        <v>264.93600000531421</v>
      </c>
      <c r="C120" s="299" t="str">
        <f>CONCATENATE("(",ROUND((B120/$H121)*100,1),")")</f>
        <v>(15.7)</v>
      </c>
      <c r="D120" s="302">
        <f>'Ind T6'!R154</f>
        <v>81.660000001516352</v>
      </c>
      <c r="E120" s="299" t="str">
        <f>CONCATENATE("(",ROUND((D120/$H121)*100,1),")")</f>
        <v>(4.8)</v>
      </c>
      <c r="F120" s="302">
        <f>'Ind T6'!S154</f>
        <v>37.62200000009112</v>
      </c>
      <c r="G120" s="299" t="str">
        <f>CONCATENATE("(",ROUND((F120/$H121)*100,1),")")</f>
        <v>(2.2)</v>
      </c>
      <c r="H120" s="302">
        <f t="shared" ref="H120" si="101">SUM(B120,D120,F120)</f>
        <v>384.21800000692167</v>
      </c>
      <c r="I120" s="299" t="str">
        <f>CONCATENATE("(",ROUND((H120/$H121)*100,1),")")</f>
        <v>(22.8)</v>
      </c>
      <c r="K120" s="302">
        <f t="shared" ref="K120:K121" si="102">B125-B120</f>
        <v>-17.770000005008455</v>
      </c>
      <c r="L120" s="302">
        <f t="shared" ref="L120:L121" si="103">D125-D120</f>
        <v>-6.3480000020221752</v>
      </c>
      <c r="M120" s="302">
        <f t="shared" ref="M120:M121" si="104">F125-F120</f>
        <v>-4.2019999998390887</v>
      </c>
      <c r="N120" s="302">
        <f t="shared" ref="N120:N121" si="105">SUM(K120:M120)</f>
        <v>-28.320000006869719</v>
      </c>
    </row>
    <row r="121" spans="1:14" x14ac:dyDescent="0.3">
      <c r="A121" s="282" t="s">
        <v>354</v>
      </c>
      <c r="B121" s="302">
        <f>SUM(B119:B120)</f>
        <v>1415.0060000072963</v>
      </c>
      <c r="C121" s="299" t="str">
        <f>CONCATENATE("(",ROUND((B121/$H121)*100,1),")")</f>
        <v>(83.8)</v>
      </c>
      <c r="D121" s="302">
        <f>SUM(D119:D120)</f>
        <v>142.06300000155952</v>
      </c>
      <c r="E121" s="299" t="str">
        <f>CONCATENATE("(",ROUND((D121/$H121)*100,1),")")</f>
        <v>(8.4)</v>
      </c>
      <c r="F121" s="302">
        <f>SUM(F119:F120)</f>
        <v>130.75299999913864</v>
      </c>
      <c r="G121" s="299" t="str">
        <f>CONCATENATE("(",ROUND((F121/$H121)*100,1),")")</f>
        <v>(7.7)</v>
      </c>
      <c r="H121" s="302">
        <f>SUM(H119:H120)</f>
        <v>1687.8220000079941</v>
      </c>
      <c r="I121" s="299" t="str">
        <f>CONCATENATE("(",ROUND((H121/$H121)*100,1),")")</f>
        <v>(100)</v>
      </c>
      <c r="K121" s="302">
        <f t="shared" si="102"/>
        <v>-124.03400000488432</v>
      </c>
      <c r="L121" s="302">
        <f t="shared" si="103"/>
        <v>-11.437000001959234</v>
      </c>
      <c r="M121" s="302">
        <f t="shared" si="104"/>
        <v>-9.5049999993710514</v>
      </c>
      <c r="N121" s="302">
        <f t="shared" si="105"/>
        <v>-144.9760000062146</v>
      </c>
    </row>
    <row r="122" spans="1:14" x14ac:dyDescent="0.3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3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3">
      <c r="A124" s="282" t="s">
        <v>355</v>
      </c>
      <c r="B124" s="302">
        <f>'Ind T6'!V155</f>
        <v>1043.8060000021062</v>
      </c>
      <c r="C124" s="299" t="str">
        <f>CONCATENATE("(",ROUND((B124/$H126)*100,1),")")</f>
        <v>(67.7)</v>
      </c>
      <c r="D124" s="302">
        <f>'Ind T6'!W155</f>
        <v>55.314000000106113</v>
      </c>
      <c r="E124" s="299" t="str">
        <f>CONCATENATE("(",ROUND((D124/$H126)*100,1),")")</f>
        <v>(3.6)</v>
      </c>
      <c r="F124" s="302">
        <f>'Ind T6'!X155</f>
        <v>87.827999999515555</v>
      </c>
      <c r="G124" s="299" t="str">
        <f>CONCATENATE("(",ROUND((F124/$H126)*100,1),")")</f>
        <v>(5.7)</v>
      </c>
      <c r="H124" s="302">
        <f>SUM(B124,D124,F124)</f>
        <v>1186.9480000017279</v>
      </c>
      <c r="I124" s="299" t="str">
        <f>CONCATENATE("(",ROUND((H124/$H126)*100,1),")")</f>
        <v>(76.9)</v>
      </c>
      <c r="K124" s="302">
        <f>B124-B114</f>
        <v>-176.41899999599559</v>
      </c>
      <c r="L124" s="302">
        <f>D124-D114</f>
        <v>-8.9759999999373647</v>
      </c>
      <c r="M124" s="302">
        <f>F124-F114</f>
        <v>-11.742000000183651</v>
      </c>
      <c r="N124" s="302">
        <f>SUM(K124:M124)</f>
        <v>-197.1369999961166</v>
      </c>
    </row>
    <row r="125" spans="1:14" x14ac:dyDescent="0.3">
      <c r="A125" s="282" t="s">
        <v>356</v>
      </c>
      <c r="B125" s="302">
        <f>'Ind T6'!V154</f>
        <v>247.16600000030576</v>
      </c>
      <c r="C125" s="299" t="str">
        <f>CONCATENATE("(",ROUND((B125/$H126)*100,1),")")</f>
        <v>(16)</v>
      </c>
      <c r="D125" s="302">
        <f>'Ind T6'!W154</f>
        <v>75.311999999494176</v>
      </c>
      <c r="E125" s="299" t="str">
        <f>CONCATENATE("(",ROUND((D125/$H126)*100,1),")")</f>
        <v>(4.9)</v>
      </c>
      <c r="F125" s="302">
        <f>'Ind T6'!X154</f>
        <v>33.420000000252031</v>
      </c>
      <c r="G125" s="299" t="str">
        <f>CONCATENATE("(",ROUND((F125/$H126)*100,1),")")</f>
        <v>(2.2)</v>
      </c>
      <c r="H125" s="302">
        <f t="shared" ref="H125" si="106">SUM(B125,D125,F125)</f>
        <v>355.89800000005198</v>
      </c>
      <c r="I125" s="299" t="str">
        <f>CONCATENATE("(",ROUND((H125/$H126)*100,1),")")</f>
        <v>(23.1)</v>
      </c>
      <c r="K125" s="302">
        <f t="shared" ref="K125:K126" si="107">B125-B115</f>
        <v>-30.999999997177213</v>
      </c>
      <c r="L125" s="302">
        <f t="shared" ref="L125:L126" si="108">D125-D115</f>
        <v>-11.345000001652949</v>
      </c>
      <c r="M125" s="302">
        <f t="shared" ref="M125:M126" si="109">F125-F115</f>
        <v>-8.2159999992539667</v>
      </c>
      <c r="N125" s="302">
        <f t="shared" ref="N125:N126" si="110">SUM(K125:M125)</f>
        <v>-50.560999998084128</v>
      </c>
    </row>
    <row r="126" spans="1:14" x14ac:dyDescent="0.3">
      <c r="A126" s="282" t="s">
        <v>354</v>
      </c>
      <c r="B126" s="302">
        <f>SUM(B124:B125)</f>
        <v>1290.972000002412</v>
      </c>
      <c r="C126" s="299" t="str">
        <f>CONCATENATE("(",ROUND((B126/$H126)*100,1),")")</f>
        <v>(83.7)</v>
      </c>
      <c r="D126" s="302">
        <f>SUM(D124:D125)</f>
        <v>130.62599999960028</v>
      </c>
      <c r="E126" s="299" t="str">
        <f>CONCATENATE("(",ROUND((D126/$H126)*100,1),")")</f>
        <v>(8.5)</v>
      </c>
      <c r="F126" s="302">
        <f>SUM(F124:F125)</f>
        <v>121.24799999976759</v>
      </c>
      <c r="G126" s="299" t="str">
        <f>CONCATENATE("(",ROUND((F126/$H126)*100,1),")")</f>
        <v>(7.9)</v>
      </c>
      <c r="H126" s="302">
        <f>SUM(H124:H125)</f>
        <v>1542.8460000017799</v>
      </c>
      <c r="I126" s="299" t="str">
        <f>CONCATENATE("(",ROUND((H126/$H126)*100,1),")")</f>
        <v>(100)</v>
      </c>
      <c r="K126" s="302">
        <f t="shared" si="107"/>
        <v>-207.41899999317275</v>
      </c>
      <c r="L126" s="302">
        <f t="shared" si="108"/>
        <v>-20.321000001590306</v>
      </c>
      <c r="M126" s="302">
        <f t="shared" si="109"/>
        <v>-19.957999999437618</v>
      </c>
      <c r="N126" s="302">
        <f t="shared" si="110"/>
        <v>-247.69799999420067</v>
      </c>
    </row>
    <row r="127" spans="1:14" x14ac:dyDescent="0.3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3">
      <c r="A131" s="288"/>
      <c r="B131" s="289" t="s">
        <v>379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3">
      <c r="N132" s="287" t="s">
        <v>377</v>
      </c>
    </row>
    <row r="133" spans="1:14" x14ac:dyDescent="0.3">
      <c r="A133" s="181" t="s">
        <v>378</v>
      </c>
      <c r="B133" s="370" t="s">
        <v>376</v>
      </c>
      <c r="C133" s="370"/>
      <c r="D133" s="370" t="s">
        <v>375</v>
      </c>
      <c r="E133" s="370"/>
      <c r="F133" s="370" t="s">
        <v>374</v>
      </c>
      <c r="G133" s="370"/>
      <c r="H133" s="370" t="s">
        <v>32</v>
      </c>
      <c r="I133" s="370"/>
      <c r="J133" s="181"/>
      <c r="K133" s="297" t="s">
        <v>339</v>
      </c>
      <c r="L133" s="297" t="s">
        <v>341</v>
      </c>
      <c r="M133" s="297" t="s">
        <v>337</v>
      </c>
      <c r="N133" s="297" t="s">
        <v>32</v>
      </c>
    </row>
    <row r="134" spans="1:14" x14ac:dyDescent="0.3">
      <c r="A134" s="292">
        <f>$A$8</f>
        <v>2020</v>
      </c>
      <c r="B134" s="287" t="s">
        <v>60</v>
      </c>
      <c r="C134" s="19" t="s">
        <v>373</v>
      </c>
      <c r="D134" s="287" t="s">
        <v>60</v>
      </c>
      <c r="E134" s="19" t="s">
        <v>373</v>
      </c>
      <c r="F134" s="287" t="s">
        <v>60</v>
      </c>
      <c r="G134" s="19" t="s">
        <v>373</v>
      </c>
      <c r="H134" s="287" t="s">
        <v>60</v>
      </c>
      <c r="I134" s="19" t="s">
        <v>373</v>
      </c>
      <c r="J134" s="181"/>
      <c r="K134" s="286" t="str">
        <f>CONCATENATE(A134," - ",A139)</f>
        <v>2020 - 2025</v>
      </c>
      <c r="L134" s="285"/>
      <c r="M134" s="285"/>
    </row>
    <row r="135" spans="1:14" x14ac:dyDescent="0.3">
      <c r="A135" s="282" t="s">
        <v>355</v>
      </c>
      <c r="B135" s="302">
        <f>'Ind T6'!L165</f>
        <v>96.976999999488243</v>
      </c>
      <c r="C135" s="299" t="str">
        <f>CONCATENATE("(",ROUND((B135/$H137)*100,1),")")</f>
        <v>(66.4)</v>
      </c>
      <c r="D135" s="302">
        <f>'Ind T6'!M165</f>
        <v>2.0199999999985048</v>
      </c>
      <c r="E135" s="299" t="str">
        <f>CONCATENATE("(",ROUND((D135/$H137)*100,1),")")</f>
        <v>(1.4)</v>
      </c>
      <c r="F135" s="302">
        <f>'Ind T6'!N165</f>
        <v>4.9980000000114018</v>
      </c>
      <c r="G135" s="299" t="str">
        <f>CONCATENATE("(",ROUND((F135/$H137)*100,1),")")</f>
        <v>(3.4)</v>
      </c>
      <c r="H135" s="302">
        <f>SUM(B135,D135,F135)</f>
        <v>103.99499999949815</v>
      </c>
      <c r="I135" s="299" t="str">
        <f>CONCATENATE("(",ROUND((H135/$H137)*100,1),")")</f>
        <v>(71.2)</v>
      </c>
      <c r="K135" s="302">
        <f>B140-B135</f>
        <v>-4.4199999996281889</v>
      </c>
      <c r="L135" s="302">
        <f>D140-D135</f>
        <v>-5.8999999995340335E-2</v>
      </c>
      <c r="M135" s="302">
        <f>F140-F135</f>
        <v>-0.14799999993771351</v>
      </c>
      <c r="N135" s="302">
        <f>SUM(K135:M135)</f>
        <v>-4.6269999995612423</v>
      </c>
    </row>
    <row r="136" spans="1:14" x14ac:dyDescent="0.3">
      <c r="A136" s="282" t="s">
        <v>356</v>
      </c>
      <c r="B136" s="302">
        <f>'Ind T6'!L164</f>
        <v>31.229999999862784</v>
      </c>
      <c r="C136" s="299" t="str">
        <f>CONCATENATE("(",ROUND((B136/$H137)*100,1),")")</f>
        <v>(21.4)</v>
      </c>
      <c r="D136" s="302">
        <f>'Ind T6'!M164</f>
        <v>8.772000000136714</v>
      </c>
      <c r="E136" s="299" t="str">
        <f>CONCATENATE("(",ROUND((D136/$H137)*100,1),")")</f>
        <v>(6)</v>
      </c>
      <c r="F136" s="302">
        <f>'Ind T6'!N164</f>
        <v>1.9959999999930995</v>
      </c>
      <c r="G136" s="299" t="str">
        <f>CONCATENATE("(",ROUND((F136/$H137)*100,1),")")</f>
        <v>(1.4)</v>
      </c>
      <c r="H136" s="302">
        <f t="shared" ref="H136" si="111">SUM(B136,D136,F136)</f>
        <v>41.997999999992601</v>
      </c>
      <c r="I136" s="299" t="str">
        <f>CONCATENATE("(",ROUND((H136/$H137)*100,1),")")</f>
        <v>(28.8)</v>
      </c>
      <c r="K136" s="302">
        <f t="shared" ref="K136:K137" si="112">B141-B136</f>
        <v>-0.91799999911918917</v>
      </c>
      <c r="L136" s="302">
        <f t="shared" ref="L136:L137" si="113">D141-D136</f>
        <v>-0.35599999990389009</v>
      </c>
      <c r="M136" s="302">
        <f t="shared" ref="M136:M137" si="114">F141-F136</f>
        <v>-7.3999999973601183E-2</v>
      </c>
      <c r="N136" s="302">
        <f t="shared" ref="N136:N137" si="115">SUM(K136:M136)</f>
        <v>-1.3479999989966804</v>
      </c>
    </row>
    <row r="137" spans="1:14" x14ac:dyDescent="0.3">
      <c r="A137" s="282" t="s">
        <v>354</v>
      </c>
      <c r="B137" s="302">
        <f>SUM(B135:B136)</f>
        <v>128.20699999935101</v>
      </c>
      <c r="C137" s="299" t="str">
        <f>CONCATENATE("(",ROUND((B137/$H137)*100,1),")")</f>
        <v>(87.8)</v>
      </c>
      <c r="D137" s="302">
        <f>SUM(D135:D136)</f>
        <v>10.792000000135218</v>
      </c>
      <c r="E137" s="299" t="str">
        <f>CONCATENATE("(",ROUND((D137/$H137)*100,1),")")</f>
        <v>(7.4)</v>
      </c>
      <c r="F137" s="302">
        <f>SUM(F135:F136)</f>
        <v>6.9940000000045011</v>
      </c>
      <c r="G137" s="299" t="str">
        <f>CONCATENATE("(",ROUND((F137/$H137)*100,1),")")</f>
        <v>(4.8)</v>
      </c>
      <c r="H137" s="302">
        <f>SUM(H135:H136)</f>
        <v>145.99299999949073</v>
      </c>
      <c r="I137" s="299" t="str">
        <f>CONCATENATE("(",ROUND((H137/$H137)*100,1),")")</f>
        <v>(100)</v>
      </c>
      <c r="K137" s="302">
        <f t="shared" si="112"/>
        <v>-5.3379999987473639</v>
      </c>
      <c r="L137" s="302">
        <f t="shared" si="113"/>
        <v>-0.41499999989922998</v>
      </c>
      <c r="M137" s="302">
        <f t="shared" si="114"/>
        <v>-0.22199999991131492</v>
      </c>
      <c r="N137" s="302">
        <f t="shared" si="115"/>
        <v>-5.9749999985579088</v>
      </c>
    </row>
    <row r="138" spans="1:14" x14ac:dyDescent="0.3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3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3">
      <c r="A140" s="282" t="s">
        <v>355</v>
      </c>
      <c r="B140" s="302">
        <f>'Ind T6'!Q165</f>
        <v>92.556999999860054</v>
      </c>
      <c r="C140" s="299" t="str">
        <f>CONCATENATE("(",ROUND((B140/$H142)*100,1),")")</f>
        <v>(66.1)</v>
      </c>
      <c r="D140" s="302">
        <f>'Ind T6'!R165</f>
        <v>1.9610000000031644</v>
      </c>
      <c r="E140" s="299" t="str">
        <f>CONCATENATE("(",ROUND((D140/$H142)*100,1),")")</f>
        <v>(1.4)</v>
      </c>
      <c r="F140" s="302">
        <f>'Ind T6'!S165</f>
        <v>4.8500000000736883</v>
      </c>
      <c r="G140" s="299" t="str">
        <f>CONCATENATE("(",ROUND((F140/$H142)*100,1),")")</f>
        <v>(3.5)</v>
      </c>
      <c r="H140" s="302">
        <f>SUM(B140,D140,F140)</f>
        <v>99.367999999936913</v>
      </c>
      <c r="I140" s="299" t="str">
        <f>CONCATENATE("(",ROUND((H140/$H142)*100,1),")")</f>
        <v>(71)</v>
      </c>
      <c r="K140" s="302">
        <f>B145-B140</f>
        <v>-1.8600000002340522</v>
      </c>
      <c r="L140" s="302">
        <f>D145-D140</f>
        <v>3.0000000001918048E-2</v>
      </c>
      <c r="M140" s="302">
        <f>F145-F140</f>
        <v>4.8999999987895393E-2</v>
      </c>
      <c r="N140" s="302">
        <f>SUM(K140:M140)</f>
        <v>-1.7810000002442388</v>
      </c>
    </row>
    <row r="141" spans="1:14" x14ac:dyDescent="0.3">
      <c r="A141" s="282" t="s">
        <v>356</v>
      </c>
      <c r="B141" s="302">
        <f>'Ind T6'!Q164</f>
        <v>30.312000000743595</v>
      </c>
      <c r="C141" s="299" t="str">
        <f>CONCATENATE("(",ROUND((B141/$H142)*100,1),")")</f>
        <v>(21.6)</v>
      </c>
      <c r="D141" s="302">
        <f>'Ind T6'!R164</f>
        <v>8.4160000002328239</v>
      </c>
      <c r="E141" s="299" t="str">
        <f>CONCATENATE("(",ROUND((D141/$H142)*100,1),")")</f>
        <v>(6)</v>
      </c>
      <c r="F141" s="302">
        <f>'Ind T6'!S164</f>
        <v>1.9220000000194983</v>
      </c>
      <c r="G141" s="299" t="str">
        <f>CONCATENATE("(",ROUND((F141/$H142)*100,1),")")</f>
        <v>(1.4)</v>
      </c>
      <c r="H141" s="302">
        <f t="shared" ref="H141" si="116">SUM(B141,D141,F141)</f>
        <v>40.650000000995924</v>
      </c>
      <c r="I141" s="299" t="str">
        <f>CONCATENATE("(",ROUND((H141/$H142)*100,1),")")</f>
        <v>(29)</v>
      </c>
      <c r="K141" s="302">
        <f t="shared" ref="K141:K142" si="117">B146-B141</f>
        <v>0.39099999903774219</v>
      </c>
      <c r="L141" s="302">
        <f t="shared" ref="L141:L142" si="118">D146-D141</f>
        <v>-7.4000000303717783E-2</v>
      </c>
      <c r="M141" s="302">
        <f t="shared" ref="M141:M142" si="119">F146-F141</f>
        <v>-7.9999999300299773E-3</v>
      </c>
      <c r="N141" s="302">
        <f t="shared" ref="N141:N142" si="120">SUM(K141:M141)</f>
        <v>0.30899999880399442</v>
      </c>
    </row>
    <row r="142" spans="1:14" x14ac:dyDescent="0.3">
      <c r="A142" s="282" t="s">
        <v>354</v>
      </c>
      <c r="B142" s="302">
        <f>SUM(B140:B141)</f>
        <v>122.86900000060365</v>
      </c>
      <c r="C142" s="299" t="str">
        <f>CONCATENATE("(",ROUND((B142/$H142)*100,1),")")</f>
        <v>(87.8)</v>
      </c>
      <c r="D142" s="302">
        <f>SUM(D140:D141)</f>
        <v>10.377000000235988</v>
      </c>
      <c r="E142" s="299" t="str">
        <f>CONCATENATE("(",ROUND((D142/$H142)*100,1),")")</f>
        <v>(7.4)</v>
      </c>
      <c r="F142" s="302">
        <f>SUM(F140:F141)</f>
        <v>6.7720000000931861</v>
      </c>
      <c r="G142" s="299" t="str">
        <f>CONCATENATE("(",ROUND((F142/$H142)*100,1),")")</f>
        <v>(4.8)</v>
      </c>
      <c r="H142" s="302">
        <f>SUM(H140:H141)</f>
        <v>140.01800000093283</v>
      </c>
      <c r="I142" s="299" t="str">
        <f>CONCATENATE("(",ROUND((H142/$H142)*100,1),")")</f>
        <v>(100)</v>
      </c>
      <c r="K142" s="302">
        <f t="shared" si="117"/>
        <v>-1.4690000011963065</v>
      </c>
      <c r="L142" s="302">
        <f t="shared" si="118"/>
        <v>-4.4000000301799957E-2</v>
      </c>
      <c r="M142" s="302">
        <f t="shared" si="119"/>
        <v>4.1000000057866082E-2</v>
      </c>
      <c r="N142" s="302">
        <f t="shared" si="120"/>
        <v>-1.4720000014402403</v>
      </c>
    </row>
    <row r="143" spans="1:14" x14ac:dyDescent="0.3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3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3">
      <c r="A145" s="282" t="s">
        <v>355</v>
      </c>
      <c r="B145" s="302">
        <f>'Ind T6'!V165</f>
        <v>90.696999999626001</v>
      </c>
      <c r="C145" s="299" t="str">
        <f>CONCATENATE("(",ROUND((B145/$H147)*100,1),")")</f>
        <v>(65.5)</v>
      </c>
      <c r="D145" s="302">
        <f>'Ind T6'!W165</f>
        <v>1.9910000000050825</v>
      </c>
      <c r="E145" s="299" t="str">
        <f>CONCATENATE("(",ROUND((D145/$H147)*100,1),")")</f>
        <v>(1.4)</v>
      </c>
      <c r="F145" s="302">
        <f>'Ind T6'!X165</f>
        <v>4.8990000000615836</v>
      </c>
      <c r="G145" s="299" t="str">
        <f>CONCATENATE("(",ROUND((F145/$H147)*100,1),")")</f>
        <v>(3.5)</v>
      </c>
      <c r="H145" s="302">
        <f>SUM(B145,D145,F145)</f>
        <v>97.586999999692665</v>
      </c>
      <c r="I145" s="299" t="str">
        <f>CONCATENATE("(",ROUND((H145/$H147)*100,1),")")</f>
        <v>(70.4)</v>
      </c>
      <c r="K145" s="302">
        <f>B145-B135</f>
        <v>-6.2799999998622411</v>
      </c>
      <c r="L145" s="302">
        <f>D145-D135</f>
        <v>-2.8999999993422287E-2</v>
      </c>
      <c r="M145" s="302">
        <f>F145-F135</f>
        <v>-9.8999999949818118E-2</v>
      </c>
      <c r="N145" s="302">
        <f>SUM(K145:M145)</f>
        <v>-6.4079999998054813</v>
      </c>
    </row>
    <row r="146" spans="1:14" x14ac:dyDescent="0.3">
      <c r="A146" s="282" t="s">
        <v>356</v>
      </c>
      <c r="B146" s="302">
        <f>'Ind T6'!V164</f>
        <v>30.702999999781337</v>
      </c>
      <c r="C146" s="299" t="str">
        <f>CONCATENATE("(",ROUND((B146/$H147)*100,1),")")</f>
        <v>(22.2)</v>
      </c>
      <c r="D146" s="302">
        <f>'Ind T6'!W164</f>
        <v>8.3419999999291061</v>
      </c>
      <c r="E146" s="299" t="str">
        <f>CONCATENATE("(",ROUND((D146/$H147)*100,1),")")</f>
        <v>(6)</v>
      </c>
      <c r="F146" s="302">
        <f>'Ind T6'!X164</f>
        <v>1.9140000000894684</v>
      </c>
      <c r="G146" s="299" t="str">
        <f>CONCATENATE("(",ROUND((F146/$H147)*100,1),")")</f>
        <v>(1.4)</v>
      </c>
      <c r="H146" s="302">
        <f t="shared" ref="H146" si="121">SUM(B146,D146,F146)</f>
        <v>40.958999999799907</v>
      </c>
      <c r="I146" s="299" t="str">
        <f>CONCATENATE("(",ROUND((H146/$H147)*100,1),")")</f>
        <v>(29.6)</v>
      </c>
      <c r="K146" s="302">
        <f t="shared" ref="K146:K147" si="122">B146-B136</f>
        <v>-0.52700000008144698</v>
      </c>
      <c r="L146" s="302">
        <f t="shared" ref="L146:L147" si="123">D146-D136</f>
        <v>-0.43000000020760787</v>
      </c>
      <c r="M146" s="302">
        <f t="shared" ref="M146:M147" si="124">F146-F136</f>
        <v>-8.199999990363116E-2</v>
      </c>
      <c r="N146" s="302">
        <f t="shared" ref="N146:N147" si="125">SUM(K146:M146)</f>
        <v>-1.039000000192686</v>
      </c>
    </row>
    <row r="147" spans="1:14" x14ac:dyDescent="0.3">
      <c r="A147" s="282" t="s">
        <v>354</v>
      </c>
      <c r="B147" s="302">
        <f>SUM(B145:B146)</f>
        <v>121.39999999940734</v>
      </c>
      <c r="C147" s="299" t="str">
        <f>CONCATENATE("(",ROUND((B147/$H147)*100,1),")")</f>
        <v>(87.6)</v>
      </c>
      <c r="D147" s="302">
        <f>SUM(D145:D146)</f>
        <v>10.332999999934188</v>
      </c>
      <c r="E147" s="299" t="str">
        <f>CONCATENATE("(",ROUND((D147/$H147)*100,1),")")</f>
        <v>(7.5)</v>
      </c>
      <c r="F147" s="302">
        <f>SUM(F145:F146)</f>
        <v>6.8130000001510522</v>
      </c>
      <c r="G147" s="299" t="str">
        <f>CONCATENATE("(",ROUND((F147/$H147)*100,1),")")</f>
        <v>(4.9)</v>
      </c>
      <c r="H147" s="302">
        <f>SUM(H145:H146)</f>
        <v>138.54599999949258</v>
      </c>
      <c r="I147" s="299" t="str">
        <f>CONCATENATE("(",ROUND((H147/$H147)*100,1),")")</f>
        <v>(100)</v>
      </c>
      <c r="K147" s="302">
        <f t="shared" si="122"/>
        <v>-6.8069999999436703</v>
      </c>
      <c r="L147" s="302">
        <f t="shared" si="123"/>
        <v>-0.45900000020102993</v>
      </c>
      <c r="M147" s="302">
        <f t="shared" si="124"/>
        <v>-0.18099999985344883</v>
      </c>
      <c r="N147" s="302">
        <f t="shared" si="125"/>
        <v>-7.4469999999981491</v>
      </c>
    </row>
    <row r="148" spans="1:14" x14ac:dyDescent="0.3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3">
      <c r="C151" s="181"/>
      <c r="E151" s="181"/>
      <c r="G151" s="181"/>
      <c r="I151" s="181"/>
    </row>
    <row r="152" spans="1:14" x14ac:dyDescent="0.3">
      <c r="A152" s="288"/>
      <c r="B152" s="289" t="s">
        <v>379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3">
      <c r="N153" s="287" t="s">
        <v>377</v>
      </c>
    </row>
    <row r="154" spans="1:14" x14ac:dyDescent="0.3">
      <c r="A154" s="181" t="s">
        <v>378</v>
      </c>
      <c r="B154" s="370" t="s">
        <v>376</v>
      </c>
      <c r="C154" s="370"/>
      <c r="D154" s="370" t="s">
        <v>375</v>
      </c>
      <c r="E154" s="370"/>
      <c r="F154" s="370" t="s">
        <v>374</v>
      </c>
      <c r="G154" s="370"/>
      <c r="H154" s="370" t="s">
        <v>32</v>
      </c>
      <c r="I154" s="370"/>
      <c r="J154" s="181"/>
      <c r="K154" s="297" t="s">
        <v>339</v>
      </c>
      <c r="L154" s="297" t="s">
        <v>341</v>
      </c>
      <c r="M154" s="297" t="s">
        <v>337</v>
      </c>
      <c r="N154" s="297" t="s">
        <v>32</v>
      </c>
    </row>
    <row r="155" spans="1:14" x14ac:dyDescent="0.3">
      <c r="A155" s="292">
        <f>$A$8</f>
        <v>2020</v>
      </c>
      <c r="B155" s="287" t="s">
        <v>60</v>
      </c>
      <c r="C155" s="19" t="s">
        <v>373</v>
      </c>
      <c r="D155" s="287" t="s">
        <v>60</v>
      </c>
      <c r="E155" s="19" t="s">
        <v>373</v>
      </c>
      <c r="F155" s="287" t="s">
        <v>60</v>
      </c>
      <c r="G155" s="19" t="s">
        <v>373</v>
      </c>
      <c r="H155" s="287" t="s">
        <v>60</v>
      </c>
      <c r="I155" s="19" t="s">
        <v>373</v>
      </c>
      <c r="J155" s="181"/>
      <c r="K155" s="286" t="str">
        <f>CONCATENATE(A155," - ",A160)</f>
        <v>2020 - 2025</v>
      </c>
      <c r="L155" s="285"/>
      <c r="M155" s="285"/>
    </row>
    <row r="156" spans="1:14" x14ac:dyDescent="0.3">
      <c r="A156" s="282" t="s">
        <v>355</v>
      </c>
      <c r="B156" s="302">
        <f>'Ind T6'!L190</f>
        <v>139.57899999991838</v>
      </c>
      <c r="C156" s="299" t="str">
        <f>CONCATENATE("(",ROUND((B156/$H158)*100,1),")")</f>
        <v>(66.5)</v>
      </c>
      <c r="D156" s="302">
        <f>'Ind T6'!M190</f>
        <v>11.417999999945529</v>
      </c>
      <c r="E156" s="299" t="str">
        <f>CONCATENATE("(",ROUND((D156/$H158)*100,1),")")</f>
        <v>(5.4)</v>
      </c>
      <c r="F156" s="302">
        <f>'Ind T6'!N190</f>
        <v>7.0399999999039018</v>
      </c>
      <c r="G156" s="299" t="str">
        <f>CONCATENATE("(",ROUND((F156/$H158)*100,1),")")</f>
        <v>(3.4)</v>
      </c>
      <c r="H156" s="302">
        <f>SUM(B156,D156,F156)</f>
        <v>158.0369999997678</v>
      </c>
      <c r="I156" s="299" t="str">
        <f>CONCATENATE("(",ROUND((H156/$H158)*100,1),")")</f>
        <v>(75.3)</v>
      </c>
      <c r="K156" s="302">
        <f>B161-B156</f>
        <v>5.8460000007662245</v>
      </c>
      <c r="L156" s="302">
        <f>D161-D156</f>
        <v>0.59600000004926201</v>
      </c>
      <c r="M156" s="302">
        <f>F161-F156</f>
        <v>8.9999999916782869E-2</v>
      </c>
      <c r="N156" s="302">
        <f>SUM(K156:M156)</f>
        <v>6.5320000007322694</v>
      </c>
    </row>
    <row r="157" spans="1:14" x14ac:dyDescent="0.3">
      <c r="A157" s="282" t="s">
        <v>356</v>
      </c>
      <c r="B157" s="302">
        <f>'Ind T6'!L189</f>
        <v>35.632999999783763</v>
      </c>
      <c r="C157" s="299" t="str">
        <f>CONCATENATE("(",ROUND((B157/$H158)*100,1),")")</f>
        <v>(17)</v>
      </c>
      <c r="D157" s="302">
        <f>'Ind T6'!M189</f>
        <v>15.373000000053763</v>
      </c>
      <c r="E157" s="299" t="str">
        <f>CONCATENATE("(",ROUND((D157/$H158)*100,1),")")</f>
        <v>(7.3)</v>
      </c>
      <c r="F157" s="302">
        <f>'Ind T6'!N189</f>
        <v>0.95699999999206864</v>
      </c>
      <c r="G157" s="299" t="str">
        <f>CONCATENATE("(",ROUND((F157/$H158)*100,1),")")</f>
        <v>(0.5)</v>
      </c>
      <c r="H157" s="302">
        <f t="shared" ref="H157" si="126">SUM(B157,D157,F157)</f>
        <v>51.962999999829599</v>
      </c>
      <c r="I157" s="299" t="str">
        <f>CONCATENATE("(",ROUND((H157/$H158)*100,1),")")</f>
        <v>(24.7)</v>
      </c>
      <c r="K157" s="302">
        <f t="shared" ref="K157:K158" si="127">B162-B157</f>
        <v>3.1270000009006296</v>
      </c>
      <c r="L157" s="302">
        <f t="shared" ref="L157:L158" si="128">D162-D157</f>
        <v>0.89499999999030599</v>
      </c>
      <c r="M157" s="302">
        <f t="shared" ref="M157:M158" si="129">F162-F157</f>
        <v>3.300000001009662E-2</v>
      </c>
      <c r="N157" s="302">
        <f t="shared" ref="N157:N158" si="130">SUM(K157:M157)</f>
        <v>4.0550000009010319</v>
      </c>
    </row>
    <row r="158" spans="1:14" x14ac:dyDescent="0.3">
      <c r="A158" s="282" t="s">
        <v>354</v>
      </c>
      <c r="B158" s="302">
        <f>SUM(B156:B157)</f>
        <v>175.21199999970213</v>
      </c>
      <c r="C158" s="299" t="str">
        <f>CONCATENATE("(",ROUND((B158/$H158)*100,1),")")</f>
        <v>(83.4)</v>
      </c>
      <c r="D158" s="302">
        <f>SUM(D156:D157)</f>
        <v>26.790999999999293</v>
      </c>
      <c r="E158" s="299" t="str">
        <f>CONCATENATE("(",ROUND((D158/$H158)*100,1),")")</f>
        <v>(12.8)</v>
      </c>
      <c r="F158" s="302">
        <f>SUM(F156:F157)</f>
        <v>7.9969999998959702</v>
      </c>
      <c r="G158" s="299" t="str">
        <f>CONCATENATE("(",ROUND((F158/$H158)*100,1),")")</f>
        <v>(3.8)</v>
      </c>
      <c r="H158" s="302">
        <f>SUM(H156:H157)</f>
        <v>209.99999999959741</v>
      </c>
      <c r="I158" s="299" t="str">
        <f>CONCATENATE("(",ROUND((H158/$H158)*100,1),")")</f>
        <v>(100)</v>
      </c>
      <c r="K158" s="302">
        <f t="shared" si="127"/>
        <v>8.9730000016668612</v>
      </c>
      <c r="L158" s="302">
        <f t="shared" si="128"/>
        <v>1.4910000000395662</v>
      </c>
      <c r="M158" s="302">
        <f t="shared" si="129"/>
        <v>0.12299999992688004</v>
      </c>
      <c r="N158" s="302">
        <f t="shared" si="130"/>
        <v>10.587000001633307</v>
      </c>
    </row>
    <row r="159" spans="1:14" x14ac:dyDescent="0.3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3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3">
      <c r="A161" s="282" t="s">
        <v>355</v>
      </c>
      <c r="B161" s="302">
        <f>'Ind T6'!Q190</f>
        <v>145.42500000068461</v>
      </c>
      <c r="C161" s="299" t="str">
        <f>CONCATENATE("(",ROUND((B161/$H163)*100,1),")")</f>
        <v>(65.9)</v>
      </c>
      <c r="D161" s="302">
        <f>'Ind T6'!R190</f>
        <v>12.013999999994791</v>
      </c>
      <c r="E161" s="299" t="str">
        <f>CONCATENATE("(",ROUND((D161/$H163)*100,1),")")</f>
        <v>(5.4)</v>
      </c>
      <c r="F161" s="302">
        <f>'Ind T6'!S190</f>
        <v>7.1299999998206847</v>
      </c>
      <c r="G161" s="299" t="str">
        <f>CONCATENATE("(",ROUND((F161/$H163)*100,1),")")</f>
        <v>(3.2)</v>
      </c>
      <c r="H161" s="302">
        <f>SUM(B161,D161,F161)</f>
        <v>164.56900000050007</v>
      </c>
      <c r="I161" s="299" t="str">
        <f>CONCATENATE("(",ROUND((H161/$H163)*100,1),")")</f>
        <v>(74.6)</v>
      </c>
      <c r="K161" s="302">
        <f>B166-B161</f>
        <v>8.6250000000947864</v>
      </c>
      <c r="L161" s="302">
        <f>D166-D161</f>
        <v>0.88200000006531454</v>
      </c>
      <c r="M161" s="302">
        <f>F166-F161</f>
        <v>-4.6999999926587321E-2</v>
      </c>
      <c r="N161" s="302">
        <f>SUM(K161:M161)</f>
        <v>9.4600000002335136</v>
      </c>
    </row>
    <row r="162" spans="1:14" x14ac:dyDescent="0.3">
      <c r="A162" s="282" t="s">
        <v>356</v>
      </c>
      <c r="B162" s="302">
        <f>'Ind T6'!Q189</f>
        <v>38.760000000684393</v>
      </c>
      <c r="C162" s="299" t="str">
        <f>CONCATENATE("(",ROUND((B162/$H163)*100,1),")")</f>
        <v>(17.6)</v>
      </c>
      <c r="D162" s="302">
        <f>'Ind T6'!R189</f>
        <v>16.268000000044069</v>
      </c>
      <c r="E162" s="299" t="str">
        <f>CONCATENATE("(",ROUND((D162/$H163)*100,1),")")</f>
        <v>(7.4)</v>
      </c>
      <c r="F162" s="302">
        <f>'Ind T6'!S189</f>
        <v>0.99000000000216526</v>
      </c>
      <c r="G162" s="299" t="str">
        <f>CONCATENATE("(",ROUND((F162/$H163)*100,1),")")</f>
        <v>(0.4)</v>
      </c>
      <c r="H162" s="302">
        <f t="shared" ref="H162" si="131">SUM(B162,D162,F162)</f>
        <v>56.018000000730623</v>
      </c>
      <c r="I162" s="299" t="str">
        <f>CONCATENATE("(",ROUND((H162/$H163)*100,1),")")</f>
        <v>(25.4)</v>
      </c>
      <c r="K162" s="302">
        <f t="shared" ref="K162:K163" si="132">B167-B162</f>
        <v>5.9069999995888836</v>
      </c>
      <c r="L162" s="302">
        <f t="shared" ref="L162:L163" si="133">D167-D162</f>
        <v>1.4659999999929738</v>
      </c>
      <c r="M162" s="302">
        <f t="shared" ref="M162:M163" si="134">F167-F162</f>
        <v>5.0000000007001888E-2</v>
      </c>
      <c r="N162" s="302">
        <f t="shared" ref="N162:N163" si="135">SUM(K162:M162)</f>
        <v>7.4229999995888596</v>
      </c>
    </row>
    <row r="163" spans="1:14" x14ac:dyDescent="0.3">
      <c r="A163" s="282" t="s">
        <v>354</v>
      </c>
      <c r="B163" s="302">
        <f>SUM(B161:B162)</f>
        <v>184.18500000136899</v>
      </c>
      <c r="C163" s="299" t="str">
        <f>CONCATENATE("(",ROUND((B163/$H163)*100,1),")")</f>
        <v>(83.5)</v>
      </c>
      <c r="D163" s="302">
        <f>SUM(D161:D162)</f>
        <v>28.28200000003886</v>
      </c>
      <c r="E163" s="299" t="str">
        <f>CONCATENATE("(",ROUND((D163/$H163)*100,1),")")</f>
        <v>(12.8)</v>
      </c>
      <c r="F163" s="302">
        <f>SUM(F161:F162)</f>
        <v>8.1199999998228503</v>
      </c>
      <c r="G163" s="299" t="str">
        <f>CONCATENATE("(",ROUND((F163/$H163)*100,1),")")</f>
        <v>(3.7)</v>
      </c>
      <c r="H163" s="302">
        <f>SUM(H161:H162)</f>
        <v>220.58700000123071</v>
      </c>
      <c r="I163" s="299" t="str">
        <f>CONCATENATE("(",ROUND((H163/$H163)*100,1),")")</f>
        <v>(100)</v>
      </c>
      <c r="K163" s="302">
        <f t="shared" si="132"/>
        <v>14.531999999683677</v>
      </c>
      <c r="L163" s="302">
        <f t="shared" si="133"/>
        <v>2.3480000000582884</v>
      </c>
      <c r="M163" s="302">
        <f t="shared" si="134"/>
        <v>3.0000000804140114E-3</v>
      </c>
      <c r="N163" s="302">
        <f t="shared" si="135"/>
        <v>16.882999999822381</v>
      </c>
    </row>
    <row r="164" spans="1:14" x14ac:dyDescent="0.3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3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3">
      <c r="A166" s="282" t="s">
        <v>355</v>
      </c>
      <c r="B166" s="302">
        <f>'Ind T6'!V190</f>
        <v>154.05000000077939</v>
      </c>
      <c r="C166" s="299" t="str">
        <f>CONCATENATE("(",ROUND((B166/$H168)*100,1),")")</f>
        <v>(64.9)</v>
      </c>
      <c r="D166" s="302">
        <f>'Ind T6'!W190</f>
        <v>12.896000000060106</v>
      </c>
      <c r="E166" s="299" t="str">
        <f>CONCATENATE("(",ROUND((D166/$H168)*100,1),")")</f>
        <v>(5.4)</v>
      </c>
      <c r="F166" s="302">
        <f>'Ind T6'!X190</f>
        <v>7.0829999998940973</v>
      </c>
      <c r="G166" s="299" t="str">
        <f>CONCATENATE("(",ROUND((F166/$H168)*100,1),")")</f>
        <v>(3)</v>
      </c>
      <c r="H166" s="302">
        <f>SUM(B166,D166,F166)</f>
        <v>174.02900000073359</v>
      </c>
      <c r="I166" s="299" t="str">
        <f>CONCATENATE("(",ROUND((H166/$H168)*100,1),")")</f>
        <v>(73.3)</v>
      </c>
      <c r="K166" s="302">
        <f>B166-B156</f>
        <v>14.471000000861011</v>
      </c>
      <c r="L166" s="302">
        <f>D166-D156</f>
        <v>1.4780000001145766</v>
      </c>
      <c r="M166" s="302">
        <f>F166-F156</f>
        <v>4.2999999990195548E-2</v>
      </c>
      <c r="N166" s="302">
        <f>SUM(K166:M166)</f>
        <v>15.992000000965783</v>
      </c>
    </row>
    <row r="167" spans="1:14" x14ac:dyDescent="0.3">
      <c r="A167" s="282" t="s">
        <v>356</v>
      </c>
      <c r="B167" s="302">
        <f>'Ind T6'!V189</f>
        <v>44.667000000273276</v>
      </c>
      <c r="C167" s="299" t="str">
        <f>CONCATENATE("(",ROUND((B167/$H168)*100,1),")")</f>
        <v>(18.8)</v>
      </c>
      <c r="D167" s="302">
        <f>'Ind T6'!W189</f>
        <v>17.734000000037042</v>
      </c>
      <c r="E167" s="299" t="str">
        <f>CONCATENATE("(",ROUND((D167/$H168)*100,1),")")</f>
        <v>(7.5)</v>
      </c>
      <c r="F167" s="302">
        <f>'Ind T6'!X189</f>
        <v>1.0400000000091671</v>
      </c>
      <c r="G167" s="299" t="str">
        <f>CONCATENATE("(",ROUND((F167/$H168)*100,1),")")</f>
        <v>(0.4)</v>
      </c>
      <c r="H167" s="302">
        <f t="shared" ref="H167" si="136">SUM(B167,D167,F167)</f>
        <v>63.441000000319484</v>
      </c>
      <c r="I167" s="299" t="str">
        <f>CONCATENATE("(",ROUND((H167/$H168)*100,1),")")</f>
        <v>(26.7)</v>
      </c>
      <c r="K167" s="302">
        <f t="shared" ref="K167:K168" si="137">B167-B157</f>
        <v>9.0340000004895131</v>
      </c>
      <c r="L167" s="302">
        <f t="shared" ref="L167:L168" si="138">D167-D157</f>
        <v>2.3609999999832798</v>
      </c>
      <c r="M167" s="302">
        <f t="shared" ref="M167:M168" si="139">F167-F157</f>
        <v>8.3000000017098507E-2</v>
      </c>
      <c r="N167" s="302">
        <f t="shared" ref="N167:N168" si="140">SUM(K167:M167)</f>
        <v>11.478000000489892</v>
      </c>
    </row>
    <row r="168" spans="1:14" x14ac:dyDescent="0.3">
      <c r="A168" s="282" t="s">
        <v>354</v>
      </c>
      <c r="B168" s="302">
        <f>SUM(B166:B167)</f>
        <v>198.71700000105267</v>
      </c>
      <c r="C168" s="299" t="str">
        <f>CONCATENATE("(",ROUND((B168/$H168)*100,1),")")</f>
        <v>(83.7)</v>
      </c>
      <c r="D168" s="302">
        <f>SUM(D166:D167)</f>
        <v>30.630000000097148</v>
      </c>
      <c r="E168" s="299" t="str">
        <f>CONCATENATE("(",ROUND((D168/$H168)*100,1),")")</f>
        <v>(12.9)</v>
      </c>
      <c r="F168" s="302">
        <f>SUM(F166:F167)</f>
        <v>8.1229999999032643</v>
      </c>
      <c r="G168" s="299" t="str">
        <f>CONCATENATE("(",ROUND((F168/$H168)*100,1),")")</f>
        <v>(3.4)</v>
      </c>
      <c r="H168" s="302">
        <f>SUM(H166:H167)</f>
        <v>237.47000000105308</v>
      </c>
      <c r="I168" s="299" t="str">
        <f>CONCATENATE("(",ROUND((H168/$H168)*100,1),")")</f>
        <v>(100)</v>
      </c>
      <c r="K168" s="302">
        <f t="shared" si="137"/>
        <v>23.505000001350538</v>
      </c>
      <c r="L168" s="302">
        <f t="shared" si="138"/>
        <v>3.8390000000978546</v>
      </c>
      <c r="M168" s="302">
        <f t="shared" si="139"/>
        <v>0.12600000000729406</v>
      </c>
      <c r="N168" s="302">
        <f t="shared" si="140"/>
        <v>27.470000001455688</v>
      </c>
    </row>
    <row r="169" spans="1:14" x14ac:dyDescent="0.3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3">
      <c r="A173" s="288"/>
      <c r="B173" s="289" t="s">
        <v>379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3">
      <c r="N174" s="287" t="s">
        <v>377</v>
      </c>
    </row>
    <row r="175" spans="1:14" x14ac:dyDescent="0.3">
      <c r="A175" s="181" t="s">
        <v>378</v>
      </c>
      <c r="B175" s="370" t="s">
        <v>376</v>
      </c>
      <c r="C175" s="370"/>
      <c r="D175" s="370" t="s">
        <v>375</v>
      </c>
      <c r="E175" s="370"/>
      <c r="F175" s="370" t="s">
        <v>374</v>
      </c>
      <c r="G175" s="370"/>
      <c r="H175" s="370" t="s">
        <v>32</v>
      </c>
      <c r="I175" s="370"/>
      <c r="J175" s="181"/>
      <c r="K175" s="297" t="s">
        <v>339</v>
      </c>
      <c r="L175" s="297" t="s">
        <v>341</v>
      </c>
      <c r="M175" s="297" t="s">
        <v>337</v>
      </c>
      <c r="N175" s="297" t="s">
        <v>32</v>
      </c>
    </row>
    <row r="176" spans="1:14" x14ac:dyDescent="0.3">
      <c r="A176" s="292">
        <f>$A$8</f>
        <v>2020</v>
      </c>
      <c r="B176" s="287" t="s">
        <v>60</v>
      </c>
      <c r="C176" s="19" t="s">
        <v>373</v>
      </c>
      <c r="D176" s="287" t="s">
        <v>60</v>
      </c>
      <c r="E176" s="19" t="s">
        <v>373</v>
      </c>
      <c r="F176" s="287" t="s">
        <v>60</v>
      </c>
      <c r="G176" s="19" t="s">
        <v>373</v>
      </c>
      <c r="H176" s="287" t="s">
        <v>60</v>
      </c>
      <c r="I176" s="19" t="s">
        <v>373</v>
      </c>
      <c r="J176" s="181"/>
      <c r="K176" s="286" t="str">
        <f>CONCATENATE(A176," - ",A181)</f>
        <v>2020 - 2025</v>
      </c>
      <c r="L176" s="285"/>
      <c r="M176" s="285"/>
    </row>
    <row r="177" spans="1:14" x14ac:dyDescent="0.3">
      <c r="A177" s="282" t="s">
        <v>355</v>
      </c>
      <c r="B177" s="302">
        <f>'Ind T6'!L215</f>
        <v>1111.7129999977108</v>
      </c>
      <c r="C177" s="299" t="str">
        <f>CONCATENATE("(",ROUND((B177/$H179)*100,1),")")</f>
        <v>(47.9)</v>
      </c>
      <c r="D177" s="302">
        <f>'Ind T6'!M215</f>
        <v>81.056999999858107</v>
      </c>
      <c r="E177" s="299" t="str">
        <f>CONCATENATE("(",ROUND((D177/$H179)*100,1),")")</f>
        <v>(3.5)</v>
      </c>
      <c r="F177" s="302">
        <f>'Ind T6'!N215</f>
        <v>769.0349999722323</v>
      </c>
      <c r="G177" s="299" t="str">
        <f>CONCATENATE("(",ROUND((F177/$H179)*100,1),")")</f>
        <v>(33.2)</v>
      </c>
      <c r="H177" s="302">
        <f>SUM(B177,D177,F177)</f>
        <v>1961.8049999698012</v>
      </c>
      <c r="I177" s="299" t="str">
        <f>CONCATENATE("(",ROUND((H177/$H179)*100,1),")")</f>
        <v>(84.6)</v>
      </c>
      <c r="K177" s="302">
        <f>B182-B177</f>
        <v>32.018000005430395</v>
      </c>
      <c r="L177" s="302">
        <f>D182-D177</f>
        <v>5.3060000000992318</v>
      </c>
      <c r="M177" s="302">
        <f>F182-F177</f>
        <v>43.241999947027125</v>
      </c>
      <c r="N177" s="302">
        <f>SUM(K177:M177)</f>
        <v>80.565999952556751</v>
      </c>
    </row>
    <row r="178" spans="1:14" x14ac:dyDescent="0.3">
      <c r="A178" s="282" t="s">
        <v>356</v>
      </c>
      <c r="B178" s="302">
        <f>'Ind T6'!L214</f>
        <v>191.13799999782253</v>
      </c>
      <c r="C178" s="299" t="str">
        <f>CONCATENATE("(",ROUND((B178/$H179)*100,1),")")</f>
        <v>(8.2)</v>
      </c>
      <c r="D178" s="302">
        <f>'Ind T6'!M214</f>
        <v>126.09300000065039</v>
      </c>
      <c r="E178" s="299" t="str">
        <f>CONCATENATE("(",ROUND((D178/$H179)*100,1),")")</f>
        <v>(5.4)</v>
      </c>
      <c r="F178" s="302">
        <f>'Ind T6'!N214</f>
        <v>39.960999999568664</v>
      </c>
      <c r="G178" s="299" t="str">
        <f>CONCATENATE("(",ROUND((F178/$H179)*100,1),")")</f>
        <v>(1.7)</v>
      </c>
      <c r="H178" s="302">
        <f t="shared" ref="H178" si="141">SUM(B178,D178,F178)</f>
        <v>357.19199999804164</v>
      </c>
      <c r="I178" s="299" t="str">
        <f>CONCATENATE("(",ROUND((H178/$H179)*100,1),")")</f>
        <v>(15.4)</v>
      </c>
      <c r="K178" s="302">
        <f t="shared" ref="K178:K179" si="142">B183-B178</f>
        <v>9.6930000062813519</v>
      </c>
      <c r="L178" s="302">
        <f t="shared" ref="L178:L179" si="143">D183-D178</f>
        <v>7.3470000007438898</v>
      </c>
      <c r="M178" s="302">
        <f t="shared" ref="M178:M179" si="144">F183-F178</f>
        <v>2.5390000004525461</v>
      </c>
      <c r="N178" s="302">
        <f t="shared" ref="N178:N179" si="145">SUM(K178:M178)</f>
        <v>19.579000007477788</v>
      </c>
    </row>
    <row r="179" spans="1:14" x14ac:dyDescent="0.3">
      <c r="A179" s="282" t="s">
        <v>354</v>
      </c>
      <c r="B179" s="302">
        <f>SUM(B177:B178)</f>
        <v>1302.8509999955334</v>
      </c>
      <c r="C179" s="299" t="str">
        <f>CONCATENATE("(",ROUND((B179/$H179)*100,1),")")</f>
        <v>(56.2)</v>
      </c>
      <c r="D179" s="302">
        <f>SUM(D177:D178)</f>
        <v>207.1500000005085</v>
      </c>
      <c r="E179" s="299" t="str">
        <f>CONCATENATE("(",ROUND((D179/$H179)*100,1),")")</f>
        <v>(8.9)</v>
      </c>
      <c r="F179" s="302">
        <f>SUM(F177:F178)</f>
        <v>808.99599997180098</v>
      </c>
      <c r="G179" s="299" t="str">
        <f>CONCATENATE("(",ROUND((F179/$H179)*100,1),")")</f>
        <v>(34.9)</v>
      </c>
      <c r="H179" s="302">
        <f>SUM(H177:H178)</f>
        <v>2318.9969999678428</v>
      </c>
      <c r="I179" s="299" t="str">
        <f>CONCATENATE("(",ROUND((H179/$H179)*100,1),")")</f>
        <v>(100)</v>
      </c>
      <c r="K179" s="302">
        <f t="shared" si="142"/>
        <v>41.711000011711576</v>
      </c>
      <c r="L179" s="302">
        <f t="shared" si="143"/>
        <v>12.653000000843122</v>
      </c>
      <c r="M179" s="302">
        <f t="shared" si="144"/>
        <v>45.7809999474797</v>
      </c>
      <c r="N179" s="302">
        <f t="shared" si="145"/>
        <v>100.1449999600344</v>
      </c>
    </row>
    <row r="180" spans="1:14" x14ac:dyDescent="0.3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3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3">
      <c r="A182" s="282" t="s">
        <v>355</v>
      </c>
      <c r="B182" s="302">
        <f>'Ind T6'!Q215</f>
        <v>1143.7310000031412</v>
      </c>
      <c r="C182" s="299" t="str">
        <f>CONCATENATE("(",ROUND((B182/$H184)*100,1),")")</f>
        <v>(47.3)</v>
      </c>
      <c r="D182" s="302">
        <f>'Ind T6'!R215</f>
        <v>86.362999999957339</v>
      </c>
      <c r="E182" s="299" t="str">
        <f>CONCATENATE("(",ROUND((D182/$H184)*100,1),")")</f>
        <v>(3.6)</v>
      </c>
      <c r="F182" s="302">
        <f>'Ind T6'!S215</f>
        <v>812.27699991925942</v>
      </c>
      <c r="G182" s="299" t="str">
        <f>CONCATENATE("(",ROUND((F182/$H184)*100,1),")")</f>
        <v>(33.6)</v>
      </c>
      <c r="H182" s="302">
        <f>SUM(B182,D182,F182)</f>
        <v>2042.3709999223579</v>
      </c>
      <c r="I182" s="299" t="str">
        <f>CONCATENATE("(",ROUND((H182/$H184)*100,1),")")</f>
        <v>(84.4)</v>
      </c>
      <c r="K182" s="302">
        <f>B187-B182</f>
        <v>40.414000001940622</v>
      </c>
      <c r="L182" s="302">
        <f>D187-D182</f>
        <v>9.7719999998645051</v>
      </c>
      <c r="M182" s="302">
        <f>F187-F182</f>
        <v>77.348000021591361</v>
      </c>
      <c r="N182" s="302">
        <f>SUM(K182:M182)</f>
        <v>127.53400002339649</v>
      </c>
    </row>
    <row r="183" spans="1:14" x14ac:dyDescent="0.3">
      <c r="A183" s="282" t="s">
        <v>356</v>
      </c>
      <c r="B183" s="302">
        <f>'Ind T6'!Q214</f>
        <v>200.83100000410388</v>
      </c>
      <c r="C183" s="299" t="str">
        <f>CONCATENATE("(",ROUND((B183/$H184)*100,1),")")</f>
        <v>(8.3)</v>
      </c>
      <c r="D183" s="302">
        <f>'Ind T6'!R214</f>
        <v>133.44000000139428</v>
      </c>
      <c r="E183" s="299" t="str">
        <f>CONCATENATE("(",ROUND((D183/$H184)*100,1),")")</f>
        <v>(5.5)</v>
      </c>
      <c r="F183" s="302">
        <f>'Ind T6'!S214</f>
        <v>42.50000000002121</v>
      </c>
      <c r="G183" s="299" t="str">
        <f>CONCATENATE("(",ROUND((F183/$H184)*100,1),")")</f>
        <v>(1.8)</v>
      </c>
      <c r="H183" s="302">
        <f t="shared" ref="H183" si="146">SUM(B183,D183,F183)</f>
        <v>376.7710000055194</v>
      </c>
      <c r="I183" s="299" t="str">
        <f>CONCATENATE("(",ROUND((H183/$H184)*100,1),")")</f>
        <v>(15.6)</v>
      </c>
      <c r="K183" s="302">
        <f t="shared" ref="K183:K184" si="147">B188-B183</f>
        <v>17.757999997126262</v>
      </c>
      <c r="L183" s="302">
        <f t="shared" ref="L183:L184" si="148">D188-D183</f>
        <v>13.333999997648078</v>
      </c>
      <c r="M183" s="302">
        <f t="shared" ref="M183:M184" si="149">F188-F183</f>
        <v>5.2850000000290436</v>
      </c>
      <c r="N183" s="302">
        <f t="shared" ref="N183:N184" si="150">SUM(K183:M183)</f>
        <v>36.376999994803384</v>
      </c>
    </row>
    <row r="184" spans="1:14" x14ac:dyDescent="0.3">
      <c r="A184" s="282" t="s">
        <v>354</v>
      </c>
      <c r="B184" s="302">
        <f>SUM(B182:B183)</f>
        <v>1344.5620000072449</v>
      </c>
      <c r="C184" s="299" t="str">
        <f>CONCATENATE("(",ROUND((B184/$H184)*100,1),")")</f>
        <v>(55.6)</v>
      </c>
      <c r="D184" s="302">
        <f>SUM(D182:D183)</f>
        <v>219.80300000135162</v>
      </c>
      <c r="E184" s="299" t="str">
        <f>CONCATENATE("(",ROUND((D184/$H184)*100,1),")")</f>
        <v>(9.1)</v>
      </c>
      <c r="F184" s="302">
        <f>SUM(F182:F183)</f>
        <v>854.77699991928068</v>
      </c>
      <c r="G184" s="299" t="str">
        <f>CONCATENATE("(",ROUND((F184/$H184)*100,1),")")</f>
        <v>(35.3)</v>
      </c>
      <c r="H184" s="302">
        <f>SUM(H182:H183)</f>
        <v>2419.1419999278774</v>
      </c>
      <c r="I184" s="299" t="str">
        <f>CONCATENATE("(",ROUND((H184/$H184)*100,1),")")</f>
        <v>(100)</v>
      </c>
      <c r="K184" s="302">
        <f t="shared" si="147"/>
        <v>58.171999999066884</v>
      </c>
      <c r="L184" s="302">
        <f t="shared" si="148"/>
        <v>23.105999997512583</v>
      </c>
      <c r="M184" s="302">
        <f t="shared" si="149"/>
        <v>82.633000021620319</v>
      </c>
      <c r="N184" s="302">
        <f t="shared" si="150"/>
        <v>163.91100001819979</v>
      </c>
    </row>
    <row r="185" spans="1:14" x14ac:dyDescent="0.3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3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3">
      <c r="A187" s="282" t="s">
        <v>355</v>
      </c>
      <c r="B187" s="302">
        <f>'Ind T6'!V215</f>
        <v>1184.1450000050818</v>
      </c>
      <c r="C187" s="299" t="str">
        <f>CONCATENATE("(",ROUND((B187/$H189)*100,1),")")</f>
        <v>(45.8)</v>
      </c>
      <c r="D187" s="302">
        <f>'Ind T6'!W215</f>
        <v>96.134999999821844</v>
      </c>
      <c r="E187" s="299" t="str">
        <f>CONCATENATE("(",ROUND((D187/$H189)*100,1),")")</f>
        <v>(3.7)</v>
      </c>
      <c r="F187" s="302">
        <f>'Ind T6'!X215</f>
        <v>889.62499994085078</v>
      </c>
      <c r="G187" s="299" t="str">
        <f>CONCATENATE("(",ROUND((F187/$H189)*100,1),")")</f>
        <v>(34.4)</v>
      </c>
      <c r="H187" s="302">
        <f>SUM(B187,D187,F187)</f>
        <v>2169.9049999457548</v>
      </c>
      <c r="I187" s="299" t="str">
        <f>CONCATENATE("(",ROUND((H187/$H189)*100,1),")")</f>
        <v>(84)</v>
      </c>
      <c r="K187" s="302">
        <f>B187-B177</f>
        <v>72.432000007371016</v>
      </c>
      <c r="L187" s="302">
        <f>D187-D177</f>
        <v>15.077999999963737</v>
      </c>
      <c r="M187" s="302">
        <f>F187-F177</f>
        <v>120.58999996861849</v>
      </c>
      <c r="N187" s="302">
        <f>SUM(K187:M187)</f>
        <v>208.09999997595324</v>
      </c>
    </row>
    <row r="188" spans="1:14" x14ac:dyDescent="0.3">
      <c r="A188" s="282" t="s">
        <v>356</v>
      </c>
      <c r="B188" s="302">
        <f>'Ind T6'!V214</f>
        <v>218.58900000123015</v>
      </c>
      <c r="C188" s="299" t="str">
        <f>CONCATENATE("(",ROUND((B188/$H189)*100,1),")")</f>
        <v>(8.5)</v>
      </c>
      <c r="D188" s="302">
        <f>'Ind T6'!W214</f>
        <v>146.77399999904236</v>
      </c>
      <c r="E188" s="299" t="str">
        <f>CONCATENATE("(",ROUND((D188/$H189)*100,1),")")</f>
        <v>(5.7)</v>
      </c>
      <c r="F188" s="302">
        <f>'Ind T6'!X214</f>
        <v>47.785000000050253</v>
      </c>
      <c r="G188" s="299" t="str">
        <f>CONCATENATE("(",ROUND((F188/$H189)*100,1),")")</f>
        <v>(1.8)</v>
      </c>
      <c r="H188" s="302">
        <f t="shared" ref="H188" si="151">SUM(B188,D188,F188)</f>
        <v>413.14800000032278</v>
      </c>
      <c r="I188" s="299" t="str">
        <f>CONCATENATE("(",ROUND((H188/$H189)*100,1),")")</f>
        <v>(16)</v>
      </c>
      <c r="K188" s="302">
        <f t="shared" ref="K188:K189" si="152">B188-B178</f>
        <v>27.451000003407614</v>
      </c>
      <c r="L188" s="302">
        <f t="shared" ref="L188:L189" si="153">D188-D178</f>
        <v>20.680999998391968</v>
      </c>
      <c r="M188" s="302">
        <f t="shared" ref="M188:M189" si="154">F188-F178</f>
        <v>7.8240000004815897</v>
      </c>
      <c r="N188" s="302">
        <f t="shared" ref="N188:N189" si="155">SUM(K188:M188)</f>
        <v>55.956000002281172</v>
      </c>
    </row>
    <row r="189" spans="1:14" x14ac:dyDescent="0.3">
      <c r="A189" s="282" t="s">
        <v>354</v>
      </c>
      <c r="B189" s="302">
        <f>SUM(B187:B188)</f>
        <v>1402.7340000063118</v>
      </c>
      <c r="C189" s="299" t="str">
        <f>CONCATENATE("(",ROUND((B189/$H189)*100,1),")")</f>
        <v>(54.3)</v>
      </c>
      <c r="D189" s="302">
        <f>SUM(D187:D188)</f>
        <v>242.9089999988642</v>
      </c>
      <c r="E189" s="299" t="str">
        <f>CONCATENATE("(",ROUND((D189/$H189)*100,1),")")</f>
        <v>(9.4)</v>
      </c>
      <c r="F189" s="302">
        <f>SUM(F187:F188)</f>
        <v>937.409999940901</v>
      </c>
      <c r="G189" s="299" t="str">
        <f>CONCATENATE("(",ROUND((F189/$H189)*100,1),")")</f>
        <v>(36.3)</v>
      </c>
      <c r="H189" s="302">
        <f>SUM(H187:H188)</f>
        <v>2583.0529999460778</v>
      </c>
      <c r="I189" s="299" t="str">
        <f>CONCATENATE("(",ROUND((H189/$H189)*100,1),")")</f>
        <v>(100)</v>
      </c>
      <c r="K189" s="302">
        <f t="shared" si="152"/>
        <v>99.88300001077846</v>
      </c>
      <c r="L189" s="302">
        <f t="shared" si="153"/>
        <v>35.758999998355705</v>
      </c>
      <c r="M189" s="302">
        <f t="shared" si="154"/>
        <v>128.41399996910002</v>
      </c>
      <c r="N189" s="302">
        <f t="shared" si="155"/>
        <v>264.05599997823418</v>
      </c>
    </row>
    <row r="190" spans="1:14" x14ac:dyDescent="0.3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3">
      <c r="A194" s="288"/>
      <c r="B194" s="289" t="s">
        <v>379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3">
      <c r="N195" s="287" t="s">
        <v>377</v>
      </c>
    </row>
    <row r="196" spans="1:14" x14ac:dyDescent="0.3">
      <c r="A196" s="181" t="s">
        <v>378</v>
      </c>
      <c r="B196" s="370" t="s">
        <v>376</v>
      </c>
      <c r="C196" s="370"/>
      <c r="D196" s="370" t="s">
        <v>375</v>
      </c>
      <c r="E196" s="370"/>
      <c r="F196" s="370" t="s">
        <v>374</v>
      </c>
      <c r="G196" s="370"/>
      <c r="H196" s="370" t="s">
        <v>32</v>
      </c>
      <c r="I196" s="370"/>
      <c r="J196" s="181"/>
      <c r="K196" s="297" t="s">
        <v>339</v>
      </c>
      <c r="L196" s="297" t="s">
        <v>341</v>
      </c>
      <c r="M196" s="297" t="s">
        <v>337</v>
      </c>
      <c r="N196" s="297" t="s">
        <v>32</v>
      </c>
    </row>
    <row r="197" spans="1:14" x14ac:dyDescent="0.3">
      <c r="A197" s="292">
        <f>$A$8</f>
        <v>2020</v>
      </c>
      <c r="B197" s="287" t="s">
        <v>60</v>
      </c>
      <c r="C197" s="19" t="s">
        <v>373</v>
      </c>
      <c r="D197" s="287" t="s">
        <v>60</v>
      </c>
      <c r="E197" s="19" t="s">
        <v>373</v>
      </c>
      <c r="F197" s="287" t="s">
        <v>60</v>
      </c>
      <c r="G197" s="19" t="s">
        <v>373</v>
      </c>
      <c r="H197" s="287" t="s">
        <v>60</v>
      </c>
      <c r="I197" s="19" t="s">
        <v>373</v>
      </c>
      <c r="J197" s="181"/>
      <c r="K197" s="286" t="str">
        <f>CONCATENATE(A197," - ",A202)</f>
        <v>2020 - 2025</v>
      </c>
      <c r="L197" s="285"/>
      <c r="M197" s="285"/>
    </row>
    <row r="198" spans="1:14" x14ac:dyDescent="0.3">
      <c r="A198" s="282" t="s">
        <v>355</v>
      </c>
      <c r="B198" s="302">
        <f>'Ind T6'!L240</f>
        <v>1778.9019999985603</v>
      </c>
      <c r="C198" s="299" t="str">
        <f>CONCATENATE("(",ROUND((B198/$H200)*100,1),")")</f>
        <v>(35.7)</v>
      </c>
      <c r="D198" s="302">
        <f>'Ind T6'!M240</f>
        <v>619.0989999969504</v>
      </c>
      <c r="E198" s="299" t="str">
        <f>CONCATENATE("(",ROUND((D198/$H200)*100,1),")")</f>
        <v>(12.4)</v>
      </c>
      <c r="F198" s="302">
        <f>'Ind T6'!N240</f>
        <v>205.91500000139547</v>
      </c>
      <c r="G198" s="299" t="str">
        <f>CONCATENATE("(",ROUND((F198/$H200)*100,1),")")</f>
        <v>(4.1)</v>
      </c>
      <c r="H198" s="302">
        <f>SUM(B198,D198,F198)</f>
        <v>2603.9159999969065</v>
      </c>
      <c r="I198" s="299" t="str">
        <f>CONCATENATE("(",ROUND((H198/$H200)*100,1),")")</f>
        <v>(52.3)</v>
      </c>
      <c r="K198" s="302">
        <f>B203-B198</f>
        <v>24.540000007158596</v>
      </c>
      <c r="L198" s="302">
        <f>D203-D198</f>
        <v>1.1900000043193586</v>
      </c>
      <c r="M198" s="302">
        <f>F203-F198</f>
        <v>2.8090000007788376</v>
      </c>
      <c r="N198" s="302">
        <f>SUM(K198:M198)</f>
        <v>28.539000012256793</v>
      </c>
    </row>
    <row r="199" spans="1:14" x14ac:dyDescent="0.3">
      <c r="A199" s="282" t="s">
        <v>356</v>
      </c>
      <c r="B199" s="302">
        <f>'Ind T6'!L239</f>
        <v>996.99799999332686</v>
      </c>
      <c r="C199" s="299" t="str">
        <f>CONCATENATE("(",ROUND((B199/$H200)*100,1),")")</f>
        <v>(20)</v>
      </c>
      <c r="D199" s="302">
        <f>'Ind T6'!M239</f>
        <v>1254.9990000502369</v>
      </c>
      <c r="E199" s="299" t="str">
        <f>CONCATENATE("(",ROUND((D199/$H200)*100,1),")")</f>
        <v>(25.2)</v>
      </c>
      <c r="F199" s="302">
        <f>'Ind T6'!N239</f>
        <v>124.07999999803178</v>
      </c>
      <c r="G199" s="299" t="str">
        <f>CONCATENATE("(",ROUND((F199/$H200)*100,1),")")</f>
        <v>(2.5)</v>
      </c>
      <c r="H199" s="302">
        <f t="shared" ref="H199" si="156">SUM(B199,D199,F199)</f>
        <v>2376.0770000415955</v>
      </c>
      <c r="I199" s="299" t="str">
        <f>CONCATENATE("(",ROUND((H199/$H200)*100,1),")")</f>
        <v>(47.7)</v>
      </c>
      <c r="K199" s="302">
        <f t="shared" ref="K199:K200" si="157">B204-B199</f>
        <v>39.04900003362286</v>
      </c>
      <c r="L199" s="302">
        <f t="shared" ref="L199:L200" si="158">D204-D199</f>
        <v>-44.55899997147776</v>
      </c>
      <c r="M199" s="302">
        <f t="shared" ref="M199:M200" si="159">F204-F199</f>
        <v>4.167000001809555</v>
      </c>
      <c r="N199" s="302">
        <f t="shared" ref="N199:N200" si="160">SUM(K199:M199)</f>
        <v>-1.3429999360453451</v>
      </c>
    </row>
    <row r="200" spans="1:14" x14ac:dyDescent="0.3">
      <c r="A200" s="282" t="s">
        <v>354</v>
      </c>
      <c r="B200" s="302">
        <f>SUM(B198:B199)</f>
        <v>2775.8999999918869</v>
      </c>
      <c r="C200" s="299" t="str">
        <f>CONCATENATE("(",ROUND((B200/$H200)*100,1),")")</f>
        <v>(55.7)</v>
      </c>
      <c r="D200" s="302">
        <f>SUM(D198:D199)</f>
        <v>1874.0980000471873</v>
      </c>
      <c r="E200" s="299" t="str">
        <f>CONCATENATE("(",ROUND((D200/$H200)*100,1),")")</f>
        <v>(37.6)</v>
      </c>
      <c r="F200" s="302">
        <f>SUM(F198:F199)</f>
        <v>329.99499999942725</v>
      </c>
      <c r="G200" s="299" t="str">
        <f>CONCATENATE("(",ROUND((F200/$H200)*100,1),")")</f>
        <v>(6.6)</v>
      </c>
      <c r="H200" s="302">
        <f>SUM(H198:H199)</f>
        <v>4979.993000038502</v>
      </c>
      <c r="I200" s="299" t="str">
        <f>CONCATENATE("(",ROUND((H200/$H200)*100,1),")")</f>
        <v>(100)</v>
      </c>
      <c r="K200" s="302">
        <f t="shared" si="157"/>
        <v>63.589000040781684</v>
      </c>
      <c r="L200" s="302">
        <f t="shared" si="158"/>
        <v>-43.368999967158288</v>
      </c>
      <c r="M200" s="302">
        <f t="shared" si="159"/>
        <v>6.976000002588421</v>
      </c>
      <c r="N200" s="302">
        <f t="shared" si="160"/>
        <v>27.196000076211817</v>
      </c>
    </row>
    <row r="201" spans="1:14" x14ac:dyDescent="0.3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3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3">
      <c r="A203" s="282" t="s">
        <v>355</v>
      </c>
      <c r="B203" s="302">
        <f>'Ind T6'!Q240</f>
        <v>1803.4420000057189</v>
      </c>
      <c r="C203" s="299" t="str">
        <f>CONCATENATE("(",ROUND((B203/$H205)*100,1),")")</f>
        <v>(36)</v>
      </c>
      <c r="D203" s="302">
        <f>'Ind T6'!R240</f>
        <v>620.28900000126976</v>
      </c>
      <c r="E203" s="299" t="str">
        <f>CONCATENATE("(",ROUND((D203/$H205)*100,1),")")</f>
        <v>(12.4)</v>
      </c>
      <c r="F203" s="302">
        <f>'Ind T6'!S240</f>
        <v>208.72400000217431</v>
      </c>
      <c r="G203" s="299" t="str">
        <f>CONCATENATE("(",ROUND((F203/$H205)*100,1),")")</f>
        <v>(4.2)</v>
      </c>
      <c r="H203" s="302">
        <f>SUM(B203,D203,F203)</f>
        <v>2632.4550000091631</v>
      </c>
      <c r="I203" s="299" t="str">
        <f>CONCATENATE("(",ROUND((H203/$H205)*100,1),")")</f>
        <v>(52.6)</v>
      </c>
      <c r="K203" s="302">
        <f>B208-B203</f>
        <v>37.84400000151436</v>
      </c>
      <c r="L203" s="302">
        <f>D208-D203</f>
        <v>5.2860000013787385</v>
      </c>
      <c r="M203" s="302">
        <f>F208-F203</f>
        <v>4.8840000004972524</v>
      </c>
      <c r="N203" s="302">
        <f>SUM(K203:M203)</f>
        <v>48.01400000339035</v>
      </c>
    </row>
    <row r="204" spans="1:14" x14ac:dyDescent="0.3">
      <c r="A204" s="282" t="s">
        <v>356</v>
      </c>
      <c r="B204" s="302">
        <f>'Ind T6'!Q239</f>
        <v>1036.0470000269497</v>
      </c>
      <c r="C204" s="299" t="str">
        <f>CONCATENATE("(",ROUND((B204/$H205)*100,1),")")</f>
        <v>(20.7)</v>
      </c>
      <c r="D204" s="302">
        <f>'Ind T6'!R239</f>
        <v>1210.4400000787591</v>
      </c>
      <c r="E204" s="299" t="str">
        <f>CONCATENATE("(",ROUND((D204/$H205)*100,1),")")</f>
        <v>(24.2)</v>
      </c>
      <c r="F204" s="302">
        <f>'Ind T6'!S239</f>
        <v>128.24699999984134</v>
      </c>
      <c r="G204" s="299" t="str">
        <f>CONCATENATE("(",ROUND((F204/$H205)*100,1),")")</f>
        <v>(2.6)</v>
      </c>
      <c r="H204" s="302">
        <f t="shared" ref="H204" si="161">SUM(B204,D204,F204)</f>
        <v>2374.73400010555</v>
      </c>
      <c r="I204" s="299" t="str">
        <f>CONCATENATE("(",ROUND((H204/$H205)*100,1),")")</f>
        <v>(47.4)</v>
      </c>
      <c r="K204" s="302">
        <f t="shared" ref="K204:K205" si="162">B209-B204</f>
        <v>77.826999962521768</v>
      </c>
      <c r="L204" s="302">
        <f t="shared" ref="L204:L205" si="163">D209-D204</f>
        <v>-83.022000092464623</v>
      </c>
      <c r="M204" s="302">
        <f t="shared" ref="M204:M205" si="164">F209-F204</f>
        <v>8.9130000015015014</v>
      </c>
      <c r="N204" s="302">
        <f t="shared" ref="N204:N205" si="165">SUM(K204:M204)</f>
        <v>3.7179998715586464</v>
      </c>
    </row>
    <row r="205" spans="1:14" x14ac:dyDescent="0.3">
      <c r="A205" s="282" t="s">
        <v>354</v>
      </c>
      <c r="B205" s="302">
        <f>SUM(B203:B204)</f>
        <v>2839.4890000326686</v>
      </c>
      <c r="C205" s="299" t="str">
        <f>CONCATENATE("(",ROUND((B205/$H205)*100,1),")")</f>
        <v>(56.7)</v>
      </c>
      <c r="D205" s="302">
        <f>SUM(D203:D204)</f>
        <v>1830.729000080029</v>
      </c>
      <c r="E205" s="299" t="str">
        <f>CONCATENATE("(",ROUND((D205/$H205)*100,1),")")</f>
        <v>(36.6)</v>
      </c>
      <c r="F205" s="302">
        <f>SUM(F203:F204)</f>
        <v>336.97100000201567</v>
      </c>
      <c r="G205" s="299" t="str">
        <f>CONCATENATE("(",ROUND((F205/$H205)*100,1),")")</f>
        <v>(6.7)</v>
      </c>
      <c r="H205" s="302">
        <f>SUM(H203:H204)</f>
        <v>5007.1890001147131</v>
      </c>
      <c r="I205" s="299" t="str">
        <f>CONCATENATE("(",ROUND((H205/$H205)*100,1),")")</f>
        <v>(100)</v>
      </c>
      <c r="K205" s="302">
        <f t="shared" si="162"/>
        <v>115.67099996403613</v>
      </c>
      <c r="L205" s="302">
        <f t="shared" si="163"/>
        <v>-77.736000091085998</v>
      </c>
      <c r="M205" s="302">
        <f t="shared" si="164"/>
        <v>13.797000001998754</v>
      </c>
      <c r="N205" s="302">
        <f t="shared" si="165"/>
        <v>51.731999874948883</v>
      </c>
    </row>
    <row r="206" spans="1:14" x14ac:dyDescent="0.3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3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3">
      <c r="A208" s="282" t="s">
        <v>355</v>
      </c>
      <c r="B208" s="302">
        <f>'Ind T6'!V240</f>
        <v>1841.2860000072333</v>
      </c>
      <c r="C208" s="299" t="str">
        <f>CONCATENATE("(",ROUND((B208/$H210)*100,1),")")</f>
        <v>(36.4)</v>
      </c>
      <c r="D208" s="302">
        <f>'Ind T6'!W240</f>
        <v>625.57500000264849</v>
      </c>
      <c r="E208" s="299" t="str">
        <f>CONCATENATE("(",ROUND((D208/$H210)*100,1),")")</f>
        <v>(12.4)</v>
      </c>
      <c r="F208" s="302">
        <f>'Ind T6'!X240</f>
        <v>213.60800000267156</v>
      </c>
      <c r="G208" s="299" t="str">
        <f>CONCATENATE("(",ROUND((F208/$H210)*100,1),")")</f>
        <v>(4.2)</v>
      </c>
      <c r="H208" s="302">
        <f>SUM(B208,D208,F208)</f>
        <v>2680.4690000125529</v>
      </c>
      <c r="I208" s="299" t="str">
        <f>CONCATENATE("(",ROUND((H208/$H210)*100,1),")")</f>
        <v>(53)</v>
      </c>
      <c r="K208" s="302">
        <f>B208-B198</f>
        <v>62.384000008672956</v>
      </c>
      <c r="L208" s="302">
        <f>D208-D198</f>
        <v>6.4760000056980971</v>
      </c>
      <c r="M208" s="302">
        <f>F208-F198</f>
        <v>7.69300000127609</v>
      </c>
      <c r="N208" s="302">
        <f>SUM(K208:M208)</f>
        <v>76.553000015647143</v>
      </c>
    </row>
    <row r="209" spans="1:14" x14ac:dyDescent="0.3">
      <c r="A209" s="282" t="s">
        <v>356</v>
      </c>
      <c r="B209" s="302">
        <f>'Ind T6'!V239</f>
        <v>1113.8739999894715</v>
      </c>
      <c r="C209" s="299" t="str">
        <f>CONCATENATE("(",ROUND((B209/$H210)*100,1),")")</f>
        <v>(22)</v>
      </c>
      <c r="D209" s="302">
        <f>'Ind T6'!W239</f>
        <v>1127.4179999862945</v>
      </c>
      <c r="E209" s="299" t="str">
        <f>CONCATENATE("(",ROUND((D209/$H210)*100,1),")")</f>
        <v>(22.3)</v>
      </c>
      <c r="F209" s="302">
        <f>'Ind T6'!X239</f>
        <v>137.16000000134284</v>
      </c>
      <c r="G209" s="299" t="str">
        <f>CONCATENATE("(",ROUND((F209/$H210)*100,1),")")</f>
        <v>(2.7)</v>
      </c>
      <c r="H209" s="302">
        <f t="shared" ref="H209" si="166">SUM(B209,D209,F209)</f>
        <v>2378.4519999771087</v>
      </c>
      <c r="I209" s="299" t="str">
        <f>CONCATENATE("(",ROUND((H209/$H210)*100,1),")")</f>
        <v>(47)</v>
      </c>
      <c r="K209" s="302">
        <f t="shared" ref="K209:K210" si="167">B209-B199</f>
        <v>116.87599999614463</v>
      </c>
      <c r="L209" s="302">
        <f t="shared" ref="L209:L210" si="168">D209-D199</f>
        <v>-127.58100006394238</v>
      </c>
      <c r="M209" s="302">
        <f t="shared" ref="M209:M210" si="169">F209-F199</f>
        <v>13.080000003311056</v>
      </c>
      <c r="N209" s="302">
        <f t="shared" ref="N209:N210" si="170">SUM(K209:M209)</f>
        <v>2.3749999355133014</v>
      </c>
    </row>
    <row r="210" spans="1:14" x14ac:dyDescent="0.3">
      <c r="A210" s="282" t="s">
        <v>354</v>
      </c>
      <c r="B210" s="302">
        <f>SUM(B208:B209)</f>
        <v>2955.1599999967048</v>
      </c>
      <c r="C210" s="299" t="str">
        <f>CONCATENATE("(",ROUND((B210/$H210)*100,1),")")</f>
        <v>(58.4)</v>
      </c>
      <c r="D210" s="302">
        <f>SUM(D208:D209)</f>
        <v>1752.992999988943</v>
      </c>
      <c r="E210" s="299" t="str">
        <f>CONCATENATE("(",ROUND((D210/$H210)*100,1),")")</f>
        <v>(34.7)</v>
      </c>
      <c r="F210" s="302">
        <f>SUM(F208:F209)</f>
        <v>350.76800000401443</v>
      </c>
      <c r="G210" s="299" t="str">
        <f>CONCATENATE("(",ROUND((F210/$H210)*100,1),")")</f>
        <v>(6.9)</v>
      </c>
      <c r="H210" s="302">
        <f>SUM(H208:H209)</f>
        <v>5058.9209999896611</v>
      </c>
      <c r="I210" s="299" t="str">
        <f>CONCATENATE("(",ROUND((H210/$H210)*100,1),")")</f>
        <v>(100)</v>
      </c>
      <c r="K210" s="302">
        <f t="shared" si="167"/>
        <v>179.26000000481781</v>
      </c>
      <c r="L210" s="302">
        <f t="shared" si="168"/>
        <v>-121.10500005824429</v>
      </c>
      <c r="M210" s="302">
        <f t="shared" si="169"/>
        <v>20.773000004587175</v>
      </c>
      <c r="N210" s="302">
        <f t="shared" si="170"/>
        <v>78.9279999511607</v>
      </c>
    </row>
    <row r="211" spans="1:14" x14ac:dyDescent="0.3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3">
      <c r="A215" s="288"/>
      <c r="B215" s="289" t="s">
        <v>379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3">
      <c r="N216" s="287" t="s">
        <v>377</v>
      </c>
    </row>
    <row r="217" spans="1:14" x14ac:dyDescent="0.3">
      <c r="A217" s="181" t="s">
        <v>378</v>
      </c>
      <c r="B217" s="370" t="s">
        <v>376</v>
      </c>
      <c r="C217" s="370"/>
      <c r="D217" s="370" t="s">
        <v>375</v>
      </c>
      <c r="E217" s="370"/>
      <c r="F217" s="370" t="s">
        <v>374</v>
      </c>
      <c r="G217" s="370"/>
      <c r="H217" s="370" t="s">
        <v>32</v>
      </c>
      <c r="I217" s="370"/>
      <c r="J217" s="181"/>
      <c r="K217" s="297" t="s">
        <v>339</v>
      </c>
      <c r="L217" s="297" t="s">
        <v>341</v>
      </c>
      <c r="M217" s="297" t="s">
        <v>337</v>
      </c>
      <c r="N217" s="297" t="s">
        <v>32</v>
      </c>
    </row>
    <row r="218" spans="1:14" x14ac:dyDescent="0.3">
      <c r="A218" s="292">
        <f>$A$8</f>
        <v>2020</v>
      </c>
      <c r="B218" s="287" t="s">
        <v>60</v>
      </c>
      <c r="C218" s="19" t="s">
        <v>373</v>
      </c>
      <c r="D218" s="287" t="s">
        <v>60</v>
      </c>
      <c r="E218" s="19" t="s">
        <v>373</v>
      </c>
      <c r="F218" s="287" t="s">
        <v>60</v>
      </c>
      <c r="G218" s="19" t="s">
        <v>373</v>
      </c>
      <c r="H218" s="287" t="s">
        <v>60</v>
      </c>
      <c r="I218" s="19" t="s">
        <v>373</v>
      </c>
      <c r="J218" s="181"/>
      <c r="K218" s="286" t="str">
        <f>CONCATENATE(A218," - ",A223)</f>
        <v>2020 - 2025</v>
      </c>
      <c r="L218" s="285"/>
      <c r="M218" s="285"/>
    </row>
    <row r="219" spans="1:14" x14ac:dyDescent="0.3">
      <c r="A219" s="282" t="s">
        <v>355</v>
      </c>
      <c r="B219" s="302">
        <f>'Ind T6'!L275</f>
        <v>979.51999999843429</v>
      </c>
      <c r="C219" s="299" t="str">
        <f>CONCATENATE("(",ROUND((B219/$H221)*100,1),")")</f>
        <v>(54.8)</v>
      </c>
      <c r="D219" s="302">
        <f>'Ind T6'!M275</f>
        <v>152.90099999959958</v>
      </c>
      <c r="E219" s="299" t="str">
        <f>CONCATENATE("(",ROUND((D219/$H221)*100,1),")")</f>
        <v>(8.6)</v>
      </c>
      <c r="F219" s="302">
        <f>'Ind T6'!N275</f>
        <v>232.76100000412774</v>
      </c>
      <c r="G219" s="299" t="str">
        <f>CONCATENATE("(",ROUND((F219/$H221)*100,1),")")</f>
        <v>(13)</v>
      </c>
      <c r="H219" s="302">
        <f>SUM(B219,D219,F219)</f>
        <v>1365.1820000021617</v>
      </c>
      <c r="I219" s="299" t="str">
        <f>CONCATENATE("(",ROUND((H219/$H221)*100,1),")")</f>
        <v>(76.4)</v>
      </c>
      <c r="K219" s="302">
        <f>B224-B219</f>
        <v>50.399000003588753</v>
      </c>
      <c r="L219" s="302">
        <f>D224-D219</f>
        <v>9.1700000003522462</v>
      </c>
      <c r="M219" s="302">
        <f>F224-F219</f>
        <v>18.983000012133317</v>
      </c>
      <c r="N219" s="302">
        <f>SUM(K219:M219)</f>
        <v>78.552000016074317</v>
      </c>
    </row>
    <row r="220" spans="1:14" x14ac:dyDescent="0.3">
      <c r="A220" s="282" t="s">
        <v>356</v>
      </c>
      <c r="B220" s="302">
        <f>'Ind T6'!L274</f>
        <v>242.36199999811976</v>
      </c>
      <c r="C220" s="299" t="str">
        <f>CONCATENATE("(",ROUND((B220/$H221)*100,1),")")</f>
        <v>(13.6)</v>
      </c>
      <c r="D220" s="302">
        <f>'Ind T6'!M274</f>
        <v>156.22200000226132</v>
      </c>
      <c r="E220" s="299" t="str">
        <f>CONCATENATE("(",ROUND((D220/$H221)*100,1),")")</f>
        <v>(8.7)</v>
      </c>
      <c r="F220" s="302">
        <f>'Ind T6'!N274</f>
        <v>24.23599999989078</v>
      </c>
      <c r="G220" s="299" t="str">
        <f>CONCATENATE("(",ROUND((F220/$H221)*100,1),")")</f>
        <v>(1.4)</v>
      </c>
      <c r="H220" s="302">
        <f t="shared" ref="H220" si="171">SUM(B220,D220,F220)</f>
        <v>422.82000000027188</v>
      </c>
      <c r="I220" s="299" t="str">
        <f>CONCATENATE("(",ROUND((H220/$H221)*100,1),")")</f>
        <v>(23.6)</v>
      </c>
      <c r="K220" s="302">
        <f t="shared" ref="K220:K221" si="172">B225-B220</f>
        <v>20.931000008088915</v>
      </c>
      <c r="L220" s="302">
        <f t="shared" ref="L220:L221" si="173">D225-D220</f>
        <v>15.917000001173307</v>
      </c>
      <c r="M220" s="302">
        <f t="shared" ref="M220:M221" si="174">F225-F220</f>
        <v>1.0180000002258183</v>
      </c>
      <c r="N220" s="302">
        <f t="shared" ref="N220:N221" si="175">SUM(K220:M220)</f>
        <v>37.86600000948804</v>
      </c>
    </row>
    <row r="221" spans="1:14" x14ac:dyDescent="0.3">
      <c r="A221" s="282" t="s">
        <v>354</v>
      </c>
      <c r="B221" s="302">
        <f>SUM(B219:B220)</f>
        <v>1221.881999996554</v>
      </c>
      <c r="C221" s="299" t="str">
        <f>CONCATENATE("(",ROUND((B221/$H221)*100,1),")")</f>
        <v>(68.3)</v>
      </c>
      <c r="D221" s="302">
        <f>SUM(D219:D220)</f>
        <v>309.12300000186087</v>
      </c>
      <c r="E221" s="299" t="str">
        <f>CONCATENATE("(",ROUND((D221/$H221)*100,1),")")</f>
        <v>(17.3)</v>
      </c>
      <c r="F221" s="302">
        <f>SUM(F219:F220)</f>
        <v>256.9970000040185</v>
      </c>
      <c r="G221" s="299" t="str">
        <f>CONCATENATE("(",ROUND((F221/$H221)*100,1),")")</f>
        <v>(14.4)</v>
      </c>
      <c r="H221" s="302">
        <f>SUM(H219:H220)</f>
        <v>1788.0020000024335</v>
      </c>
      <c r="I221" s="299" t="str">
        <f>CONCATENATE("(",ROUND((H221/$H221)*100,1),")")</f>
        <v>(100)</v>
      </c>
      <c r="K221" s="302">
        <f t="shared" si="172"/>
        <v>71.330000011677839</v>
      </c>
      <c r="L221" s="302">
        <f t="shared" si="173"/>
        <v>25.087000001525553</v>
      </c>
      <c r="M221" s="302">
        <f t="shared" si="174"/>
        <v>20.001000012359157</v>
      </c>
      <c r="N221" s="302">
        <f t="shared" si="175"/>
        <v>116.41800002556255</v>
      </c>
    </row>
    <row r="222" spans="1:14" x14ac:dyDescent="0.3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3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3">
      <c r="A224" s="282" t="s">
        <v>355</v>
      </c>
      <c r="B224" s="302">
        <f>'Ind T6'!Q275</f>
        <v>1029.919000002023</v>
      </c>
      <c r="C224" s="299" t="str">
        <f>CONCATENATE("(",ROUND((B224/$H226)*100,1),")")</f>
        <v>(54.1)</v>
      </c>
      <c r="D224" s="302">
        <f>'Ind T6'!R275</f>
        <v>162.07099999995182</v>
      </c>
      <c r="E224" s="299" t="str">
        <f>CONCATENATE("(",ROUND((D224/$H226)*100,1),")")</f>
        <v>(8.5)</v>
      </c>
      <c r="F224" s="302">
        <f>'Ind T6'!S275</f>
        <v>251.74400001626105</v>
      </c>
      <c r="G224" s="299" t="str">
        <f>CONCATENATE("(",ROUND((F224/$H226)*100,1),")")</f>
        <v>(13.2)</v>
      </c>
      <c r="H224" s="302">
        <f>SUM(B224,D224,F224)</f>
        <v>1443.7340000182357</v>
      </c>
      <c r="I224" s="299" t="str">
        <f>CONCATENATE("(",ROUND((H224/$H226)*100,1),")")</f>
        <v>(75.8)</v>
      </c>
      <c r="K224" s="302">
        <f>B229-B224</f>
        <v>-13.215999999955102</v>
      </c>
      <c r="L224" s="302">
        <f>D229-D224</f>
        <v>6.9980000005294869</v>
      </c>
      <c r="M224" s="302">
        <f>F229-F224</f>
        <v>13.220999997097977</v>
      </c>
      <c r="N224" s="302">
        <f>SUM(K224:M224)</f>
        <v>7.0029999976723616</v>
      </c>
    </row>
    <row r="225" spans="1:14" x14ac:dyDescent="0.3">
      <c r="A225" s="282" t="s">
        <v>356</v>
      </c>
      <c r="B225" s="302">
        <f>'Ind T6'!Q274</f>
        <v>263.29300000620867</v>
      </c>
      <c r="C225" s="299" t="str">
        <f>CONCATENATE("(",ROUND((B225/$H226)*100,1),")")</f>
        <v>(13.8)</v>
      </c>
      <c r="D225" s="302">
        <f>'Ind T6'!R274</f>
        <v>172.13900000343463</v>
      </c>
      <c r="E225" s="299" t="str">
        <f>CONCATENATE("(",ROUND((D225/$H226)*100,1),")")</f>
        <v>(9)</v>
      </c>
      <c r="F225" s="302">
        <f>'Ind T6'!S274</f>
        <v>25.254000000116598</v>
      </c>
      <c r="G225" s="299" t="str">
        <f>CONCATENATE("(",ROUND((F225/$H226)*100,1),")")</f>
        <v>(1.3)</v>
      </c>
      <c r="H225" s="302">
        <f t="shared" ref="H225" si="176">SUM(B225,D225,F225)</f>
        <v>460.68600000975988</v>
      </c>
      <c r="I225" s="299" t="str">
        <f>CONCATENATE("(",ROUND((H225/$H226)*100,1),")")</f>
        <v>(24.2)</v>
      </c>
      <c r="K225" s="302">
        <f t="shared" ref="K225:K226" si="177">B230-B225</f>
        <v>13.589999992297635</v>
      </c>
      <c r="L225" s="302">
        <f t="shared" ref="L225:L226" si="178">D230-D225</f>
        <v>15.570999994198814</v>
      </c>
      <c r="M225" s="302">
        <f t="shared" ref="M225:M226" si="179">F230-F225</f>
        <v>-3.599999997770098E-2</v>
      </c>
      <c r="N225" s="302">
        <f t="shared" ref="N225:N226" si="180">SUM(K225:M225)</f>
        <v>29.124999986518748</v>
      </c>
    </row>
    <row r="226" spans="1:14" x14ac:dyDescent="0.3">
      <c r="A226" s="282" t="s">
        <v>354</v>
      </c>
      <c r="B226" s="302">
        <f>SUM(B224:B225)</f>
        <v>1293.2120000082318</v>
      </c>
      <c r="C226" s="299" t="str">
        <f>CONCATENATE("(",ROUND((B226/$H226)*100,1),")")</f>
        <v>(67.9)</v>
      </c>
      <c r="D226" s="302">
        <f>SUM(D224:D225)</f>
        <v>334.21000000338643</v>
      </c>
      <c r="E226" s="299" t="str">
        <f>CONCATENATE("(",ROUND((D226/$H226)*100,1),")")</f>
        <v>(17.5)</v>
      </c>
      <c r="F226" s="302">
        <f>SUM(F224:F225)</f>
        <v>276.99800001637766</v>
      </c>
      <c r="G226" s="299" t="str">
        <f>CONCATENATE("(",ROUND((F226/$H226)*100,1),")")</f>
        <v>(14.5)</v>
      </c>
      <c r="H226" s="302">
        <f>SUM(H224:H225)</f>
        <v>1904.4200000279957</v>
      </c>
      <c r="I226" s="299" t="str">
        <f>CONCATENATE("(",ROUND((H226/$H226)*100,1),")")</f>
        <v>(100)</v>
      </c>
      <c r="K226" s="302">
        <f t="shared" si="177"/>
        <v>0.37399999234230563</v>
      </c>
      <c r="L226" s="302">
        <f t="shared" si="178"/>
        <v>22.568999994728301</v>
      </c>
      <c r="M226" s="302">
        <f t="shared" si="179"/>
        <v>13.184999997120258</v>
      </c>
      <c r="N226" s="302">
        <f t="shared" si="180"/>
        <v>36.127999984190865</v>
      </c>
    </row>
    <row r="227" spans="1:14" x14ac:dyDescent="0.3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3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3">
      <c r="A229" s="282" t="s">
        <v>355</v>
      </c>
      <c r="B229" s="302">
        <f>'Ind T6'!V275</f>
        <v>1016.7030000020679</v>
      </c>
      <c r="C229" s="299" t="str">
        <f>CONCATENATE("(",ROUND((B229/$H231)*100,1),")")</f>
        <v>(52.4)</v>
      </c>
      <c r="D229" s="302">
        <f>'Ind T6'!W275</f>
        <v>169.06900000048131</v>
      </c>
      <c r="E229" s="299" t="str">
        <f>CONCATENATE("(",ROUND((D229/$H231)*100,1),")")</f>
        <v>(8.7)</v>
      </c>
      <c r="F229" s="302">
        <f>'Ind T6'!X275</f>
        <v>264.96500001335903</v>
      </c>
      <c r="G229" s="299" t="str">
        <f>CONCATENATE("(",ROUND((F229/$H231)*100,1),")")</f>
        <v>(13.7)</v>
      </c>
      <c r="H229" s="302">
        <f>SUM(B229,D229,F229)</f>
        <v>1450.7370000159083</v>
      </c>
      <c r="I229" s="299" t="str">
        <f>CONCATENATE("(",ROUND((H229/$H231)*100,1),")")</f>
        <v>(74.8)</v>
      </c>
      <c r="K229" s="302">
        <f>B229-B219</f>
        <v>37.183000003633651</v>
      </c>
      <c r="L229" s="302">
        <f>D229-D219</f>
        <v>16.168000000881733</v>
      </c>
      <c r="M229" s="302">
        <f>F229-F219</f>
        <v>32.204000009231294</v>
      </c>
      <c r="N229" s="302">
        <f>SUM(K229:M229)</f>
        <v>85.555000013746678</v>
      </c>
    </row>
    <row r="230" spans="1:14" x14ac:dyDescent="0.3">
      <c r="A230" s="282" t="s">
        <v>356</v>
      </c>
      <c r="B230" s="302">
        <f>'Ind T6'!V274</f>
        <v>276.88299999850631</v>
      </c>
      <c r="C230" s="299" t="str">
        <f>CONCATENATE("(",ROUND((B230/$H231)*100,1),")")</f>
        <v>(14.3)</v>
      </c>
      <c r="D230" s="302">
        <f>'Ind T6'!W274</f>
        <v>187.70999999763345</v>
      </c>
      <c r="E230" s="299" t="str">
        <f>CONCATENATE("(",ROUND((D230/$H231)*100,1),")")</f>
        <v>(9.7)</v>
      </c>
      <c r="F230" s="302">
        <f>'Ind T6'!X274</f>
        <v>25.218000000138897</v>
      </c>
      <c r="G230" s="299" t="str">
        <f>CONCATENATE("(",ROUND((F230/$H231)*100,1),")")</f>
        <v>(1.3)</v>
      </c>
      <c r="H230" s="302">
        <f t="shared" ref="H230" si="181">SUM(B230,D230,F230)</f>
        <v>489.81099999627861</v>
      </c>
      <c r="I230" s="299" t="str">
        <f>CONCATENATE("(",ROUND((H230/$H231)*100,1),")")</f>
        <v>(25.2)</v>
      </c>
      <c r="K230" s="302">
        <f t="shared" ref="K230:K231" si="182">B230-B220</f>
        <v>34.52100000038655</v>
      </c>
      <c r="L230" s="302">
        <f t="shared" ref="L230:L231" si="183">D230-D220</f>
        <v>31.487999995372121</v>
      </c>
      <c r="M230" s="302">
        <f t="shared" ref="M230:M231" si="184">F230-F220</f>
        <v>0.98200000024811729</v>
      </c>
      <c r="N230" s="302">
        <f t="shared" ref="N230:N231" si="185">SUM(K230:M230)</f>
        <v>66.990999996006792</v>
      </c>
    </row>
    <row r="231" spans="1:14" x14ac:dyDescent="0.3">
      <c r="A231" s="282" t="s">
        <v>354</v>
      </c>
      <c r="B231" s="302">
        <f>SUM(B229:B230)</f>
        <v>1293.5860000005741</v>
      </c>
      <c r="C231" s="299" t="str">
        <f>CONCATENATE("(",ROUND((B231/$H231)*100,1),")")</f>
        <v>(66.7)</v>
      </c>
      <c r="D231" s="302">
        <f>SUM(D229:D230)</f>
        <v>356.77899999811473</v>
      </c>
      <c r="E231" s="299" t="str">
        <f>CONCATENATE("(",ROUND((D231/$H231)*100,1),")")</f>
        <v>(18.4)</v>
      </c>
      <c r="F231" s="302">
        <f>SUM(F229:F230)</f>
        <v>290.18300001349792</v>
      </c>
      <c r="G231" s="299" t="str">
        <f>CONCATENATE("(",ROUND((F231/$H231)*100,1),")")</f>
        <v>(15)</v>
      </c>
      <c r="H231" s="302">
        <f>SUM(H229:H230)</f>
        <v>1940.548000012187</v>
      </c>
      <c r="I231" s="299" t="str">
        <f>CONCATENATE("(",ROUND((H231/$H231)*100,1),")")</f>
        <v>(100)</v>
      </c>
      <c r="K231" s="302">
        <f t="shared" si="182"/>
        <v>71.704000004020145</v>
      </c>
      <c r="L231" s="302">
        <f t="shared" si="183"/>
        <v>47.655999996253854</v>
      </c>
      <c r="M231" s="302">
        <f t="shared" si="184"/>
        <v>33.186000009479415</v>
      </c>
      <c r="N231" s="302">
        <f t="shared" si="185"/>
        <v>152.54600000975341</v>
      </c>
    </row>
    <row r="232" spans="1:14" x14ac:dyDescent="0.3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3">
      <c r="A236" s="288"/>
      <c r="B236" s="289" t="s">
        <v>379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3">
      <c r="N237" s="287" t="s">
        <v>377</v>
      </c>
    </row>
    <row r="238" spans="1:14" x14ac:dyDescent="0.3">
      <c r="A238" s="181" t="s">
        <v>378</v>
      </c>
      <c r="B238" s="370" t="s">
        <v>376</v>
      </c>
      <c r="C238" s="370"/>
      <c r="D238" s="370" t="s">
        <v>375</v>
      </c>
      <c r="E238" s="370"/>
      <c r="F238" s="370" t="s">
        <v>374</v>
      </c>
      <c r="G238" s="370"/>
      <c r="H238" s="370" t="s">
        <v>32</v>
      </c>
      <c r="I238" s="370"/>
      <c r="J238" s="181"/>
      <c r="K238" s="297" t="s">
        <v>339</v>
      </c>
      <c r="L238" s="297" t="s">
        <v>341</v>
      </c>
      <c r="M238" s="297" t="s">
        <v>337</v>
      </c>
      <c r="N238" s="297" t="s">
        <v>32</v>
      </c>
    </row>
    <row r="239" spans="1:14" x14ac:dyDescent="0.3">
      <c r="A239" s="292">
        <f>$A$8</f>
        <v>2020</v>
      </c>
      <c r="B239" s="287" t="s">
        <v>60</v>
      </c>
      <c r="C239" s="19" t="s">
        <v>373</v>
      </c>
      <c r="D239" s="287" t="s">
        <v>60</v>
      </c>
      <c r="E239" s="19" t="s">
        <v>373</v>
      </c>
      <c r="F239" s="287" t="s">
        <v>60</v>
      </c>
      <c r="G239" s="19" t="s">
        <v>373</v>
      </c>
      <c r="H239" s="287" t="s">
        <v>60</v>
      </c>
      <c r="I239" s="19" t="s">
        <v>373</v>
      </c>
      <c r="J239" s="181"/>
      <c r="K239" s="286" t="str">
        <f>CONCATENATE(A239," - ",A244)</f>
        <v>2020 - 2025</v>
      </c>
      <c r="L239" s="285"/>
      <c r="M239" s="285"/>
    </row>
    <row r="240" spans="1:14" x14ac:dyDescent="0.3">
      <c r="A240" s="282" t="s">
        <v>355</v>
      </c>
      <c r="B240" s="302">
        <f>'Ind T6'!L295</f>
        <v>527.7489999973169</v>
      </c>
      <c r="C240" s="299" t="str">
        <f>CONCATENATE("(",ROUND((B240/$H242)*100,1),")")</f>
        <v>(21.8)</v>
      </c>
      <c r="D240" s="302">
        <f>'Ind T6'!M295</f>
        <v>528.7179999970997</v>
      </c>
      <c r="E240" s="299" t="str">
        <f>CONCATENATE("(",ROUND((D240/$H242)*100,1),")")</f>
        <v>(21.9)</v>
      </c>
      <c r="F240" s="302">
        <f>'Ind T6'!N295</f>
        <v>51.382000000540913</v>
      </c>
      <c r="G240" s="299" t="str">
        <f>CONCATENATE("(",ROUND((F240/$H242)*100,1),")")</f>
        <v>(2.1)</v>
      </c>
      <c r="H240" s="302">
        <f>SUM(B240,D240,F240)</f>
        <v>1107.8489999949577</v>
      </c>
      <c r="I240" s="299" t="str">
        <f>CONCATENATE("(",ROUND((H240/$H242)*100,1),")")</f>
        <v>(45.9)</v>
      </c>
      <c r="K240" s="302">
        <f>B245-B240</f>
        <v>25.987000003071898</v>
      </c>
      <c r="L240" s="302">
        <f>D245-D240</f>
        <v>15.933000003412872</v>
      </c>
      <c r="M240" s="302">
        <f>F245-F240</f>
        <v>2.989000000707037</v>
      </c>
      <c r="N240" s="302">
        <f>SUM(K240:M240)</f>
        <v>44.909000007191807</v>
      </c>
    </row>
    <row r="241" spans="1:14" x14ac:dyDescent="0.3">
      <c r="A241" s="282" t="s">
        <v>356</v>
      </c>
      <c r="B241" s="302">
        <f>'Ind T6'!L294</f>
        <v>439.75599999703422</v>
      </c>
      <c r="C241" s="299" t="str">
        <f>CONCATENATE("(",ROUND((B241/$H242)*100,1),")")</f>
        <v>(18.2)</v>
      </c>
      <c r="D241" s="302">
        <f>'Ind T6'!M294</f>
        <v>785.77600001968585</v>
      </c>
      <c r="E241" s="299" t="str">
        <f>CONCATENATE("(",ROUND((D241/$H242)*100,1),")")</f>
        <v>(32.5)</v>
      </c>
      <c r="F241" s="302">
        <f>'Ind T6'!N294</f>
        <v>82.614999998800101</v>
      </c>
      <c r="G241" s="299" t="str">
        <f>CONCATENATE("(",ROUND((F241/$H242)*100,1),")")</f>
        <v>(3.4)</v>
      </c>
      <c r="H241" s="302">
        <f t="shared" ref="H241" si="186">SUM(B241,D241,F241)</f>
        <v>1308.1470000155202</v>
      </c>
      <c r="I241" s="299" t="str">
        <f>CONCATENATE("(",ROUND((H241/$H242)*100,1),")")</f>
        <v>(54.1)</v>
      </c>
      <c r="K241" s="302">
        <f t="shared" ref="K241:K242" si="187">B246-B241</f>
        <v>20.175000013463034</v>
      </c>
      <c r="L241" s="302">
        <f t="shared" ref="L241:L242" si="188">D246-D241</f>
        <v>27.70900001641462</v>
      </c>
      <c r="M241" s="302">
        <f t="shared" ref="M241:M242" si="189">F246-F241</f>
        <v>4.9870000014502978</v>
      </c>
      <c r="N241" s="302">
        <f t="shared" ref="N241:N242" si="190">SUM(K241:M241)</f>
        <v>52.871000031327952</v>
      </c>
    </row>
    <row r="242" spans="1:14" x14ac:dyDescent="0.3">
      <c r="A242" s="282" t="s">
        <v>354</v>
      </c>
      <c r="B242" s="302">
        <f>SUM(B240:B241)</f>
        <v>967.50499999435112</v>
      </c>
      <c r="C242" s="299" t="str">
        <f>CONCATENATE("(",ROUND((B242/$H242)*100,1),")")</f>
        <v>(40)</v>
      </c>
      <c r="D242" s="302">
        <f>SUM(D240:D241)</f>
        <v>1314.4940000167855</v>
      </c>
      <c r="E242" s="299" t="str">
        <f>CONCATENATE("(",ROUND((D242/$H242)*100,1),")")</f>
        <v>(54.4)</v>
      </c>
      <c r="F242" s="302">
        <f>SUM(F240:F241)</f>
        <v>133.99699999934103</v>
      </c>
      <c r="G242" s="299" t="str">
        <f>CONCATENATE("(",ROUND((F242/$H242)*100,1),")")</f>
        <v>(5.5)</v>
      </c>
      <c r="H242" s="302">
        <f>SUM(H240:H241)</f>
        <v>2415.9960000104779</v>
      </c>
      <c r="I242" s="299" t="str">
        <f>CONCATENATE("(",ROUND((H242/$H242)*100,1),")")</f>
        <v>(100)</v>
      </c>
      <c r="K242" s="302">
        <f t="shared" si="187"/>
        <v>46.162000016534989</v>
      </c>
      <c r="L242" s="302">
        <f t="shared" si="188"/>
        <v>43.642000019827492</v>
      </c>
      <c r="M242" s="302">
        <f t="shared" si="189"/>
        <v>7.9760000021573205</v>
      </c>
      <c r="N242" s="302">
        <f t="shared" si="190"/>
        <v>97.780000038519802</v>
      </c>
    </row>
    <row r="243" spans="1:14" x14ac:dyDescent="0.3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3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3">
      <c r="A245" s="282" t="s">
        <v>355</v>
      </c>
      <c r="B245" s="302">
        <f>'Ind T6'!Q295</f>
        <v>553.7360000003888</v>
      </c>
      <c r="C245" s="299" t="str">
        <f>CONCATENATE("(",ROUND((B245/$H247)*100,1),")")</f>
        <v>(22)</v>
      </c>
      <c r="D245" s="302">
        <f>'Ind T6'!R295</f>
        <v>544.65100000051257</v>
      </c>
      <c r="E245" s="299" t="str">
        <f>CONCATENATE("(",ROUND((D245/$H247)*100,1),")")</f>
        <v>(21.7)</v>
      </c>
      <c r="F245" s="302">
        <f>'Ind T6'!S295</f>
        <v>54.37100000124795</v>
      </c>
      <c r="G245" s="299" t="str">
        <f>CONCATENATE("(",ROUND((F245/$H247)*100,1),")")</f>
        <v>(2.2)</v>
      </c>
      <c r="H245" s="302">
        <f>SUM(B245,D245,F245)</f>
        <v>1152.7580000021494</v>
      </c>
      <c r="I245" s="299" t="str">
        <f>CONCATENATE("(",ROUND((H245/$H247)*100,1),")")</f>
        <v>(45.9)</v>
      </c>
      <c r="K245" s="302">
        <f>B250-B245</f>
        <v>83.490999998639836</v>
      </c>
      <c r="L245" s="302">
        <f>D250-D245</f>
        <v>72.256000000952895</v>
      </c>
      <c r="M245" s="302">
        <f>F250-F245</f>
        <v>7.590999999635514</v>
      </c>
      <c r="N245" s="302">
        <f>SUM(K245:M245)</f>
        <v>163.33799999922826</v>
      </c>
    </row>
    <row r="246" spans="1:14" x14ac:dyDescent="0.3">
      <c r="A246" s="282" t="s">
        <v>356</v>
      </c>
      <c r="B246" s="302">
        <f>'Ind T6'!Q294</f>
        <v>459.93100001049726</v>
      </c>
      <c r="C246" s="299" t="str">
        <f>CONCATENATE("(",ROUND((B246/$H247)*100,1),")")</f>
        <v>(18.3)</v>
      </c>
      <c r="D246" s="302">
        <f>'Ind T6'!R294</f>
        <v>813.48500003610047</v>
      </c>
      <c r="E246" s="299" t="str">
        <f>CONCATENATE("(",ROUND((D246/$H247)*100,1),")")</f>
        <v>(32.4)</v>
      </c>
      <c r="F246" s="302">
        <f>'Ind T6'!S294</f>
        <v>87.602000000250399</v>
      </c>
      <c r="G246" s="299" t="str">
        <f>CONCATENATE("(",ROUND((F246/$H247)*100,1),")")</f>
        <v>(3.5)</v>
      </c>
      <c r="H246" s="302">
        <f t="shared" ref="H246" si="191">SUM(B246,D246,F246)</f>
        <v>1361.0180000468481</v>
      </c>
      <c r="I246" s="299" t="str">
        <f>CONCATENATE("(",ROUND((H246/$H247)*100,1),")")</f>
        <v>(54.1)</v>
      </c>
      <c r="K246" s="302">
        <f t="shared" ref="K246:K247" si="192">B251-B246</f>
        <v>64.09799998667205</v>
      </c>
      <c r="L246" s="302">
        <f t="shared" ref="L246:L247" si="193">D251-D246</f>
        <v>106.40899995423433</v>
      </c>
      <c r="M246" s="302">
        <f t="shared" ref="M246:M247" si="194">F251-F246</f>
        <v>11.8079999990928</v>
      </c>
      <c r="N246" s="302">
        <f t="shared" ref="N246:N247" si="195">SUM(K246:M246)</f>
        <v>182.31499993999918</v>
      </c>
    </row>
    <row r="247" spans="1:14" x14ac:dyDescent="0.3">
      <c r="A247" s="282" t="s">
        <v>354</v>
      </c>
      <c r="B247" s="302">
        <f>SUM(B245:B246)</f>
        <v>1013.6670000108861</v>
      </c>
      <c r="C247" s="299" t="str">
        <f>CONCATENATE("(",ROUND((B247/$H247)*100,1),")")</f>
        <v>(40.3)</v>
      </c>
      <c r="D247" s="302">
        <f>SUM(D245:D246)</f>
        <v>1358.136000036613</v>
      </c>
      <c r="E247" s="299" t="str">
        <f>CONCATENATE("(",ROUND((D247/$H247)*100,1),")")</f>
        <v>(54)</v>
      </c>
      <c r="F247" s="302">
        <f>SUM(F245:F246)</f>
        <v>141.97300000149835</v>
      </c>
      <c r="G247" s="299" t="str">
        <f>CONCATENATE("(",ROUND((F247/$H247)*100,1),")")</f>
        <v>(5.6)</v>
      </c>
      <c r="H247" s="302">
        <f>SUM(H245:H246)</f>
        <v>2513.7760000489975</v>
      </c>
      <c r="I247" s="299" t="str">
        <f>CONCATENATE("(",ROUND((H247/$H247)*100,1),")")</f>
        <v>(100)</v>
      </c>
      <c r="K247" s="302">
        <f t="shared" si="192"/>
        <v>147.58899998531183</v>
      </c>
      <c r="L247" s="302">
        <f t="shared" si="193"/>
        <v>178.66499995518734</v>
      </c>
      <c r="M247" s="302">
        <f t="shared" si="194"/>
        <v>19.3989999987283</v>
      </c>
      <c r="N247" s="302">
        <f t="shared" si="195"/>
        <v>345.65299993922747</v>
      </c>
    </row>
    <row r="248" spans="1:14" x14ac:dyDescent="0.3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3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3">
      <c r="A250" s="282" t="s">
        <v>355</v>
      </c>
      <c r="B250" s="302">
        <f>'Ind T6'!V295</f>
        <v>637.22699999902864</v>
      </c>
      <c r="C250" s="299" t="str">
        <f>CONCATENATE("(",ROUND((B250/$H252)*100,1),")")</f>
        <v>(22.3)</v>
      </c>
      <c r="D250" s="302">
        <f>'Ind T6'!W295</f>
        <v>616.90700000146546</v>
      </c>
      <c r="E250" s="299" t="str">
        <f>CONCATENATE("(",ROUND((D250/$H252)*100,1),")")</f>
        <v>(21.6)</v>
      </c>
      <c r="F250" s="302">
        <f>'Ind T6'!X295</f>
        <v>61.962000000883464</v>
      </c>
      <c r="G250" s="299" t="str">
        <f>CONCATENATE("(",ROUND((F250/$H252)*100,1),")")</f>
        <v>(2.2)</v>
      </c>
      <c r="H250" s="302">
        <f>SUM(B250,D250,F250)</f>
        <v>1316.0960000013777</v>
      </c>
      <c r="I250" s="299" t="str">
        <f>CONCATENATE("(",ROUND((H250/$H252)*100,1),")")</f>
        <v>(46)</v>
      </c>
      <c r="K250" s="302">
        <f>B250-B240</f>
        <v>109.47800000171173</v>
      </c>
      <c r="L250" s="302">
        <f>D250-D240</f>
        <v>88.189000004365766</v>
      </c>
      <c r="M250" s="302">
        <f>F250-F240</f>
        <v>10.580000000342551</v>
      </c>
      <c r="N250" s="302">
        <f>SUM(K250:M250)</f>
        <v>208.24700000642005</v>
      </c>
    </row>
    <row r="251" spans="1:14" x14ac:dyDescent="0.3">
      <c r="A251" s="282" t="s">
        <v>356</v>
      </c>
      <c r="B251" s="302">
        <f>'Ind T6'!V294</f>
        <v>524.02899999716931</v>
      </c>
      <c r="C251" s="299" t="str">
        <f>CONCATENATE("(",ROUND((B251/$H252)*100,1),")")</f>
        <v>(18.3)</v>
      </c>
      <c r="D251" s="302">
        <f>'Ind T6'!W294</f>
        <v>919.89399999033481</v>
      </c>
      <c r="E251" s="299" t="str">
        <f>CONCATENATE("(",ROUND((D251/$H252)*100,1),")")</f>
        <v>(32.2)</v>
      </c>
      <c r="F251" s="302">
        <f>'Ind T6'!X294</f>
        <v>99.409999999343199</v>
      </c>
      <c r="G251" s="299" t="str">
        <f>CONCATENATE("(",ROUND((F251/$H252)*100,1),")")</f>
        <v>(3.5)</v>
      </c>
      <c r="H251" s="302">
        <f t="shared" ref="H251" si="196">SUM(B251,D251,F251)</f>
        <v>1543.3329999868474</v>
      </c>
      <c r="I251" s="299" t="str">
        <f>CONCATENATE("(",ROUND((H251/$H252)*100,1),")")</f>
        <v>(54)</v>
      </c>
      <c r="K251" s="302">
        <f t="shared" ref="K251:K252" si="197">B251-B241</f>
        <v>84.273000000135085</v>
      </c>
      <c r="L251" s="302">
        <f t="shared" ref="L251:L252" si="198">D251-D241</f>
        <v>134.11799997064895</v>
      </c>
      <c r="M251" s="302">
        <f t="shared" ref="M251:M252" si="199">F251-F241</f>
        <v>16.795000000543098</v>
      </c>
      <c r="N251" s="302">
        <f t="shared" ref="N251:N252" si="200">SUM(K251:M251)</f>
        <v>235.18599997132713</v>
      </c>
    </row>
    <row r="252" spans="1:14" x14ac:dyDescent="0.3">
      <c r="A252" s="282" t="s">
        <v>354</v>
      </c>
      <c r="B252" s="302">
        <f>SUM(B250:B251)</f>
        <v>1161.2559999961979</v>
      </c>
      <c r="C252" s="299" t="str">
        <f>CONCATENATE("(",ROUND((B252/$H252)*100,1),")")</f>
        <v>(40.6)</v>
      </c>
      <c r="D252" s="302">
        <f>SUM(D250:D251)</f>
        <v>1536.8009999918004</v>
      </c>
      <c r="E252" s="299" t="str">
        <f>CONCATENATE("(",ROUND((D252/$H252)*100,1),")")</f>
        <v>(53.7)</v>
      </c>
      <c r="F252" s="302">
        <f>SUM(F250:F251)</f>
        <v>161.37200000022665</v>
      </c>
      <c r="G252" s="299" t="str">
        <f>CONCATENATE("(",ROUND((F252/$H252)*100,1),")")</f>
        <v>(5.6)</v>
      </c>
      <c r="H252" s="302">
        <f>SUM(H250:H251)</f>
        <v>2859.4289999882249</v>
      </c>
      <c r="I252" s="299" t="str">
        <f>CONCATENATE("(",ROUND((H252/$H252)*100,1),")")</f>
        <v>(100)</v>
      </c>
      <c r="K252" s="302">
        <f t="shared" si="197"/>
        <v>193.75100000184682</v>
      </c>
      <c r="L252" s="302">
        <f t="shared" si="198"/>
        <v>222.30699997501483</v>
      </c>
      <c r="M252" s="302">
        <f t="shared" si="199"/>
        <v>27.37500000088562</v>
      </c>
      <c r="N252" s="302">
        <f t="shared" si="200"/>
        <v>443.43299997774727</v>
      </c>
    </row>
    <row r="253" spans="1:14" x14ac:dyDescent="0.3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3">
      <c r="C256" s="181"/>
      <c r="E256" s="181"/>
      <c r="G256" s="181"/>
      <c r="I256" s="181"/>
    </row>
    <row r="257" spans="1:14" x14ac:dyDescent="0.3">
      <c r="A257" s="288"/>
      <c r="B257" s="289" t="s">
        <v>379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3">
      <c r="N258" s="287" t="s">
        <v>377</v>
      </c>
    </row>
    <row r="259" spans="1:14" x14ac:dyDescent="0.3">
      <c r="A259" s="181" t="s">
        <v>378</v>
      </c>
      <c r="B259" s="370" t="s">
        <v>376</v>
      </c>
      <c r="C259" s="370"/>
      <c r="D259" s="370" t="s">
        <v>375</v>
      </c>
      <c r="E259" s="370"/>
      <c r="F259" s="370" t="s">
        <v>374</v>
      </c>
      <c r="G259" s="370"/>
      <c r="H259" s="370" t="s">
        <v>32</v>
      </c>
      <c r="I259" s="370"/>
      <c r="J259" s="181"/>
      <c r="K259" s="297" t="s">
        <v>339</v>
      </c>
      <c r="L259" s="297" t="s">
        <v>341</v>
      </c>
      <c r="M259" s="297" t="s">
        <v>337</v>
      </c>
      <c r="N259" s="297" t="s">
        <v>32</v>
      </c>
    </row>
    <row r="260" spans="1:14" x14ac:dyDescent="0.3">
      <c r="A260" s="292">
        <f>$A$8</f>
        <v>2020</v>
      </c>
      <c r="B260" s="287" t="s">
        <v>60</v>
      </c>
      <c r="C260" s="19" t="s">
        <v>373</v>
      </c>
      <c r="D260" s="287" t="s">
        <v>60</v>
      </c>
      <c r="E260" s="19" t="s">
        <v>373</v>
      </c>
      <c r="F260" s="287" t="s">
        <v>60</v>
      </c>
      <c r="G260" s="19" t="s">
        <v>373</v>
      </c>
      <c r="H260" s="287" t="s">
        <v>60</v>
      </c>
      <c r="I260" s="19" t="s">
        <v>373</v>
      </c>
      <c r="J260" s="181"/>
      <c r="K260" s="286" t="str">
        <f>CONCATENATE(A260," - ",A265)</f>
        <v>2020 - 2025</v>
      </c>
      <c r="L260" s="285"/>
      <c r="M260" s="285"/>
    </row>
    <row r="261" spans="1:14" x14ac:dyDescent="0.3">
      <c r="A261" s="282" t="s">
        <v>355</v>
      </c>
      <c r="B261" s="302">
        <f>'Ind T6'!L320</f>
        <v>127.39499999996873</v>
      </c>
      <c r="C261" s="299" t="str">
        <f>CONCATENATE("(",ROUND((B261/$H263)*100,1),")")</f>
        <v>(33.7)</v>
      </c>
      <c r="D261" s="302">
        <f>'Ind T6'!M320</f>
        <v>25.152000000023882</v>
      </c>
      <c r="E261" s="299" t="str">
        <f>CONCATENATE("(",ROUND((D261/$H263)*100,1),")")</f>
        <v>(6.7)</v>
      </c>
      <c r="F261" s="302">
        <f>'Ind T6'!N320</f>
        <v>51.463000001715685</v>
      </c>
      <c r="G261" s="299" t="str">
        <f>CONCATENATE("(",ROUND((F261/$H263)*100,1),")")</f>
        <v>(13.6)</v>
      </c>
      <c r="H261" s="302">
        <f>SUM(B261,D261,F261)</f>
        <v>204.01000000170831</v>
      </c>
      <c r="I261" s="299" t="str">
        <f>CONCATENATE("(",ROUND((H261/$H263)*100,1),")")</f>
        <v>(54)</v>
      </c>
      <c r="K261" s="302">
        <f>B266-B261</f>
        <v>0.76900000023799464</v>
      </c>
      <c r="L261" s="302">
        <f>D266-D261</f>
        <v>1.020000000031466</v>
      </c>
      <c r="M261" s="302">
        <f>F266-F261</f>
        <v>0.78400000203942</v>
      </c>
      <c r="N261" s="302">
        <f>SUM(K261:M261)</f>
        <v>2.5730000023088806</v>
      </c>
    </row>
    <row r="262" spans="1:14" x14ac:dyDescent="0.3">
      <c r="A262" s="282" t="s">
        <v>356</v>
      </c>
      <c r="B262" s="302">
        <f>'Ind T6'!L319</f>
        <v>99.287999999751776</v>
      </c>
      <c r="C262" s="299" t="str">
        <f>CONCATENATE("(",ROUND((B262/$H263)*100,1),")")</f>
        <v>(26.3)</v>
      </c>
      <c r="D262" s="302">
        <f>'Ind T6'!M319</f>
        <v>37.170000000122293</v>
      </c>
      <c r="E262" s="299" t="str">
        <f>CONCATENATE("(",ROUND((D262/$H263)*100,1),")")</f>
        <v>(9.8)</v>
      </c>
      <c r="F262" s="302">
        <f>'Ind T6'!N319</f>
        <v>37.054999999207801</v>
      </c>
      <c r="G262" s="299" t="str">
        <f>CONCATENATE("(",ROUND((F262/$H263)*100,1),")")</f>
        <v>(9.8)</v>
      </c>
      <c r="H262" s="302">
        <f t="shared" ref="H262" si="201">SUM(B262,D262,F262)</f>
        <v>173.51299999908187</v>
      </c>
      <c r="I262" s="299" t="str">
        <f>CONCATENATE("(",ROUND((H262/$H263)*100,1),")")</f>
        <v>(46)</v>
      </c>
      <c r="K262" s="302">
        <f t="shared" ref="K262:K263" si="202">B267-B262</f>
        <v>1.4110000019343687</v>
      </c>
      <c r="L262" s="302">
        <f t="shared" ref="L262:L263" si="203">D267-D262</f>
        <v>0.39600000008186242</v>
      </c>
      <c r="M262" s="302">
        <f t="shared" ref="M262:M263" si="204">F267-F262</f>
        <v>-0.50699999946885299</v>
      </c>
      <c r="N262" s="302">
        <f t="shared" ref="N262:N263" si="205">SUM(K262:M262)</f>
        <v>1.3000000025473781</v>
      </c>
    </row>
    <row r="263" spans="1:14" x14ac:dyDescent="0.3">
      <c r="A263" s="282" t="s">
        <v>354</v>
      </c>
      <c r="B263" s="302">
        <f>SUM(B261:B262)</f>
        <v>226.68299999972049</v>
      </c>
      <c r="C263" s="299" t="str">
        <f>CONCATENATE("(",ROUND((B263/$H263)*100,1),")")</f>
        <v>(60)</v>
      </c>
      <c r="D263" s="302">
        <f>SUM(D261:D262)</f>
        <v>62.322000000146176</v>
      </c>
      <c r="E263" s="299" t="str">
        <f>CONCATENATE("(",ROUND((D263/$H263)*100,1),")")</f>
        <v>(16.5)</v>
      </c>
      <c r="F263" s="302">
        <f>SUM(F261:F262)</f>
        <v>88.518000000923479</v>
      </c>
      <c r="G263" s="299" t="str">
        <f>CONCATENATE("(",ROUND((F263/$H263)*100,1),")")</f>
        <v>(23.4)</v>
      </c>
      <c r="H263" s="302">
        <f>SUM(H261:H262)</f>
        <v>377.52300000079015</v>
      </c>
      <c r="I263" s="299" t="str">
        <f>CONCATENATE("(",ROUND((H263/$H263)*100,1),")")</f>
        <v>(100)</v>
      </c>
      <c r="K263" s="302">
        <f t="shared" si="202"/>
        <v>2.1800000021723918</v>
      </c>
      <c r="L263" s="302">
        <f t="shared" si="203"/>
        <v>1.4160000001133284</v>
      </c>
      <c r="M263" s="302">
        <f t="shared" si="204"/>
        <v>0.27700000257057411</v>
      </c>
      <c r="N263" s="302">
        <f t="shared" si="205"/>
        <v>3.8730000048562943</v>
      </c>
    </row>
    <row r="264" spans="1:14" x14ac:dyDescent="0.3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3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3">
      <c r="A266" s="282" t="s">
        <v>355</v>
      </c>
      <c r="B266" s="302">
        <f>'Ind T6'!Q320</f>
        <v>128.16400000020673</v>
      </c>
      <c r="C266" s="299" t="str">
        <f>CONCATENATE("(",ROUND((B266/$H268)*100,1),")")</f>
        <v>(33.6)</v>
      </c>
      <c r="D266" s="302">
        <f>'Ind T6'!R320</f>
        <v>26.172000000055348</v>
      </c>
      <c r="E266" s="299" t="str">
        <f>CONCATENATE("(",ROUND((D266/$H268)*100,1),")")</f>
        <v>(6.9)</v>
      </c>
      <c r="F266" s="302">
        <f>'Ind T6'!S320</f>
        <v>52.247000003755105</v>
      </c>
      <c r="G266" s="299" t="str">
        <f>CONCATENATE("(",ROUND((F266/$H268)*100,1),")")</f>
        <v>(13.7)</v>
      </c>
      <c r="H266" s="302">
        <f>SUM(B266,D266,F266)</f>
        <v>206.58300000401715</v>
      </c>
      <c r="I266" s="299" t="str">
        <f>CONCATENATE("(",ROUND((H266/$H268)*100,1),")")</f>
        <v>(54.2)</v>
      </c>
      <c r="K266" s="302">
        <f>B271-B266</f>
        <v>0.18499999998141448</v>
      </c>
      <c r="L266" s="302">
        <f>D271-D266</f>
        <v>1.8740000000196417</v>
      </c>
      <c r="M266" s="302">
        <f>F271-F266</f>
        <v>1.1129999991123611</v>
      </c>
      <c r="N266" s="302">
        <f>SUM(K266:M266)</f>
        <v>3.1719999991134173</v>
      </c>
    </row>
    <row r="267" spans="1:14" x14ac:dyDescent="0.3">
      <c r="A267" s="282" t="s">
        <v>356</v>
      </c>
      <c r="B267" s="302">
        <f>'Ind T6'!Q319</f>
        <v>100.69900000168614</v>
      </c>
      <c r="C267" s="299" t="str">
        <f>CONCATENATE("(",ROUND((B267/$H268)*100,1),")")</f>
        <v>(26.4)</v>
      </c>
      <c r="D267" s="302">
        <f>'Ind T6'!R319</f>
        <v>37.566000000204156</v>
      </c>
      <c r="E267" s="299" t="str">
        <f>CONCATENATE("(",ROUND((D267/$H268)*100,1),")")</f>
        <v>(9.8)</v>
      </c>
      <c r="F267" s="302">
        <f>'Ind T6'!S319</f>
        <v>36.547999999738948</v>
      </c>
      <c r="G267" s="299" t="str">
        <f>CONCATENATE("(",ROUND((F267/$H268)*100,1),")")</f>
        <v>(9.6)</v>
      </c>
      <c r="H267" s="302">
        <f t="shared" ref="H267" si="206">SUM(B267,D267,F267)</f>
        <v>174.81300000162926</v>
      </c>
      <c r="I267" s="299" t="str">
        <f>CONCATENATE("(",ROUND((H267/$H268)*100,1),")")</f>
        <v>(45.8)</v>
      </c>
      <c r="K267" s="302">
        <f t="shared" ref="K267:K268" si="207">B272-B267</f>
        <v>2.0869999984910521</v>
      </c>
      <c r="L267" s="302">
        <f t="shared" ref="L267:L268" si="208">D272-D267</f>
        <v>0.40299999965532152</v>
      </c>
      <c r="M267" s="302">
        <f t="shared" ref="M267:M268" si="209">F272-F267</f>
        <v>-1.3249999994128459</v>
      </c>
      <c r="N267" s="302">
        <f t="shared" ref="N267:N268" si="210">SUM(K267:M267)</f>
        <v>1.1649999987335278</v>
      </c>
    </row>
    <row r="268" spans="1:14" x14ac:dyDescent="0.3">
      <c r="A268" s="282" t="s">
        <v>354</v>
      </c>
      <c r="B268" s="302">
        <f>SUM(B266:B267)</f>
        <v>228.86300000189289</v>
      </c>
      <c r="C268" s="299" t="str">
        <f>CONCATENATE("(",ROUND((B268/$H268)*100,1),")")</f>
        <v>(60)</v>
      </c>
      <c r="D268" s="302">
        <f>SUM(D266:D267)</f>
        <v>63.738000000259504</v>
      </c>
      <c r="E268" s="299" t="str">
        <f>CONCATENATE("(",ROUND((D268/$H268)*100,1),")")</f>
        <v>(16.7)</v>
      </c>
      <c r="F268" s="302">
        <f>SUM(F266:F267)</f>
        <v>88.795000003494053</v>
      </c>
      <c r="G268" s="299" t="str">
        <f>CONCATENATE("(",ROUND((F268/$H268)*100,1),")")</f>
        <v>(23.3)</v>
      </c>
      <c r="H268" s="302">
        <f>SUM(H266:H267)</f>
        <v>381.39600000564644</v>
      </c>
      <c r="I268" s="299" t="str">
        <f>CONCATENATE("(",ROUND((H268/$H268)*100,1),")")</f>
        <v>(100)</v>
      </c>
      <c r="K268" s="302">
        <f t="shared" si="207"/>
        <v>2.2719999984724382</v>
      </c>
      <c r="L268" s="302">
        <f t="shared" si="208"/>
        <v>2.2769999996749704</v>
      </c>
      <c r="M268" s="302">
        <f t="shared" si="209"/>
        <v>-0.21200000030047761</v>
      </c>
      <c r="N268" s="302">
        <f t="shared" si="210"/>
        <v>4.3369999978469309</v>
      </c>
    </row>
    <row r="269" spans="1:14" x14ac:dyDescent="0.3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3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3">
      <c r="A271" s="282" t="s">
        <v>355</v>
      </c>
      <c r="B271" s="302">
        <f>'Ind T6'!V320</f>
        <v>128.34900000018814</v>
      </c>
      <c r="C271" s="299" t="str">
        <f>CONCATENATE("(",ROUND((B271/$H273)*100,1),")")</f>
        <v>(33.3)</v>
      </c>
      <c r="D271" s="302">
        <f>'Ind T6'!W320</f>
        <v>28.04600000007499</v>
      </c>
      <c r="E271" s="299" t="str">
        <f>CONCATENATE("(",ROUND((D271/$H273)*100,1),")")</f>
        <v>(7.3)</v>
      </c>
      <c r="F271" s="302">
        <f>'Ind T6'!X320</f>
        <v>53.360000002867466</v>
      </c>
      <c r="G271" s="299" t="str">
        <f>CONCATENATE("(",ROUND((F271/$H273)*100,1),")")</f>
        <v>(13.8)</v>
      </c>
      <c r="H271" s="302">
        <f>SUM(B271,D271,F271)</f>
        <v>209.75500000313059</v>
      </c>
      <c r="I271" s="299" t="str">
        <f>CONCATENATE("(",ROUND((H271/$H273)*100,1),")")</f>
        <v>(54.4)</v>
      </c>
      <c r="K271" s="302">
        <f>B271-B261</f>
        <v>0.95400000021940912</v>
      </c>
      <c r="L271" s="302">
        <f>D271-D261</f>
        <v>2.8940000000511077</v>
      </c>
      <c r="M271" s="302">
        <f>F271-F261</f>
        <v>1.8970000011517811</v>
      </c>
      <c r="N271" s="302">
        <f>SUM(K271:M271)</f>
        <v>5.7450000014222979</v>
      </c>
    </row>
    <row r="272" spans="1:14" x14ac:dyDescent="0.3">
      <c r="A272" s="282" t="s">
        <v>356</v>
      </c>
      <c r="B272" s="302">
        <f>'Ind T6'!V319</f>
        <v>102.7860000001772</v>
      </c>
      <c r="C272" s="299" t="str">
        <f>CONCATENATE("(",ROUND((B272/$H273)*100,1),")")</f>
        <v>(26.6)</v>
      </c>
      <c r="D272" s="302">
        <f>'Ind T6'!W319</f>
        <v>37.968999999859477</v>
      </c>
      <c r="E272" s="299" t="str">
        <f>CONCATENATE("(",ROUND((D272/$H273)*100,1),")")</f>
        <v>(9.8)</v>
      </c>
      <c r="F272" s="302">
        <f>'Ind T6'!X319</f>
        <v>35.223000000326103</v>
      </c>
      <c r="G272" s="299" t="str">
        <f>CONCATENATE("(",ROUND((F272/$H273)*100,1),")")</f>
        <v>(9.1)</v>
      </c>
      <c r="H272" s="302">
        <f t="shared" ref="H272" si="211">SUM(B272,D272,F272)</f>
        <v>175.97800000036275</v>
      </c>
      <c r="I272" s="299" t="str">
        <f>CONCATENATE("(",ROUND((H272/$H273)*100,1),")")</f>
        <v>(45.6)</v>
      </c>
      <c r="K272" s="302">
        <f t="shared" ref="K272:K273" si="212">B272-B262</f>
        <v>3.4980000004254208</v>
      </c>
      <c r="L272" s="302">
        <f t="shared" ref="L272:L273" si="213">D272-D262</f>
        <v>0.79899999973718394</v>
      </c>
      <c r="M272" s="302">
        <f t="shared" ref="M272:M273" si="214">F272-F262</f>
        <v>-1.8319999988816988</v>
      </c>
      <c r="N272" s="302">
        <f t="shared" ref="N272:N273" si="215">SUM(K272:M272)</f>
        <v>2.4650000012809059</v>
      </c>
    </row>
    <row r="273" spans="1:14" x14ac:dyDescent="0.3">
      <c r="A273" s="282" t="s">
        <v>354</v>
      </c>
      <c r="B273" s="302">
        <f>SUM(B271:B272)</f>
        <v>231.13500000036532</v>
      </c>
      <c r="C273" s="299" t="str">
        <f>CONCATENATE("(",ROUND((B273/$H273)*100,1),")")</f>
        <v>(59.9)</v>
      </c>
      <c r="D273" s="302">
        <f>SUM(D271:D272)</f>
        <v>66.014999999934474</v>
      </c>
      <c r="E273" s="299" t="str">
        <f>CONCATENATE("(",ROUND((D273/$H273)*100,1),")")</f>
        <v>(17.1)</v>
      </c>
      <c r="F273" s="302">
        <f>SUM(F271:F272)</f>
        <v>88.583000003193575</v>
      </c>
      <c r="G273" s="299" t="str">
        <f>CONCATENATE("(",ROUND((F273/$H273)*100,1),")")</f>
        <v>(23)</v>
      </c>
      <c r="H273" s="302">
        <f>SUM(H271:H272)</f>
        <v>385.73300000349332</v>
      </c>
      <c r="I273" s="299" t="str">
        <f>CONCATENATE("(",ROUND((H273/$H273)*100,1),")")</f>
        <v>(100)</v>
      </c>
      <c r="K273" s="302">
        <f t="shared" si="212"/>
        <v>4.4520000006448299</v>
      </c>
      <c r="L273" s="302">
        <f t="shared" si="213"/>
        <v>3.6929999997882987</v>
      </c>
      <c r="M273" s="302">
        <f t="shared" si="214"/>
        <v>6.5000002270096502E-2</v>
      </c>
      <c r="N273" s="302">
        <f t="shared" si="215"/>
        <v>8.2100000027032252</v>
      </c>
    </row>
    <row r="274" spans="1:14" x14ac:dyDescent="0.3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3">
      <c r="A278" s="288"/>
      <c r="B278" s="289" t="s">
        <v>379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3">
      <c r="N279" s="287" t="s">
        <v>377</v>
      </c>
    </row>
    <row r="280" spans="1:14" x14ac:dyDescent="0.3">
      <c r="A280" s="181" t="s">
        <v>378</v>
      </c>
      <c r="B280" s="370" t="s">
        <v>376</v>
      </c>
      <c r="C280" s="370"/>
      <c r="D280" s="370" t="s">
        <v>375</v>
      </c>
      <c r="E280" s="370"/>
      <c r="F280" s="370" t="s">
        <v>374</v>
      </c>
      <c r="G280" s="370"/>
      <c r="H280" s="370" t="s">
        <v>32</v>
      </c>
      <c r="I280" s="370"/>
      <c r="J280" s="181"/>
      <c r="K280" s="297" t="s">
        <v>339</v>
      </c>
      <c r="L280" s="297" t="s">
        <v>341</v>
      </c>
      <c r="M280" s="297" t="s">
        <v>337</v>
      </c>
      <c r="N280" s="297" t="s">
        <v>32</v>
      </c>
    </row>
    <row r="281" spans="1:14" x14ac:dyDescent="0.3">
      <c r="A281" s="292">
        <f>$A$8</f>
        <v>2020</v>
      </c>
      <c r="B281" s="287" t="s">
        <v>60</v>
      </c>
      <c r="C281" s="19" t="s">
        <v>373</v>
      </c>
      <c r="D281" s="287" t="s">
        <v>60</v>
      </c>
      <c r="E281" s="19" t="s">
        <v>373</v>
      </c>
      <c r="F281" s="287" t="s">
        <v>60</v>
      </c>
      <c r="G281" s="19" t="s">
        <v>373</v>
      </c>
      <c r="H281" s="287" t="s">
        <v>60</v>
      </c>
      <c r="I281" s="19" t="s">
        <v>373</v>
      </c>
      <c r="J281" s="181"/>
      <c r="K281" s="286" t="str">
        <f>CONCATENATE(A281," - ",A286)</f>
        <v>2020 - 2025</v>
      </c>
      <c r="L281" s="285"/>
      <c r="M281" s="285"/>
    </row>
    <row r="282" spans="1:14" x14ac:dyDescent="0.3">
      <c r="A282" s="282" t="s">
        <v>355</v>
      </c>
      <c r="B282" s="302">
        <f>'Ind T6'!L345</f>
        <v>668.99999999731449</v>
      </c>
      <c r="C282" s="299" t="str">
        <f>CONCATENATE("(",ROUND((B282/$H284)*100,1),")")</f>
        <v>(60)</v>
      </c>
      <c r="D282" s="302">
        <f>'Ind T6'!M345</f>
        <v>47.000999999973715</v>
      </c>
      <c r="E282" s="299" t="str">
        <f>CONCATENATE("(",ROUND((D282/$H284)*100,1),")")</f>
        <v>(4.2)</v>
      </c>
      <c r="F282" s="302">
        <f>'Ind T6'!N345</f>
        <v>74.59100000135318</v>
      </c>
      <c r="G282" s="299" t="str">
        <f>CONCATENATE("(",ROUND((F282/$H284)*100,1),")")</f>
        <v>(6.7)</v>
      </c>
      <c r="H282" s="302">
        <f>SUM(B282,D282,F282)</f>
        <v>790.59199999864143</v>
      </c>
      <c r="I282" s="299" t="str">
        <f>CONCATENATE("(",ROUND((H282/$H284)*100,1),")")</f>
        <v>(70.9)</v>
      </c>
      <c r="K282" s="302">
        <f>B287-B282</f>
        <v>43.603000001447867</v>
      </c>
      <c r="L282" s="302">
        <f>D287-D282</f>
        <v>3.7439999999125675</v>
      </c>
      <c r="M282" s="302">
        <f>F287-F282</f>
        <v>7.1910000017007008</v>
      </c>
      <c r="N282" s="302">
        <f>SUM(K282:M282)</f>
        <v>54.538000003061136</v>
      </c>
    </row>
    <row r="283" spans="1:14" x14ac:dyDescent="0.3">
      <c r="A283" s="282" t="s">
        <v>356</v>
      </c>
      <c r="B283" s="302">
        <f>'Ind T6'!L344</f>
        <v>245.99999999804663</v>
      </c>
      <c r="C283" s="299" t="str">
        <f>CONCATENATE("(",ROUND((B283/$H284)*100,1),")")</f>
        <v>(22.1)</v>
      </c>
      <c r="D283" s="302">
        <f>'Ind T6'!M344</f>
        <v>56.998999999753373</v>
      </c>
      <c r="E283" s="299" t="str">
        <f>CONCATENATE("(",ROUND((D283/$H284)*100,1),")")</f>
        <v>(5.1)</v>
      </c>
      <c r="F283" s="302">
        <f>'Ind T6'!N344</f>
        <v>20.891999999604053</v>
      </c>
      <c r="G283" s="299" t="str">
        <f>CONCATENATE("(",ROUND((F283/$H284)*100,1),")")</f>
        <v>(1.9)</v>
      </c>
      <c r="H283" s="302">
        <f t="shared" ref="H283" si="216">SUM(B283,D283,F283)</f>
        <v>323.89099999740404</v>
      </c>
      <c r="I283" s="299" t="str">
        <f>CONCATENATE("(",ROUND((H283/$H284)*100,1),")")</f>
        <v>(29.1)</v>
      </c>
      <c r="K283" s="302">
        <f t="shared" ref="K283:K284" si="217">B288-B283</f>
        <v>24.193000007406795</v>
      </c>
      <c r="L283" s="302">
        <f t="shared" ref="L283:L284" si="218">D288-D283</f>
        <v>3.2960000001177789</v>
      </c>
      <c r="M283" s="302">
        <f t="shared" ref="M283:M284" si="219">F288-F283</f>
        <v>1.89300000020501</v>
      </c>
      <c r="N283" s="302">
        <f t="shared" ref="N283:N284" si="220">SUM(K283:M283)</f>
        <v>29.382000007729584</v>
      </c>
    </row>
    <row r="284" spans="1:14" x14ac:dyDescent="0.3">
      <c r="A284" s="282" t="s">
        <v>354</v>
      </c>
      <c r="B284" s="302">
        <f>SUM(B282:B283)</f>
        <v>914.99999999536112</v>
      </c>
      <c r="C284" s="299" t="str">
        <f>CONCATENATE("(",ROUND((B284/$H284)*100,1),")")</f>
        <v>(82.1)</v>
      </c>
      <c r="D284" s="302">
        <f>SUM(D282:D283)</f>
        <v>103.99999999972709</v>
      </c>
      <c r="E284" s="299" t="str">
        <f>CONCATENATE("(",ROUND((D284/$H284)*100,1),")")</f>
        <v>(9.3)</v>
      </c>
      <c r="F284" s="302">
        <f>SUM(F282:F283)</f>
        <v>95.483000000957233</v>
      </c>
      <c r="G284" s="299" t="str">
        <f>CONCATENATE("(",ROUND((F284/$H284)*100,1),")")</f>
        <v>(8.6)</v>
      </c>
      <c r="H284" s="302">
        <f>SUM(H282:H283)</f>
        <v>1114.4829999960455</v>
      </c>
      <c r="I284" s="299" t="str">
        <f>CONCATENATE("(",ROUND((H284/$H284)*100,1),")")</f>
        <v>(100)</v>
      </c>
      <c r="K284" s="302">
        <f t="shared" si="217"/>
        <v>67.796000008854662</v>
      </c>
      <c r="L284" s="302">
        <f t="shared" si="218"/>
        <v>7.0400000000303464</v>
      </c>
      <c r="M284" s="302">
        <f t="shared" si="219"/>
        <v>9.0840000019057072</v>
      </c>
      <c r="N284" s="302">
        <f t="shared" si="220"/>
        <v>83.920000010790716</v>
      </c>
    </row>
    <row r="285" spans="1:14" x14ac:dyDescent="0.3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3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3">
      <c r="A287" s="282" t="s">
        <v>355</v>
      </c>
      <c r="B287" s="302">
        <f>'Ind T6'!Q345</f>
        <v>712.60299999876236</v>
      </c>
      <c r="C287" s="299" t="str">
        <f>CONCATENATE("(",ROUND((B287/$H289)*100,1),")")</f>
        <v>(59.5)</v>
      </c>
      <c r="D287" s="302">
        <f>'Ind T6'!R345</f>
        <v>50.744999999886282</v>
      </c>
      <c r="E287" s="299" t="str">
        <f>CONCATENATE("(",ROUND((D287/$H289)*100,1),")")</f>
        <v>(4.2)</v>
      </c>
      <c r="F287" s="302">
        <f>'Ind T6'!S345</f>
        <v>81.782000003053881</v>
      </c>
      <c r="G287" s="299" t="str">
        <f>CONCATENATE("(",ROUND((F287/$H289)*100,1),")")</f>
        <v>(6.8)</v>
      </c>
      <c r="H287" s="302">
        <f>SUM(B287,D287,F287)</f>
        <v>845.13000000170257</v>
      </c>
      <c r="I287" s="299" t="str">
        <f>CONCATENATE("(",ROUND((H287/$H289)*100,1),")")</f>
        <v>(70.5)</v>
      </c>
      <c r="K287" s="302">
        <f>B292-B287</f>
        <v>46.920999996550904</v>
      </c>
      <c r="L287" s="302">
        <f>D292-D287</f>
        <v>4.2929999998805215</v>
      </c>
      <c r="M287" s="302">
        <f>F292-F287</f>
        <v>8.1359999987753184</v>
      </c>
      <c r="N287" s="302">
        <f>SUM(K287:M287)</f>
        <v>59.349999995206744</v>
      </c>
    </row>
    <row r="288" spans="1:14" x14ac:dyDescent="0.3">
      <c r="A288" s="282" t="s">
        <v>356</v>
      </c>
      <c r="B288" s="302">
        <f>'Ind T6'!Q344</f>
        <v>270.19300000545343</v>
      </c>
      <c r="C288" s="299" t="str">
        <f>CONCATENATE("(",ROUND((B288/$H289)*100,1),")")</f>
        <v>(22.5)</v>
      </c>
      <c r="D288" s="302">
        <f>'Ind T6'!R344</f>
        <v>60.294999999871152</v>
      </c>
      <c r="E288" s="299" t="str">
        <f>CONCATENATE("(",ROUND((D288/$H289)*100,1),")")</f>
        <v>(5)</v>
      </c>
      <c r="F288" s="302">
        <f>'Ind T6'!S344</f>
        <v>22.784999999809063</v>
      </c>
      <c r="G288" s="299" t="str">
        <f>CONCATENATE("(",ROUND((F288/$H289)*100,1),")")</f>
        <v>(1.9)</v>
      </c>
      <c r="H288" s="302">
        <f t="shared" ref="H288" si="221">SUM(B288,D288,F288)</f>
        <v>353.27300000513367</v>
      </c>
      <c r="I288" s="299" t="str">
        <f>CONCATENATE("(",ROUND((H288/$H289)*100,1),")")</f>
        <v>(29.5)</v>
      </c>
      <c r="K288" s="302">
        <f t="shared" ref="K288:K289" si="222">B293-B288</f>
        <v>33.598999994897383</v>
      </c>
      <c r="L288" s="302">
        <f t="shared" ref="L288:L289" si="223">D293-D288</f>
        <v>2.4340000003860922</v>
      </c>
      <c r="M288" s="302">
        <f t="shared" ref="M288:M289" si="224">F293-F288</f>
        <v>1.8860000002028379</v>
      </c>
      <c r="N288" s="302">
        <f t="shared" ref="N288:N289" si="225">SUM(K288:M288)</f>
        <v>37.918999995486317</v>
      </c>
    </row>
    <row r="289" spans="1:14" x14ac:dyDescent="0.3">
      <c r="A289" s="282" t="s">
        <v>354</v>
      </c>
      <c r="B289" s="302">
        <f>SUM(B287:B288)</f>
        <v>982.79600000421578</v>
      </c>
      <c r="C289" s="299" t="str">
        <f>CONCATENATE("(",ROUND((B289/$H289)*100,1),")")</f>
        <v>(82)</v>
      </c>
      <c r="D289" s="302">
        <f>SUM(D287:D288)</f>
        <v>111.03999999975744</v>
      </c>
      <c r="E289" s="299" t="str">
        <f>CONCATENATE("(",ROUND((D289/$H289)*100,1),")")</f>
        <v>(9.3)</v>
      </c>
      <c r="F289" s="302">
        <f>SUM(F287:F288)</f>
        <v>104.56700000286294</v>
      </c>
      <c r="G289" s="299" t="str">
        <f>CONCATENATE("(",ROUND((F289/$H289)*100,1),")")</f>
        <v>(8.7)</v>
      </c>
      <c r="H289" s="302">
        <f>SUM(H287:H288)</f>
        <v>1198.4030000068362</v>
      </c>
      <c r="I289" s="299" t="str">
        <f>CONCATENATE("(",ROUND((H289/$H289)*100,1),")")</f>
        <v>(100)</v>
      </c>
      <c r="K289" s="302">
        <f t="shared" si="222"/>
        <v>80.519999991448231</v>
      </c>
      <c r="L289" s="302">
        <f t="shared" si="223"/>
        <v>6.7270000002665995</v>
      </c>
      <c r="M289" s="302">
        <f t="shared" si="224"/>
        <v>10.02199999897816</v>
      </c>
      <c r="N289" s="302">
        <f t="shared" si="225"/>
        <v>97.26899999069299</v>
      </c>
    </row>
    <row r="290" spans="1:14" x14ac:dyDescent="0.3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3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3">
      <c r="A292" s="282" t="s">
        <v>355</v>
      </c>
      <c r="B292" s="302">
        <f>'Ind T6'!V345</f>
        <v>759.52399999531326</v>
      </c>
      <c r="C292" s="299" t="str">
        <f>CONCATENATE("(",ROUND((B292/$H294)*100,1),")")</f>
        <v>(58.6)</v>
      </c>
      <c r="D292" s="302">
        <f>'Ind T6'!W345</f>
        <v>55.037999999766804</v>
      </c>
      <c r="E292" s="299" t="str">
        <f>CONCATENATE("(",ROUND((D292/$H294)*100,1),")")</f>
        <v>(4.2)</v>
      </c>
      <c r="F292" s="302">
        <f>'Ind T6'!X345</f>
        <v>89.918000001829199</v>
      </c>
      <c r="G292" s="299" t="str">
        <f>CONCATENATE("(",ROUND((F292/$H294)*100,1),")")</f>
        <v>(6.9)</v>
      </c>
      <c r="H292" s="302">
        <f>SUM(B292,D292,F292)</f>
        <v>904.47999999690933</v>
      </c>
      <c r="I292" s="299" t="str">
        <f>CONCATENATE("(",ROUND((H292/$H294)*100,1),")")</f>
        <v>(69.8)</v>
      </c>
      <c r="K292" s="302">
        <f>B292-B282</f>
        <v>90.523999997998772</v>
      </c>
      <c r="L292" s="302">
        <f>D292-D282</f>
        <v>8.036999999793089</v>
      </c>
      <c r="M292" s="302">
        <f>F292-F282</f>
        <v>15.327000000476019</v>
      </c>
      <c r="N292" s="302">
        <f>SUM(K292:M292)</f>
        <v>113.88799999826789</v>
      </c>
    </row>
    <row r="293" spans="1:14" x14ac:dyDescent="0.3">
      <c r="A293" s="282" t="s">
        <v>356</v>
      </c>
      <c r="B293" s="302">
        <f>'Ind T6'!V344</f>
        <v>303.79200000035081</v>
      </c>
      <c r="C293" s="299" t="str">
        <f>CONCATENATE("(",ROUND((B293/$H294)*100,1),")")</f>
        <v>(23.4)</v>
      </c>
      <c r="D293" s="302">
        <f>'Ind T6'!W344</f>
        <v>62.729000000257244</v>
      </c>
      <c r="E293" s="299" t="str">
        <f>CONCATENATE("(",ROUND((D293/$H294)*100,1),")")</f>
        <v>(4.8)</v>
      </c>
      <c r="F293" s="302">
        <f>'Ind T6'!X344</f>
        <v>24.671000000011901</v>
      </c>
      <c r="G293" s="299" t="str">
        <f>CONCATENATE("(",ROUND((F293/$H294)*100,1),")")</f>
        <v>(1.9)</v>
      </c>
      <c r="H293" s="302">
        <f t="shared" ref="H293" si="226">SUM(B293,D293,F293)</f>
        <v>391.19200000061994</v>
      </c>
      <c r="I293" s="299" t="str">
        <f>CONCATENATE("(",ROUND((H293/$H294)*100,1),")")</f>
        <v>(30.2)</v>
      </c>
      <c r="K293" s="302">
        <f t="shared" ref="K293:K294" si="227">B293-B283</f>
        <v>57.792000002304178</v>
      </c>
      <c r="L293" s="302">
        <f t="shared" ref="L293:L294" si="228">D293-D283</f>
        <v>5.7300000005038711</v>
      </c>
      <c r="M293" s="302">
        <f t="shared" ref="M293:M294" si="229">F293-F283</f>
        <v>3.7790000004078479</v>
      </c>
      <c r="N293" s="302">
        <f t="shared" ref="N293:N294" si="230">SUM(K293:M293)</f>
        <v>67.301000003215904</v>
      </c>
    </row>
    <row r="294" spans="1:14" x14ac:dyDescent="0.3">
      <c r="A294" s="282" t="s">
        <v>354</v>
      </c>
      <c r="B294" s="302">
        <f>SUM(B292:B293)</f>
        <v>1063.315999995664</v>
      </c>
      <c r="C294" s="299" t="str">
        <f>CONCATENATE("(",ROUND((B294/$H294)*100,1),")")</f>
        <v>(82.1)</v>
      </c>
      <c r="D294" s="302">
        <f>SUM(D292:D293)</f>
        <v>117.76700000002404</v>
      </c>
      <c r="E294" s="299" t="str">
        <f>CONCATENATE("(",ROUND((D294/$H294)*100,1),")")</f>
        <v>(9.1)</v>
      </c>
      <c r="F294" s="302">
        <f>SUM(F292:F293)</f>
        <v>114.5890000018411</v>
      </c>
      <c r="G294" s="299" t="str">
        <f>CONCATENATE("(",ROUND((F294/$H294)*100,1),")")</f>
        <v>(8.8)</v>
      </c>
      <c r="H294" s="302">
        <f>SUM(H292:H293)</f>
        <v>1295.6719999975294</v>
      </c>
      <c r="I294" s="299" t="str">
        <f>CONCATENATE("(",ROUND((H294/$H294)*100,1),")")</f>
        <v>(100)</v>
      </c>
      <c r="K294" s="302">
        <f t="shared" si="227"/>
        <v>148.31600000030289</v>
      </c>
      <c r="L294" s="302">
        <f t="shared" si="228"/>
        <v>13.767000000296946</v>
      </c>
      <c r="M294" s="302">
        <f t="shared" si="229"/>
        <v>19.106000000883867</v>
      </c>
      <c r="N294" s="302">
        <f t="shared" si="230"/>
        <v>181.18900000148369</v>
      </c>
    </row>
    <row r="295" spans="1:14" x14ac:dyDescent="0.3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3">
      <c r="A299" s="288"/>
      <c r="B299" s="289" t="s">
        <v>379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3">
      <c r="N300" s="287" t="s">
        <v>377</v>
      </c>
    </row>
    <row r="301" spans="1:14" x14ac:dyDescent="0.3">
      <c r="A301" s="181" t="s">
        <v>378</v>
      </c>
      <c r="B301" s="370" t="s">
        <v>376</v>
      </c>
      <c r="C301" s="370"/>
      <c r="D301" s="370" t="s">
        <v>375</v>
      </c>
      <c r="E301" s="370"/>
      <c r="F301" s="370" t="s">
        <v>374</v>
      </c>
      <c r="G301" s="370"/>
      <c r="H301" s="370" t="s">
        <v>32</v>
      </c>
      <c r="I301" s="370"/>
      <c r="J301" s="181"/>
      <c r="K301" s="297" t="s">
        <v>339</v>
      </c>
      <c r="L301" s="297" t="s">
        <v>341</v>
      </c>
      <c r="M301" s="297" t="s">
        <v>337</v>
      </c>
      <c r="N301" s="297" t="s">
        <v>32</v>
      </c>
    </row>
    <row r="302" spans="1:14" x14ac:dyDescent="0.3">
      <c r="A302" s="292">
        <f>$A$8</f>
        <v>2020</v>
      </c>
      <c r="B302" s="287" t="s">
        <v>60</v>
      </c>
      <c r="C302" s="19" t="s">
        <v>373</v>
      </c>
      <c r="D302" s="287" t="s">
        <v>60</v>
      </c>
      <c r="E302" s="19" t="s">
        <v>373</v>
      </c>
      <c r="F302" s="287" t="s">
        <v>60</v>
      </c>
      <c r="G302" s="19" t="s">
        <v>373</v>
      </c>
      <c r="H302" s="287" t="s">
        <v>60</v>
      </c>
      <c r="I302" s="19" t="s">
        <v>373</v>
      </c>
      <c r="J302" s="181"/>
      <c r="K302" s="286" t="str">
        <f>CONCATENATE(A302," - ",A307)</f>
        <v>2020 - 2025</v>
      </c>
      <c r="L302" s="285"/>
      <c r="M302" s="285"/>
    </row>
    <row r="303" spans="1:14" x14ac:dyDescent="0.3">
      <c r="A303" s="282" t="s">
        <v>355</v>
      </c>
      <c r="B303" s="302">
        <f>'Ind T6'!L370</f>
        <v>530.52099999941811</v>
      </c>
      <c r="C303" s="299" t="str">
        <f>CONCATENATE("(",ROUND((B303/$H305)*100,1),")")</f>
        <v>(46.1)</v>
      </c>
      <c r="D303" s="302">
        <f>'Ind T6'!M370</f>
        <v>24.978999999941287</v>
      </c>
      <c r="E303" s="299" t="str">
        <f>CONCATENATE("(",ROUND((D303/$H305)*100,1),")")</f>
        <v>(2.2)</v>
      </c>
      <c r="F303" s="302">
        <f>'Ind T6'!N370</f>
        <v>51.01400000105648</v>
      </c>
      <c r="G303" s="299" t="str">
        <f>CONCATENATE("(",ROUND((F303/$H305)*100,1),")")</f>
        <v>(4.4)</v>
      </c>
      <c r="H303" s="302">
        <f>SUM(B303,D303,F303)</f>
        <v>606.51400000041588</v>
      </c>
      <c r="I303" s="299" t="str">
        <f>CONCATENATE("(",ROUND((H303/$H305)*100,1),")")</f>
        <v>(52.7)</v>
      </c>
      <c r="K303" s="302">
        <f>B308-B303</f>
        <v>3.3670000021288615</v>
      </c>
      <c r="L303" s="302">
        <f>D308-D303</f>
        <v>1.208000000041082</v>
      </c>
      <c r="M303" s="302">
        <f>F308-F303</f>
        <v>2.4590000015689739</v>
      </c>
      <c r="N303" s="302">
        <f>SUM(K303:M303)</f>
        <v>7.0340000037389174</v>
      </c>
    </row>
    <row r="304" spans="1:14" x14ac:dyDescent="0.3">
      <c r="A304" s="282" t="s">
        <v>356</v>
      </c>
      <c r="B304" s="302">
        <f>'Ind T6'!L369</f>
        <v>391.38799999630589</v>
      </c>
      <c r="C304" s="299" t="str">
        <f>CONCATENATE("(",ROUND((B304/$H305)*100,1),")")</f>
        <v>(34)</v>
      </c>
      <c r="D304" s="302">
        <f>'Ind T6'!M369</f>
        <v>130.11300000047663</v>
      </c>
      <c r="E304" s="299" t="str">
        <f>CONCATENATE("(",ROUND((D304/$H305)*100,1),")")</f>
        <v>(11.3)</v>
      </c>
      <c r="F304" s="302">
        <f>'Ind T6'!N369</f>
        <v>21.986999999705247</v>
      </c>
      <c r="G304" s="299" t="str">
        <f>CONCATENATE("(",ROUND((F304/$H305)*100,1),")")</f>
        <v>(1.9)</v>
      </c>
      <c r="H304" s="302">
        <f t="shared" ref="H304" si="231">SUM(B304,D304,F304)</f>
        <v>543.48799999648782</v>
      </c>
      <c r="I304" s="299" t="str">
        <f>CONCATENATE("(",ROUND((H304/$H305)*100,1),")")</f>
        <v>(47.3)</v>
      </c>
      <c r="K304" s="302">
        <f t="shared" ref="K304:K305" si="232">B309-B304</f>
        <v>0.18300001365332719</v>
      </c>
      <c r="L304" s="302">
        <f t="shared" ref="L304:L305" si="233">D309-D304</f>
        <v>-1.1689999992177036</v>
      </c>
      <c r="M304" s="302">
        <f t="shared" ref="M304:M305" si="234">F309-F304</f>
        <v>0.89800000025784144</v>
      </c>
      <c r="N304" s="302">
        <f t="shared" ref="N304:N305" si="235">SUM(K304:M304)</f>
        <v>-8.7999985306534967E-2</v>
      </c>
    </row>
    <row r="305" spans="1:14" x14ac:dyDescent="0.3">
      <c r="A305" s="282" t="s">
        <v>354</v>
      </c>
      <c r="B305" s="302">
        <f>SUM(B303:B304)</f>
        <v>921.908999995724</v>
      </c>
      <c r="C305" s="299" t="str">
        <f>CONCATENATE("(",ROUND((B305/$H305)*100,1),")")</f>
        <v>(80.2)</v>
      </c>
      <c r="D305" s="302">
        <f>SUM(D303:D304)</f>
        <v>155.09200000041793</v>
      </c>
      <c r="E305" s="299" t="str">
        <f>CONCATENATE("(",ROUND((D305/$H305)*100,1),")")</f>
        <v>(13.5)</v>
      </c>
      <c r="F305" s="302">
        <f>SUM(F303:F304)</f>
        <v>73.001000000761735</v>
      </c>
      <c r="G305" s="299" t="str">
        <f>CONCATENATE("(",ROUND((F305/$H305)*100,1),")")</f>
        <v>(6.3)</v>
      </c>
      <c r="H305" s="302">
        <f>SUM(H303:H304)</f>
        <v>1150.0019999969036</v>
      </c>
      <c r="I305" s="299" t="str">
        <f>CONCATENATE("(",ROUND((H305/$H305)*100,1),")")</f>
        <v>(100)</v>
      </c>
      <c r="K305" s="302">
        <f t="shared" si="232"/>
        <v>3.5500000157821887</v>
      </c>
      <c r="L305" s="302">
        <f t="shared" si="233"/>
        <v>3.9000000823364189E-2</v>
      </c>
      <c r="M305" s="302">
        <f t="shared" si="234"/>
        <v>3.3570000018268047</v>
      </c>
      <c r="N305" s="302">
        <f t="shared" si="235"/>
        <v>6.9460000184323576</v>
      </c>
    </row>
    <row r="306" spans="1:14" x14ac:dyDescent="0.3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3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3">
      <c r="A308" s="282" t="s">
        <v>355</v>
      </c>
      <c r="B308" s="302">
        <f>'Ind T6'!Q370</f>
        <v>533.88800000154697</v>
      </c>
      <c r="C308" s="299" t="str">
        <f>CONCATENATE("(",ROUND((B308/$H310)*100,1),")")</f>
        <v>(46.1)</v>
      </c>
      <c r="D308" s="302">
        <f>'Ind T6'!R370</f>
        <v>26.186999999982369</v>
      </c>
      <c r="E308" s="299" t="str">
        <f>CONCATENATE("(",ROUND((D308/$H310)*100,1),")")</f>
        <v>(2.3)</v>
      </c>
      <c r="F308" s="302">
        <f>'Ind T6'!S370</f>
        <v>53.473000002625454</v>
      </c>
      <c r="G308" s="299" t="str">
        <f>CONCATENATE("(",ROUND((F308/$H310)*100,1),")")</f>
        <v>(4.6)</v>
      </c>
      <c r="H308" s="302">
        <f>SUM(B308,D308,F308)</f>
        <v>613.5480000041548</v>
      </c>
      <c r="I308" s="299" t="str">
        <f>CONCATENATE("(",ROUND((H308/$H310)*100,1),")")</f>
        <v>(53)</v>
      </c>
      <c r="K308" s="302">
        <f>B313-B308</f>
        <v>-8.6990000010722497</v>
      </c>
      <c r="L308" s="302">
        <f>D313-D308</f>
        <v>1.2940000000093903</v>
      </c>
      <c r="M308" s="302">
        <f>F313-F308</f>
        <v>0.43699999927124367</v>
      </c>
      <c r="N308" s="302">
        <f>SUM(K308:M308)</f>
        <v>-6.9680000017916157</v>
      </c>
    </row>
    <row r="309" spans="1:14" x14ac:dyDescent="0.3">
      <c r="A309" s="282" t="s">
        <v>356</v>
      </c>
      <c r="B309" s="302">
        <f>'Ind T6'!Q369</f>
        <v>391.57100000995922</v>
      </c>
      <c r="C309" s="299" t="str">
        <f>CONCATENATE("(",ROUND((B309/$H310)*100,1),")")</f>
        <v>(33.8)</v>
      </c>
      <c r="D309" s="302">
        <f>'Ind T6'!R369</f>
        <v>128.94400000125893</v>
      </c>
      <c r="E309" s="299" t="str">
        <f>CONCATENATE("(",ROUND((D309/$H310)*100,1),")")</f>
        <v>(11.1)</v>
      </c>
      <c r="F309" s="302">
        <f>'Ind T6'!S369</f>
        <v>22.884999999963089</v>
      </c>
      <c r="G309" s="299" t="str">
        <f>CONCATENATE("(",ROUND((F309/$H310)*100,1),")")</f>
        <v>(2)</v>
      </c>
      <c r="H309" s="302">
        <f t="shared" ref="H309" si="236">SUM(B309,D309,F309)</f>
        <v>543.40000001118119</v>
      </c>
      <c r="I309" s="299" t="str">
        <f>CONCATENATE("(",ROUND((H309/$H310)*100,1),")")</f>
        <v>(47)</v>
      </c>
      <c r="K309" s="302">
        <f t="shared" ref="K309:K310" si="237">B314-B309</f>
        <v>-9.2670000083483046</v>
      </c>
      <c r="L309" s="302">
        <f t="shared" ref="L309:L310" si="238">D314-D309</f>
        <v>-4.2330000014737976</v>
      </c>
      <c r="M309" s="302">
        <f t="shared" ref="M309:M310" si="239">F314-F309</f>
        <v>-0.36299999995000576</v>
      </c>
      <c r="N309" s="302">
        <f t="shared" ref="N309:N310" si="240">SUM(K309:M309)</f>
        <v>-13.863000009772108</v>
      </c>
    </row>
    <row r="310" spans="1:14" x14ac:dyDescent="0.3">
      <c r="A310" s="282" t="s">
        <v>354</v>
      </c>
      <c r="B310" s="302">
        <f>SUM(B308:B309)</f>
        <v>925.45900001150619</v>
      </c>
      <c r="C310" s="299" t="str">
        <f>CONCATENATE("(",ROUND((B310/$H310)*100,1),")")</f>
        <v>(80)</v>
      </c>
      <c r="D310" s="302">
        <f>SUM(D308:D309)</f>
        <v>155.13100000124129</v>
      </c>
      <c r="E310" s="299" t="str">
        <f>CONCATENATE("(",ROUND((D310/$H310)*100,1),")")</f>
        <v>(13.4)</v>
      </c>
      <c r="F310" s="302">
        <f>SUM(F308:F309)</f>
        <v>76.35800000258854</v>
      </c>
      <c r="G310" s="299" t="str">
        <f>CONCATENATE("(",ROUND((F310/$H310)*100,1),")")</f>
        <v>(6.6)</v>
      </c>
      <c r="H310" s="302">
        <f>SUM(H308:H309)</f>
        <v>1156.948000015336</v>
      </c>
      <c r="I310" s="299" t="str">
        <f>CONCATENATE("(",ROUND((H310/$H310)*100,1),")")</f>
        <v>(100)</v>
      </c>
      <c r="K310" s="302">
        <f t="shared" si="237"/>
        <v>-17.966000009420554</v>
      </c>
      <c r="L310" s="302">
        <f t="shared" si="238"/>
        <v>-2.9390000014643931</v>
      </c>
      <c r="M310" s="302">
        <f t="shared" si="239"/>
        <v>7.3999999321245014E-2</v>
      </c>
      <c r="N310" s="302">
        <f t="shared" si="240"/>
        <v>-20.831000011563702</v>
      </c>
    </row>
    <row r="311" spans="1:14" x14ac:dyDescent="0.3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3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3">
      <c r="A313" s="282" t="s">
        <v>355</v>
      </c>
      <c r="B313" s="302">
        <f>'Ind T6'!V370</f>
        <v>525.18900000047472</v>
      </c>
      <c r="C313" s="299" t="str">
        <f>CONCATENATE("(",ROUND((B313/$H315)*100,1),")")</f>
        <v>(46.2)</v>
      </c>
      <c r="D313" s="302">
        <f>'Ind T6'!W370</f>
        <v>27.480999999991759</v>
      </c>
      <c r="E313" s="299" t="str">
        <f>CONCATENATE("(",ROUND((D313/$H315)*100,1),")")</f>
        <v>(2.4)</v>
      </c>
      <c r="F313" s="302">
        <f>'Ind T6'!X370</f>
        <v>53.910000001896698</v>
      </c>
      <c r="G313" s="299" t="str">
        <f>CONCATENATE("(",ROUND((F313/$H315)*100,1),")")</f>
        <v>(4.7)</v>
      </c>
      <c r="H313" s="302">
        <f>SUM(B313,D313,F313)</f>
        <v>606.58000000236325</v>
      </c>
      <c r="I313" s="299" t="str">
        <f>CONCATENATE("(",ROUND((H313/$H315)*100,1),")")</f>
        <v>(53.4)</v>
      </c>
      <c r="K313" s="302">
        <f>B313-B303</f>
        <v>-5.3319999989433882</v>
      </c>
      <c r="L313" s="302">
        <f>D313-D303</f>
        <v>2.5020000000504723</v>
      </c>
      <c r="M313" s="302">
        <f>F313-F303</f>
        <v>2.8960000008402176</v>
      </c>
      <c r="N313" s="302">
        <f>SUM(K313:M313)</f>
        <v>6.6000001947301712E-2</v>
      </c>
    </row>
    <row r="314" spans="1:14" x14ac:dyDescent="0.3">
      <c r="A314" s="282" t="s">
        <v>356</v>
      </c>
      <c r="B314" s="302">
        <f>'Ind T6'!V369</f>
        <v>382.30400000161092</v>
      </c>
      <c r="C314" s="299" t="str">
        <f>CONCATENATE("(",ROUND((B314/$H315)*100,1),")")</f>
        <v>(33.7)</v>
      </c>
      <c r="D314" s="302">
        <f>'Ind T6'!W369</f>
        <v>124.71099999978513</v>
      </c>
      <c r="E314" s="299" t="str">
        <f>CONCATENATE("(",ROUND((D314/$H315)*100,1),")")</f>
        <v>(11)</v>
      </c>
      <c r="F314" s="302">
        <f>'Ind T6'!X369</f>
        <v>22.522000000013083</v>
      </c>
      <c r="G314" s="299" t="str">
        <f>CONCATENATE("(",ROUND((F314/$H315)*100,1),")")</f>
        <v>(2)</v>
      </c>
      <c r="H314" s="302">
        <f t="shared" ref="H314" si="241">SUM(B314,D314,F314)</f>
        <v>529.53700000140918</v>
      </c>
      <c r="I314" s="299" t="str">
        <f>CONCATENATE("(",ROUND((H314/$H315)*100,1),")")</f>
        <v>(46.6)</v>
      </c>
      <c r="K314" s="302">
        <f t="shared" ref="K314:K315" si="242">B314-B304</f>
        <v>-9.0839999946949774</v>
      </c>
      <c r="L314" s="302">
        <f t="shared" ref="L314:L315" si="243">D314-D304</f>
        <v>-5.4020000006915012</v>
      </c>
      <c r="M314" s="302">
        <f t="shared" ref="M314:M315" si="244">F314-F304</f>
        <v>0.53500000030783568</v>
      </c>
      <c r="N314" s="302">
        <f t="shared" ref="N314:N315" si="245">SUM(K314:M314)</f>
        <v>-13.950999995078643</v>
      </c>
    </row>
    <row r="315" spans="1:14" x14ac:dyDescent="0.3">
      <c r="A315" s="282" t="s">
        <v>354</v>
      </c>
      <c r="B315" s="302">
        <f>SUM(B313:B314)</f>
        <v>907.49300000208564</v>
      </c>
      <c r="C315" s="299" t="str">
        <f>CONCATENATE("(",ROUND((B315/$H315)*100,1),")")</f>
        <v>(79.9)</v>
      </c>
      <c r="D315" s="302">
        <f>SUM(D313:D314)</f>
        <v>152.1919999997769</v>
      </c>
      <c r="E315" s="299" t="str">
        <f>CONCATENATE("(",ROUND((D315/$H315)*100,1),")")</f>
        <v>(13.4)</v>
      </c>
      <c r="F315" s="302">
        <f>SUM(F313:F314)</f>
        <v>76.432000001909785</v>
      </c>
      <c r="G315" s="299" t="str">
        <f>CONCATENATE("(",ROUND((F315/$H315)*100,1),")")</f>
        <v>(6.7)</v>
      </c>
      <c r="H315" s="302">
        <f>SUM(H313:H314)</f>
        <v>1136.1170000037723</v>
      </c>
      <c r="I315" s="299" t="str">
        <f>CONCATENATE("(",ROUND((H315/$H315)*100,1),")")</f>
        <v>(100)</v>
      </c>
      <c r="K315" s="302">
        <f t="shared" si="242"/>
        <v>-14.415999993638366</v>
      </c>
      <c r="L315" s="302">
        <f t="shared" si="243"/>
        <v>-2.9000000006410289</v>
      </c>
      <c r="M315" s="302">
        <f t="shared" si="244"/>
        <v>3.4310000011480497</v>
      </c>
      <c r="N315" s="302">
        <f t="shared" si="245"/>
        <v>-13.884999993131345</v>
      </c>
    </row>
    <row r="316" spans="1:14" x14ac:dyDescent="0.3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3">
      <c r="A320" s="288"/>
      <c r="B320" s="289" t="s">
        <v>379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3">
      <c r="N321" s="287" t="s">
        <v>377</v>
      </c>
    </row>
    <row r="322" spans="1:14" x14ac:dyDescent="0.3">
      <c r="A322" s="181" t="s">
        <v>378</v>
      </c>
      <c r="B322" s="370" t="s">
        <v>376</v>
      </c>
      <c r="C322" s="370"/>
      <c r="D322" s="370" t="s">
        <v>375</v>
      </c>
      <c r="E322" s="370"/>
      <c r="F322" s="370" t="s">
        <v>374</v>
      </c>
      <c r="G322" s="370"/>
      <c r="H322" s="370" t="s">
        <v>32</v>
      </c>
      <c r="I322" s="370"/>
      <c r="J322" s="181"/>
      <c r="K322" s="297" t="s">
        <v>339</v>
      </c>
      <c r="L322" s="297" t="s">
        <v>341</v>
      </c>
      <c r="M322" s="297" t="s">
        <v>337</v>
      </c>
      <c r="N322" s="297" t="s">
        <v>32</v>
      </c>
    </row>
    <row r="323" spans="1:14" x14ac:dyDescent="0.3">
      <c r="A323" s="292">
        <f>$A$8</f>
        <v>2020</v>
      </c>
      <c r="B323" s="287" t="s">
        <v>60</v>
      </c>
      <c r="C323" s="19" t="s">
        <v>373</v>
      </c>
      <c r="D323" s="287" t="s">
        <v>60</v>
      </c>
      <c r="E323" s="19" t="s">
        <v>373</v>
      </c>
      <c r="F323" s="287" t="s">
        <v>60</v>
      </c>
      <c r="G323" s="19" t="s">
        <v>373</v>
      </c>
      <c r="H323" s="287" t="s">
        <v>60</v>
      </c>
      <c r="I323" s="19" t="s">
        <v>373</v>
      </c>
      <c r="J323" s="181"/>
      <c r="K323" s="286" t="str">
        <f>CONCATENATE(A323," - ",A328)</f>
        <v>2020 - 2025</v>
      </c>
      <c r="L323" s="285"/>
      <c r="M323" s="285"/>
    </row>
    <row r="324" spans="1:14" x14ac:dyDescent="0.3">
      <c r="A324" s="282" t="s">
        <v>355</v>
      </c>
      <c r="B324" s="302">
        <f>'Ind T6'!L380</f>
        <v>228.40099999947947</v>
      </c>
      <c r="C324" s="299" t="str">
        <f>CONCATENATE("(",ROUND((B324/$H326)*100,1),")")</f>
        <v>(35.5)</v>
      </c>
      <c r="D324" s="302">
        <f>'Ind T6'!M380</f>
        <v>37.064999999951496</v>
      </c>
      <c r="E324" s="299" t="str">
        <f>CONCATENATE("(",ROUND((D324/$H326)*100,1),")")</f>
        <v>(5.8)</v>
      </c>
      <c r="F324" s="302">
        <f>'Ind T6'!N380</f>
        <v>44.00000000000869</v>
      </c>
      <c r="G324" s="299" t="str">
        <f>CONCATENATE("(",ROUND((F324/$H326)*100,1),")")</f>
        <v>(6.8)</v>
      </c>
      <c r="H324" s="302">
        <f>SUM(B324,D324,F324)</f>
        <v>309.46599999943965</v>
      </c>
      <c r="I324" s="299" t="str">
        <f>CONCATENATE("(",ROUND((H324/$H326)*100,1),")")</f>
        <v>(48.1)</v>
      </c>
      <c r="K324" s="302">
        <f>B329-B324</f>
        <v>-10.649999999047395</v>
      </c>
      <c r="L324" s="302">
        <f>D329-D324</f>
        <v>-1.2239999999061695</v>
      </c>
      <c r="M324" s="302">
        <f>F329-F324</f>
        <v>-0.30799999993107008</v>
      </c>
      <c r="N324" s="302">
        <f>SUM(K324:M324)</f>
        <v>-12.181999998884635</v>
      </c>
    </row>
    <row r="325" spans="1:14" x14ac:dyDescent="0.3">
      <c r="A325" s="282" t="s">
        <v>356</v>
      </c>
      <c r="B325" s="302">
        <f>'Ind T6'!L379</f>
        <v>200.68899999860434</v>
      </c>
      <c r="C325" s="299" t="str">
        <f>CONCATENATE("(",ROUND((B325/$H326)*100,1),")")</f>
        <v>(31.2)</v>
      </c>
      <c r="D325" s="302">
        <f>'Ind T6'!M379</f>
        <v>101.84300000060207</v>
      </c>
      <c r="E325" s="299" t="str">
        <f>CONCATENATE("(",ROUND((D325/$H326)*100,1),")")</f>
        <v>(15.8)</v>
      </c>
      <c r="F325" s="302">
        <f>'Ind T6'!N379</f>
        <v>31.000999999360868</v>
      </c>
      <c r="G325" s="299" t="str">
        <f>CONCATENATE("(",ROUND((F325/$H326)*100,1),")")</f>
        <v>(4.8)</v>
      </c>
      <c r="H325" s="302">
        <f t="shared" ref="H325" si="246">SUM(B325,D325,F325)</f>
        <v>333.53299999856728</v>
      </c>
      <c r="I325" s="299" t="str">
        <f>CONCATENATE("(",ROUND((H325/$H326)*100,1),")")</f>
        <v>(51.9)</v>
      </c>
      <c r="K325" s="302">
        <f t="shared" ref="K325:K326" si="247">B330-B325</f>
        <v>-2.5549999949605819</v>
      </c>
      <c r="L325" s="302">
        <f t="shared" ref="L325:L326" si="248">D330-D325</f>
        <v>-8.3039999994146427</v>
      </c>
      <c r="M325" s="302">
        <f t="shared" ref="M325:M326" si="249">F330-F325</f>
        <v>-1.2239999995073596</v>
      </c>
      <c r="N325" s="302">
        <f t="shared" ref="N325:N326" si="250">SUM(K325:M325)</f>
        <v>-12.082999993882584</v>
      </c>
    </row>
    <row r="326" spans="1:14" x14ac:dyDescent="0.3">
      <c r="A326" s="282" t="s">
        <v>354</v>
      </c>
      <c r="B326" s="302">
        <f>SUM(B324:B325)</f>
        <v>429.08999999808384</v>
      </c>
      <c r="C326" s="299" t="str">
        <f>CONCATENATE("(",ROUND((B326/$H326)*100,1),")")</f>
        <v>(66.7)</v>
      </c>
      <c r="D326" s="302">
        <f>SUM(D324:D325)</f>
        <v>138.90800000055356</v>
      </c>
      <c r="E326" s="299" t="str">
        <f>CONCATENATE("(",ROUND((D326/$H326)*100,1),")")</f>
        <v>(21.6)</v>
      </c>
      <c r="F326" s="302">
        <f>SUM(F324:F325)</f>
        <v>75.000999999369554</v>
      </c>
      <c r="G326" s="299" t="str">
        <f>CONCATENATE("(",ROUND((F326/$H326)*100,1),")")</f>
        <v>(11.7)</v>
      </c>
      <c r="H326" s="302">
        <f>SUM(H324:H325)</f>
        <v>642.99899999800687</v>
      </c>
      <c r="I326" s="299" t="str">
        <f>CONCATENATE("(",ROUND((H326/$H326)*100,1),")")</f>
        <v>(100)</v>
      </c>
      <c r="K326" s="302">
        <f t="shared" si="247"/>
        <v>-13.204999994008006</v>
      </c>
      <c r="L326" s="302">
        <f t="shared" si="248"/>
        <v>-9.527999999320798</v>
      </c>
      <c r="M326" s="302">
        <f t="shared" si="249"/>
        <v>-1.5319999994384261</v>
      </c>
      <c r="N326" s="302">
        <f t="shared" si="250"/>
        <v>-24.26499999276723</v>
      </c>
    </row>
    <row r="327" spans="1:14" x14ac:dyDescent="0.3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3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3">
      <c r="A329" s="282" t="s">
        <v>355</v>
      </c>
      <c r="B329" s="302">
        <f>'Ind T6'!Q380</f>
        <v>217.75100000043207</v>
      </c>
      <c r="C329" s="299" t="str">
        <f>CONCATENATE("(",ROUND((B329/$H331)*100,1),")")</f>
        <v>(35.2)</v>
      </c>
      <c r="D329" s="302">
        <f>'Ind T6'!R380</f>
        <v>35.841000000045327</v>
      </c>
      <c r="E329" s="299" t="str">
        <f>CONCATENATE("(",ROUND((D329/$H331)*100,1),")")</f>
        <v>(5.8)</v>
      </c>
      <c r="F329" s="302">
        <f>'Ind T6'!S380</f>
        <v>43.69200000007762</v>
      </c>
      <c r="G329" s="299" t="str">
        <f>CONCATENATE("(",ROUND((F329/$H331)*100,1),")")</f>
        <v>(7.1)</v>
      </c>
      <c r="H329" s="302">
        <f>SUM(B329,D329,F329)</f>
        <v>297.28400000055501</v>
      </c>
      <c r="I329" s="299" t="str">
        <f>CONCATENATE("(",ROUND((H329/$H331)*100,1),")")</f>
        <v>(48)</v>
      </c>
      <c r="K329" s="302">
        <f>B334-B329</f>
        <v>14.403999999843336</v>
      </c>
      <c r="L329" s="302">
        <f>D334-D329</f>
        <v>3.4819999999355744</v>
      </c>
      <c r="M329" s="302">
        <f>F334-F329</f>
        <v>6.7120000000365962</v>
      </c>
      <c r="N329" s="302">
        <f>SUM(K329:M329)</f>
        <v>24.597999999815507</v>
      </c>
    </row>
    <row r="330" spans="1:14" x14ac:dyDescent="0.3">
      <c r="A330" s="282" t="s">
        <v>356</v>
      </c>
      <c r="B330" s="302">
        <f>'Ind T6'!Q379</f>
        <v>198.13400000364376</v>
      </c>
      <c r="C330" s="299" t="str">
        <f>CONCATENATE("(",ROUND((B330/$H331)*100,1),")")</f>
        <v>(32)</v>
      </c>
      <c r="D330" s="302">
        <f>'Ind T6'!R379</f>
        <v>93.539000001187432</v>
      </c>
      <c r="E330" s="299" t="str">
        <f>CONCATENATE("(",ROUND((D330/$H331)*100,1),")")</f>
        <v>(15.1)</v>
      </c>
      <c r="F330" s="302">
        <f>'Ind T6'!S379</f>
        <v>29.776999999853508</v>
      </c>
      <c r="G330" s="299" t="str">
        <f>CONCATENATE("(",ROUND((F330/$H331)*100,1),")")</f>
        <v>(4.8)</v>
      </c>
      <c r="H330" s="302">
        <f t="shared" ref="H330" si="251">SUM(B330,D330,F330)</f>
        <v>321.45000000468468</v>
      </c>
      <c r="I330" s="299" t="str">
        <f>CONCATENATE("(",ROUND((H330/$H331)*100,1),")")</f>
        <v>(52)</v>
      </c>
      <c r="K330" s="302">
        <f t="shared" ref="K330:K331" si="252">B335-B330</f>
        <v>28.028999996106023</v>
      </c>
      <c r="L330" s="302">
        <f t="shared" ref="L330:L331" si="253">D335-D330</f>
        <v>-1.602000001413117</v>
      </c>
      <c r="M330" s="302">
        <f t="shared" ref="M330:M331" si="254">F335-F330</f>
        <v>2.4550000001773924</v>
      </c>
      <c r="N330" s="302">
        <f t="shared" ref="N330:N331" si="255">SUM(K330:M330)</f>
        <v>28.881999994870299</v>
      </c>
    </row>
    <row r="331" spans="1:14" x14ac:dyDescent="0.3">
      <c r="A331" s="282" t="s">
        <v>354</v>
      </c>
      <c r="B331" s="302">
        <f>SUM(B329:B330)</f>
        <v>415.88500000407583</v>
      </c>
      <c r="C331" s="299" t="str">
        <f>CONCATENATE("(",ROUND((B331/$H331)*100,1),")")</f>
        <v>(67.2)</v>
      </c>
      <c r="D331" s="302">
        <f>SUM(D329:D330)</f>
        <v>129.38000000123276</v>
      </c>
      <c r="E331" s="299" t="str">
        <f>CONCATENATE("(",ROUND((D331/$H331)*100,1),")")</f>
        <v>(20.9)</v>
      </c>
      <c r="F331" s="302">
        <f>SUM(F329:F330)</f>
        <v>73.468999999931128</v>
      </c>
      <c r="G331" s="299" t="str">
        <f>CONCATENATE("(",ROUND((F331/$H331)*100,1),")")</f>
        <v>(11.9)</v>
      </c>
      <c r="H331" s="302">
        <f>SUM(H329:H330)</f>
        <v>618.73400000523975</v>
      </c>
      <c r="I331" s="299" t="str">
        <f>CONCATENATE("(",ROUND((H331/$H331)*100,1),")")</f>
        <v>(100)</v>
      </c>
      <c r="K331" s="302">
        <f t="shared" si="252"/>
        <v>42.432999995949388</v>
      </c>
      <c r="L331" s="302">
        <f t="shared" si="253"/>
        <v>1.8799999985224645</v>
      </c>
      <c r="M331" s="302">
        <f t="shared" si="254"/>
        <v>9.1670000002139886</v>
      </c>
      <c r="N331" s="302">
        <f t="shared" si="255"/>
        <v>53.479999994685841</v>
      </c>
    </row>
    <row r="332" spans="1:14" x14ac:dyDescent="0.3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3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3">
      <c r="A334" s="282" t="s">
        <v>355</v>
      </c>
      <c r="B334" s="302">
        <f>'Ind T6'!V380</f>
        <v>232.15500000027541</v>
      </c>
      <c r="C334" s="299" t="str">
        <f>CONCATENATE("(",ROUND((B334/$H336)*100,1),")")</f>
        <v>(34.5)</v>
      </c>
      <c r="D334" s="302">
        <f>'Ind T6'!W380</f>
        <v>39.322999999980901</v>
      </c>
      <c r="E334" s="299" t="str">
        <f>CONCATENATE("(",ROUND((D334/$H336)*100,1),")")</f>
        <v>(5.8)</v>
      </c>
      <c r="F334" s="302">
        <f>'Ind T6'!X380</f>
        <v>50.404000000114216</v>
      </c>
      <c r="G334" s="299" t="str">
        <f>CONCATENATE("(",ROUND((F334/$H336)*100,1),")")</f>
        <v>(7.5)</v>
      </c>
      <c r="H334" s="302">
        <f>SUM(B334,D334,F334)</f>
        <v>321.88200000037051</v>
      </c>
      <c r="I334" s="299" t="str">
        <f>CONCATENATE("(",ROUND((H334/$H336)*100,1),")")</f>
        <v>(47.9)</v>
      </c>
      <c r="K334" s="302">
        <f>B334-B324</f>
        <v>3.7540000007959407</v>
      </c>
      <c r="L334" s="302">
        <f>D334-D324</f>
        <v>2.2580000000294049</v>
      </c>
      <c r="M334" s="302">
        <f>F334-F324</f>
        <v>6.4040000001055262</v>
      </c>
      <c r="N334" s="302">
        <f>SUM(K334:M334)</f>
        <v>12.416000000930872</v>
      </c>
    </row>
    <row r="335" spans="1:14" x14ac:dyDescent="0.3">
      <c r="A335" s="282" t="s">
        <v>356</v>
      </c>
      <c r="B335" s="302">
        <f>'Ind T6'!V379</f>
        <v>226.16299999974979</v>
      </c>
      <c r="C335" s="299" t="str">
        <f>CONCATENATE("(",ROUND((B335/$H336)*100,1),")")</f>
        <v>(33.6)</v>
      </c>
      <c r="D335" s="302">
        <f>'Ind T6'!W379</f>
        <v>91.936999999774315</v>
      </c>
      <c r="E335" s="299" t="str">
        <f>CONCATENATE("(",ROUND((D335/$H336)*100,1),")")</f>
        <v>(13.7)</v>
      </c>
      <c r="F335" s="302">
        <f>'Ind T6'!X379</f>
        <v>32.232000000030901</v>
      </c>
      <c r="G335" s="299" t="str">
        <f>CONCATENATE("(",ROUND((F335/$H336)*100,1),")")</f>
        <v>(4.8)</v>
      </c>
      <c r="H335" s="302">
        <f>SUM(B335,D335,F335)</f>
        <v>350.33199999955502</v>
      </c>
      <c r="I335" s="299" t="str">
        <f>CONCATENATE("(",ROUND((H335/$H336)*100,1),")")</f>
        <v>(52.1)</v>
      </c>
      <c r="K335" s="302">
        <f t="shared" ref="K335:K336" si="256">B335-B325</f>
        <v>25.474000001145441</v>
      </c>
      <c r="L335" s="302">
        <f t="shared" ref="L335:L336" si="257">D335-D325</f>
        <v>-9.9060000008277598</v>
      </c>
      <c r="M335" s="302">
        <f t="shared" ref="M335:M336" si="258">F335-F325</f>
        <v>1.2310000006700328</v>
      </c>
      <c r="N335" s="302">
        <f t="shared" ref="N335:N336" si="259">SUM(K335:M335)</f>
        <v>16.799000000987714</v>
      </c>
    </row>
    <row r="336" spans="1:14" x14ac:dyDescent="0.3">
      <c r="A336" s="282" t="s">
        <v>354</v>
      </c>
      <c r="B336" s="302">
        <f>SUM(B334:B335)</f>
        <v>458.31800000002522</v>
      </c>
      <c r="C336" s="299" t="str">
        <f>CONCATENATE("(",ROUND((B336/$H336)*100,1),")")</f>
        <v>(68.2)</v>
      </c>
      <c r="D336" s="302">
        <f>SUM(D334:D335)</f>
        <v>131.25999999975522</v>
      </c>
      <c r="E336" s="299" t="str">
        <f>CONCATENATE("(",ROUND((D336/$H336)*100,1),")")</f>
        <v>(19.5)</v>
      </c>
      <c r="F336" s="302">
        <f>SUM(F334:F335)</f>
        <v>82.636000000145117</v>
      </c>
      <c r="G336" s="299" t="str">
        <f>CONCATENATE("(",ROUND((F336/$H336)*100,1),")")</f>
        <v>(12.3)</v>
      </c>
      <c r="H336" s="302">
        <f>SUM(H334:H335)</f>
        <v>672.21399999992559</v>
      </c>
      <c r="I336" s="299" t="str">
        <f>CONCATENATE("(",ROUND((H336/$H336)*100,1),")")</f>
        <v>(100)</v>
      </c>
      <c r="K336" s="302">
        <f t="shared" si="256"/>
        <v>29.228000001941382</v>
      </c>
      <c r="L336" s="302">
        <f t="shared" si="257"/>
        <v>-7.6480000007983335</v>
      </c>
      <c r="M336" s="302">
        <f t="shared" si="258"/>
        <v>7.6350000007755625</v>
      </c>
      <c r="N336" s="302">
        <f t="shared" si="259"/>
        <v>29.215000001918611</v>
      </c>
    </row>
    <row r="337" spans="1:14" x14ac:dyDescent="0.3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3">
      <c r="A341" s="288"/>
      <c r="B341" s="289" t="s">
        <v>379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3">
      <c r="N342" s="287" t="s">
        <v>377</v>
      </c>
    </row>
    <row r="343" spans="1:14" x14ac:dyDescent="0.3">
      <c r="A343" s="181" t="s">
        <v>378</v>
      </c>
      <c r="B343" s="370" t="s">
        <v>376</v>
      </c>
      <c r="C343" s="370"/>
      <c r="D343" s="370" t="s">
        <v>375</v>
      </c>
      <c r="E343" s="370"/>
      <c r="F343" s="370" t="s">
        <v>374</v>
      </c>
      <c r="G343" s="370"/>
      <c r="H343" s="370" t="s">
        <v>32</v>
      </c>
      <c r="I343" s="370"/>
      <c r="J343" s="181"/>
      <c r="K343" s="297" t="s">
        <v>339</v>
      </c>
      <c r="L343" s="297" t="s">
        <v>341</v>
      </c>
      <c r="M343" s="297" t="s">
        <v>337</v>
      </c>
      <c r="N343" s="297" t="s">
        <v>32</v>
      </c>
    </row>
    <row r="344" spans="1:14" x14ac:dyDescent="0.3">
      <c r="A344" s="292">
        <f>$A$8</f>
        <v>2020</v>
      </c>
      <c r="B344" s="287" t="s">
        <v>60</v>
      </c>
      <c r="C344" s="19" t="s">
        <v>373</v>
      </c>
      <c r="D344" s="287" t="s">
        <v>60</v>
      </c>
      <c r="E344" s="19" t="s">
        <v>373</v>
      </c>
      <c r="F344" s="287" t="s">
        <v>60</v>
      </c>
      <c r="G344" s="19" t="s">
        <v>373</v>
      </c>
      <c r="H344" s="287" t="s">
        <v>60</v>
      </c>
      <c r="I344" s="19" t="s">
        <v>373</v>
      </c>
      <c r="J344" s="181"/>
      <c r="K344" s="286" t="str">
        <f>CONCATENATE(A344," - ",A349)</f>
        <v>2020 - 2025</v>
      </c>
      <c r="L344" s="285"/>
      <c r="M344" s="285"/>
    </row>
    <row r="345" spans="1:14" x14ac:dyDescent="0.3">
      <c r="A345" s="282" t="s">
        <v>355</v>
      </c>
      <c r="B345" s="302">
        <f>'Ind T6'!L425</f>
        <v>1217.0689999934868</v>
      </c>
      <c r="C345" s="299" t="str">
        <f>CONCATENATE("(",ROUND((B345/$H347)*100,1),")")</f>
        <v>(38.6)</v>
      </c>
      <c r="D345" s="302">
        <f>'Ind T6'!M425</f>
        <v>178.00300000019777</v>
      </c>
      <c r="E345" s="299" t="str">
        <f>CONCATENATE("(",ROUND((D345/$H347)*100,1),")")</f>
        <v>(5.6)</v>
      </c>
      <c r="F345" s="302">
        <f>'Ind T6'!N425</f>
        <v>301.38500000715692</v>
      </c>
      <c r="G345" s="299" t="str">
        <f>CONCATENATE("(",ROUND((F345/$H347)*100,1),")")</f>
        <v>(9.6)</v>
      </c>
      <c r="H345" s="302">
        <f>SUM(B345,D345,F345)</f>
        <v>1696.4570000008416</v>
      </c>
      <c r="I345" s="299" t="str">
        <f>CONCATENATE("(",ROUND((H345/$H347)*100,1),")")</f>
        <v>(53.8)</v>
      </c>
      <c r="K345" s="302">
        <f>B350-B345</f>
        <v>39.194000002357598</v>
      </c>
      <c r="L345" s="302">
        <f>D350-D345</f>
        <v>12.181999999825138</v>
      </c>
      <c r="M345" s="302">
        <f>F350-F345</f>
        <v>16.396000011795422</v>
      </c>
      <c r="N345" s="302">
        <f>SUM(K345:M345)</f>
        <v>67.772000013978158</v>
      </c>
    </row>
    <row r="346" spans="1:14" x14ac:dyDescent="0.3">
      <c r="A346" s="282" t="s">
        <v>356</v>
      </c>
      <c r="B346" s="302">
        <f>'Ind T6'!L424</f>
        <v>854.16099999151379</v>
      </c>
      <c r="C346" s="299" t="str">
        <f>CONCATENATE("(",ROUND((B346/$H347)*100,1),")")</f>
        <v>(27.1)</v>
      </c>
      <c r="D346" s="302">
        <f>'Ind T6'!M424</f>
        <v>411.76199999927758</v>
      </c>
      <c r="E346" s="299" t="str">
        <f>CONCATENATE("(",ROUND((D346/$H347)*100,1),")")</f>
        <v>(13.1)</v>
      </c>
      <c r="F346" s="302">
        <f>'Ind T6'!N424</f>
        <v>189.61599999821524</v>
      </c>
      <c r="G346" s="299" t="str">
        <f>CONCATENATE("(",ROUND((F346/$H347)*100,1),")")</f>
        <v>(6)</v>
      </c>
      <c r="H346" s="302">
        <f t="shared" ref="H346" si="260">SUM(B346,D346,F346)</f>
        <v>1455.5389999890067</v>
      </c>
      <c r="I346" s="299" t="str">
        <f>CONCATENATE("(",ROUND((H346/$H347)*100,1),")")</f>
        <v>(46.2)</v>
      </c>
      <c r="K346" s="302">
        <f t="shared" ref="K346:K347" si="261">B351-B346</f>
        <v>50.564000027836869</v>
      </c>
      <c r="L346" s="302">
        <f t="shared" ref="L346:L347" si="262">D351-D346</f>
        <v>25.562000001425247</v>
      </c>
      <c r="M346" s="302">
        <f t="shared" ref="M346:M347" si="263">F351-F346</f>
        <v>16.283000000995031</v>
      </c>
      <c r="N346" s="302">
        <f t="shared" ref="N346:N347" si="264">SUM(K346:M346)</f>
        <v>92.409000030257147</v>
      </c>
    </row>
    <row r="347" spans="1:14" x14ac:dyDescent="0.3">
      <c r="A347" s="282" t="s">
        <v>354</v>
      </c>
      <c r="B347" s="302">
        <f>SUM(B345:B346)</f>
        <v>2071.2299999850006</v>
      </c>
      <c r="C347" s="299" t="str">
        <f>CONCATENATE("(",ROUND((B347/$H347)*100,1),")")</f>
        <v>(65.7)</v>
      </c>
      <c r="D347" s="302">
        <f>SUM(D345:D346)</f>
        <v>589.76499999947532</v>
      </c>
      <c r="E347" s="299" t="str">
        <f>CONCATENATE("(",ROUND((D347/$H347)*100,1),")")</f>
        <v>(18.7)</v>
      </c>
      <c r="F347" s="302">
        <f>SUM(F345:F346)</f>
        <v>491.00100000537213</v>
      </c>
      <c r="G347" s="299" t="str">
        <f>CONCATENATE("(",ROUND((F347/$H347)*100,1),")")</f>
        <v>(15.6)</v>
      </c>
      <c r="H347" s="302">
        <f>SUM(H345:H346)</f>
        <v>3151.9959999898483</v>
      </c>
      <c r="I347" s="299" t="str">
        <f>CONCATENATE("(",ROUND((H347/$H347)*100,1),")")</f>
        <v>(100)</v>
      </c>
      <c r="K347" s="302">
        <f t="shared" si="261"/>
        <v>89.75800003019458</v>
      </c>
      <c r="L347" s="302">
        <f t="shared" si="262"/>
        <v>37.74400000125047</v>
      </c>
      <c r="M347" s="302">
        <f t="shared" si="263"/>
        <v>32.679000012790539</v>
      </c>
      <c r="N347" s="302">
        <f t="shared" si="264"/>
        <v>160.18100004423559</v>
      </c>
    </row>
    <row r="348" spans="1:14" x14ac:dyDescent="0.3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3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3">
      <c r="A350" s="282" t="s">
        <v>355</v>
      </c>
      <c r="B350" s="302">
        <f>'Ind T6'!Q425</f>
        <v>1256.2629999958444</v>
      </c>
      <c r="C350" s="299" t="str">
        <f>CONCATENATE("(",ROUND((B350/$H352)*100,1),")")</f>
        <v>(37.9)</v>
      </c>
      <c r="D350" s="302">
        <f>'Ind T6'!R425</f>
        <v>190.18500000002291</v>
      </c>
      <c r="E350" s="299" t="str">
        <f>CONCATENATE("(",ROUND((D350/$H352)*100,1),")")</f>
        <v>(5.7)</v>
      </c>
      <c r="F350" s="302">
        <f>'Ind T6'!S425</f>
        <v>317.78100001895234</v>
      </c>
      <c r="G350" s="299" t="str">
        <f>CONCATENATE("(",ROUND((F350/$H352)*100,1),")")</f>
        <v>(9.6)</v>
      </c>
      <c r="H350" s="302">
        <f>SUM(B350,D350,F350)</f>
        <v>1764.2290000148196</v>
      </c>
      <c r="I350" s="299" t="str">
        <f>CONCATENATE("(",ROUND((H350/$H352)*100,1),")")</f>
        <v>(53.3)</v>
      </c>
      <c r="K350" s="302">
        <f>B355-B350</f>
        <v>50.666999994698244</v>
      </c>
      <c r="L350" s="302">
        <f>D355-D350</f>
        <v>20.794999999959799</v>
      </c>
      <c r="M350" s="302">
        <f>F355-F350</f>
        <v>23.549999993950678</v>
      </c>
      <c r="N350" s="302">
        <f>SUM(K350:M350)</f>
        <v>95.011999988608721</v>
      </c>
    </row>
    <row r="351" spans="1:14" x14ac:dyDescent="0.3">
      <c r="A351" s="282" t="s">
        <v>356</v>
      </c>
      <c r="B351" s="302">
        <f>'Ind T6'!Q424</f>
        <v>904.72500001935066</v>
      </c>
      <c r="C351" s="299" t="str">
        <f>CONCATENATE("(",ROUND((B351/$H352)*100,1),")")</f>
        <v>(27.3)</v>
      </c>
      <c r="D351" s="302">
        <f>'Ind T6'!R424</f>
        <v>437.32400000070282</v>
      </c>
      <c r="E351" s="299" t="str">
        <f>CONCATENATE("(",ROUND((D351/$H352)*100,1),")")</f>
        <v>(13.2)</v>
      </c>
      <c r="F351" s="302">
        <f>'Ind T6'!S424</f>
        <v>205.89899999921028</v>
      </c>
      <c r="G351" s="299" t="str">
        <f>CONCATENATE("(",ROUND((F351/$H352)*100,1),")")</f>
        <v>(6.2)</v>
      </c>
      <c r="H351" s="302">
        <f t="shared" ref="H351" si="265">SUM(B351,D351,F351)</f>
        <v>1547.9480000192636</v>
      </c>
      <c r="I351" s="299" t="str">
        <f>CONCATENATE("(",ROUND((H351/$H352)*100,1),")")</f>
        <v>(46.7)</v>
      </c>
      <c r="K351" s="302">
        <f t="shared" ref="K351:K352" si="266">B356-B351</f>
        <v>64.868999986977428</v>
      </c>
      <c r="L351" s="302">
        <f t="shared" ref="L351:L352" si="267">D356-D351</f>
        <v>35.282000002011159</v>
      </c>
      <c r="M351" s="302">
        <f t="shared" ref="M351:M352" si="268">F356-F351</f>
        <v>24.756000002065207</v>
      </c>
      <c r="N351" s="302">
        <f t="shared" ref="N351:N352" si="269">SUM(K351:M351)</f>
        <v>124.90699999105379</v>
      </c>
    </row>
    <row r="352" spans="1:14" x14ac:dyDescent="0.3">
      <c r="A352" s="282" t="s">
        <v>354</v>
      </c>
      <c r="B352" s="302">
        <f>SUM(B350:B351)</f>
        <v>2160.9880000151952</v>
      </c>
      <c r="C352" s="299" t="str">
        <f>CONCATENATE("(",ROUND((B352/$H352)*100,1),")")</f>
        <v>(65.2)</v>
      </c>
      <c r="D352" s="302">
        <f>SUM(D350:D351)</f>
        <v>627.50900000072579</v>
      </c>
      <c r="E352" s="299" t="str">
        <f>CONCATENATE("(",ROUND((D352/$H352)*100,1),")")</f>
        <v>(18.9)</v>
      </c>
      <c r="F352" s="302">
        <f>SUM(F350:F351)</f>
        <v>523.68000001816267</v>
      </c>
      <c r="G352" s="299" t="str">
        <f>CONCATENATE("(",ROUND((F352/$H352)*100,1),")")</f>
        <v>(15.8)</v>
      </c>
      <c r="H352" s="302">
        <f>SUM(H350:H351)</f>
        <v>3312.177000034083</v>
      </c>
      <c r="I352" s="299" t="str">
        <f>CONCATENATE("(",ROUND((H352/$H352)*100,1),")")</f>
        <v>(100)</v>
      </c>
      <c r="K352" s="302">
        <f t="shared" si="266"/>
        <v>115.53599998167556</v>
      </c>
      <c r="L352" s="302">
        <f t="shared" si="267"/>
        <v>56.077000001970873</v>
      </c>
      <c r="M352" s="302">
        <f t="shared" si="268"/>
        <v>48.305999996015771</v>
      </c>
      <c r="N352" s="302">
        <f t="shared" si="269"/>
        <v>219.9189999796622</v>
      </c>
    </row>
    <row r="353" spans="1:14" x14ac:dyDescent="0.3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3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3">
      <c r="A355" s="282" t="s">
        <v>355</v>
      </c>
      <c r="B355" s="302">
        <f>'Ind T6'!V425</f>
        <v>1306.9299999905427</v>
      </c>
      <c r="C355" s="299" t="str">
        <f>CONCATENATE("(",ROUND((B355/$H357)*100,1),")")</f>
        <v>(37)</v>
      </c>
      <c r="D355" s="302">
        <f>'Ind T6'!W425</f>
        <v>210.97999999998271</v>
      </c>
      <c r="E355" s="299" t="str">
        <f>CONCATENATE("(",ROUND((D355/$H357)*100,1),")")</f>
        <v>(6)</v>
      </c>
      <c r="F355" s="302">
        <f>'Ind T6'!X425</f>
        <v>341.33100001290302</v>
      </c>
      <c r="G355" s="299" t="str">
        <f>CONCATENATE("(",ROUND((F355/$H357)*100,1),")")</f>
        <v>(9.7)</v>
      </c>
      <c r="H355" s="302">
        <f>SUM(B355,D355,F355)</f>
        <v>1859.2410000034283</v>
      </c>
      <c r="I355" s="299" t="str">
        <f>CONCATENATE("(",ROUND((H355/$H357)*100,1),")")</f>
        <v>(52.6)</v>
      </c>
      <c r="K355" s="302">
        <f>B355-B345</f>
        <v>89.860999997055842</v>
      </c>
      <c r="L355" s="302">
        <f>D355-D345</f>
        <v>32.976999999784937</v>
      </c>
      <c r="M355" s="302">
        <f>F355-F345</f>
        <v>39.9460000057461</v>
      </c>
      <c r="N355" s="302">
        <f>SUM(K355:M355)</f>
        <v>162.78400000258688</v>
      </c>
    </row>
    <row r="356" spans="1:14" x14ac:dyDescent="0.3">
      <c r="A356" s="282" t="s">
        <v>356</v>
      </c>
      <c r="B356" s="302">
        <f>'Ind T6'!V424</f>
        <v>969.59400000632809</v>
      </c>
      <c r="C356" s="299" t="str">
        <f>CONCATENATE("(",ROUND((B356/$H357)*100,1),")")</f>
        <v>(27.5)</v>
      </c>
      <c r="D356" s="302">
        <f>'Ind T6'!W424</f>
        <v>472.60600000271398</v>
      </c>
      <c r="E356" s="299" t="str">
        <f>CONCATENATE("(",ROUND((D356/$H357)*100,1),")")</f>
        <v>(13.4)</v>
      </c>
      <c r="F356" s="302">
        <f>'Ind T6'!X424</f>
        <v>230.65500000127548</v>
      </c>
      <c r="G356" s="299" t="str">
        <f>CONCATENATE("(",ROUND((F356/$H357)*100,1),")")</f>
        <v>(6.5)</v>
      </c>
      <c r="H356" s="302">
        <f t="shared" ref="H356" si="270">SUM(B356,D356,F356)</f>
        <v>1672.8550000103176</v>
      </c>
      <c r="I356" s="299" t="str">
        <f>CONCATENATE("(",ROUND((H356/$H357)*100,1),")")</f>
        <v>(47.4)</v>
      </c>
      <c r="K356" s="302">
        <f t="shared" ref="K356:K357" si="271">B356-B346</f>
        <v>115.4330000148143</v>
      </c>
      <c r="L356" s="302">
        <f t="shared" ref="L356:L357" si="272">D356-D346</f>
        <v>60.844000003436406</v>
      </c>
      <c r="M356" s="302">
        <f t="shared" ref="M356:M357" si="273">F356-F346</f>
        <v>41.039000003060238</v>
      </c>
      <c r="N356" s="302">
        <f t="shared" ref="N356:N357" si="274">SUM(K356:M356)</f>
        <v>217.31600002131094</v>
      </c>
    </row>
    <row r="357" spans="1:14" x14ac:dyDescent="0.3">
      <c r="A357" s="282" t="s">
        <v>354</v>
      </c>
      <c r="B357" s="302">
        <f>SUM(B355:B356)</f>
        <v>2276.5239999968708</v>
      </c>
      <c r="C357" s="299" t="str">
        <f>CONCATENATE("(",ROUND((B357/$H357)*100,1),")")</f>
        <v>(64.5)</v>
      </c>
      <c r="D357" s="302">
        <f>SUM(D355:D356)</f>
        <v>683.58600000269666</v>
      </c>
      <c r="E357" s="299" t="str">
        <f>CONCATENATE("(",ROUND((D357/$H357)*100,1),")")</f>
        <v>(19.4)</v>
      </c>
      <c r="F357" s="302">
        <f>SUM(F355:F356)</f>
        <v>571.98600001417844</v>
      </c>
      <c r="G357" s="299" t="str">
        <f>CONCATENATE("(",ROUND((F357/$H357)*100,1),")")</f>
        <v>(16.2)</v>
      </c>
      <c r="H357" s="302">
        <f>SUM(H355:H356)</f>
        <v>3532.0960000137457</v>
      </c>
      <c r="I357" s="299" t="str">
        <f>CONCATENATE("(",ROUND((H357/$H357)*100,1),")")</f>
        <v>(100)</v>
      </c>
      <c r="K357" s="302">
        <f t="shared" si="271"/>
        <v>205.29400001187014</v>
      </c>
      <c r="L357" s="302">
        <f t="shared" si="272"/>
        <v>93.821000003221343</v>
      </c>
      <c r="M357" s="302">
        <f t="shared" si="273"/>
        <v>80.98500000880631</v>
      </c>
      <c r="N357" s="302">
        <f t="shared" si="274"/>
        <v>380.10000002389779</v>
      </c>
    </row>
    <row r="358" spans="1:14" x14ac:dyDescent="0.3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3">
      <c r="C361" s="181"/>
      <c r="E361" s="181"/>
      <c r="G361" s="181"/>
      <c r="I361" s="181"/>
    </row>
    <row r="362" spans="1:14" x14ac:dyDescent="0.3">
      <c r="A362" s="288"/>
      <c r="B362" s="289" t="s">
        <v>379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3">
      <c r="N363" s="287" t="s">
        <v>377</v>
      </c>
    </row>
    <row r="364" spans="1:14" x14ac:dyDescent="0.3">
      <c r="A364" s="181" t="s">
        <v>378</v>
      </c>
      <c r="B364" s="370" t="s">
        <v>376</v>
      </c>
      <c r="C364" s="370"/>
      <c r="D364" s="370" t="s">
        <v>375</v>
      </c>
      <c r="E364" s="370"/>
      <c r="F364" s="370" t="s">
        <v>374</v>
      </c>
      <c r="G364" s="370"/>
      <c r="H364" s="370" t="s">
        <v>32</v>
      </c>
      <c r="I364" s="370"/>
      <c r="J364" s="181"/>
      <c r="K364" s="297" t="s">
        <v>339</v>
      </c>
      <c r="L364" s="297" t="s">
        <v>341</v>
      </c>
      <c r="M364" s="297" t="s">
        <v>337</v>
      </c>
      <c r="N364" s="297" t="s">
        <v>32</v>
      </c>
    </row>
    <row r="365" spans="1:14" x14ac:dyDescent="0.3">
      <c r="A365" s="292">
        <f>$A$8</f>
        <v>2020</v>
      </c>
      <c r="B365" s="287" t="s">
        <v>60</v>
      </c>
      <c r="C365" s="19" t="s">
        <v>373</v>
      </c>
      <c r="D365" s="287" t="s">
        <v>60</v>
      </c>
      <c r="E365" s="19" t="s">
        <v>373</v>
      </c>
      <c r="F365" s="287" t="s">
        <v>60</v>
      </c>
      <c r="G365" s="19" t="s">
        <v>373</v>
      </c>
      <c r="H365" s="287" t="s">
        <v>60</v>
      </c>
      <c r="I365" s="19" t="s">
        <v>373</v>
      </c>
      <c r="J365" s="181"/>
      <c r="K365" s="286" t="str">
        <f>CONCATENATE(A365," - ",A370)</f>
        <v>2020 - 2025</v>
      </c>
      <c r="L365" s="285"/>
      <c r="M365" s="285"/>
    </row>
    <row r="366" spans="1:14" x14ac:dyDescent="0.3">
      <c r="A366" s="282" t="s">
        <v>355</v>
      </c>
      <c r="B366" s="302">
        <f>'Ind T6'!L465</f>
        <v>1048.0679999996273</v>
      </c>
      <c r="C366" s="299" t="str">
        <f>CONCATENATE("(",ROUND((B366/$H368)*100,1),")")</f>
        <v>(36.9)</v>
      </c>
      <c r="D366" s="302">
        <f>'Ind T6'!M465</f>
        <v>384.12199999982511</v>
      </c>
      <c r="E366" s="299" t="str">
        <f>CONCATENATE("(",ROUND((D366/$H368)*100,1),")")</f>
        <v>(13.5)</v>
      </c>
      <c r="F366" s="302">
        <f>'Ind T6'!N465</f>
        <v>156.87300000184115</v>
      </c>
      <c r="G366" s="299" t="str">
        <f>CONCATENATE("(",ROUND((F366/$H368)*100,1),")")</f>
        <v>(5.5)</v>
      </c>
      <c r="H366" s="302">
        <f>SUM(B366,D366,F366)</f>
        <v>1589.0630000012936</v>
      </c>
      <c r="I366" s="299" t="str">
        <f>CONCATENATE("(",ROUND((H366/$H368)*100,1),")")</f>
        <v>(56)</v>
      </c>
      <c r="K366" s="302">
        <f>B371-B366</f>
        <v>63.413000001710088</v>
      </c>
      <c r="L366" s="302">
        <f>D371-D366</f>
        <v>22.360000000760522</v>
      </c>
      <c r="M366" s="302">
        <f>F371-F366</f>
        <v>7.3470000028386835</v>
      </c>
      <c r="N366" s="302">
        <f>SUM(K366:M366)</f>
        <v>93.120000005309294</v>
      </c>
    </row>
    <row r="367" spans="1:14" x14ac:dyDescent="0.3">
      <c r="A367" s="282" t="s">
        <v>356</v>
      </c>
      <c r="B367" s="302">
        <f>'Ind T6'!L464</f>
        <v>572.94099999790808</v>
      </c>
      <c r="C367" s="299" t="str">
        <f>CONCATENATE("(",ROUND((B367/$H368)*100,1),")")</f>
        <v>(20.2)</v>
      </c>
      <c r="D367" s="302">
        <f>'Ind T6'!M464</f>
        <v>515.88300000400397</v>
      </c>
      <c r="E367" s="299" t="str">
        <f>CONCATENATE("(",ROUND((D367/$H368)*100,1),")")</f>
        <v>(18.2)</v>
      </c>
      <c r="F367" s="302">
        <f>'Ind T6'!N464</f>
        <v>159.12899999652106</v>
      </c>
      <c r="G367" s="299" t="str">
        <f>CONCATENATE("(",ROUND((F367/$H368)*100,1),")")</f>
        <v>(5.6)</v>
      </c>
      <c r="H367" s="302">
        <f t="shared" ref="H367" si="275">SUM(B367,D367,F367)</f>
        <v>1247.9529999984331</v>
      </c>
      <c r="I367" s="299" t="str">
        <f>CONCATENATE("(",ROUND((H367/$H368)*100,1),")")</f>
        <v>(44)</v>
      </c>
      <c r="K367" s="302">
        <f t="shared" ref="K367:K368" si="276">B372-B367</f>
        <v>45.737000010009979</v>
      </c>
      <c r="L367" s="302">
        <f t="shared" ref="L367:L368" si="277">D372-D367</f>
        <v>21.239000001592103</v>
      </c>
      <c r="M367" s="302">
        <f t="shared" ref="M367:M368" si="278">F372-F367</f>
        <v>7.5100000022833342</v>
      </c>
      <c r="N367" s="302">
        <f t="shared" ref="N367:N368" si="279">SUM(K367:M367)</f>
        <v>74.486000013885416</v>
      </c>
    </row>
    <row r="368" spans="1:14" x14ac:dyDescent="0.3">
      <c r="A368" s="282" t="s">
        <v>354</v>
      </c>
      <c r="B368" s="302">
        <f>SUM(B366:B367)</f>
        <v>1621.0089999975353</v>
      </c>
      <c r="C368" s="299" t="str">
        <f>CONCATENATE("(",ROUND((B368/$H368)*100,1),")")</f>
        <v>(57.1)</v>
      </c>
      <c r="D368" s="302">
        <f>SUM(D366:D367)</f>
        <v>900.00500000382908</v>
      </c>
      <c r="E368" s="299" t="str">
        <f>CONCATENATE("(",ROUND((D368/$H368)*100,1),")")</f>
        <v>(31.7)</v>
      </c>
      <c r="F368" s="302">
        <f>SUM(F366:F367)</f>
        <v>316.00199999836218</v>
      </c>
      <c r="G368" s="299" t="str">
        <f>CONCATENATE("(",ROUND((F368/$H368)*100,1),")")</f>
        <v>(11.1)</v>
      </c>
      <c r="H368" s="302">
        <f>SUM(H366:H367)</f>
        <v>2837.0159999997268</v>
      </c>
      <c r="I368" s="299" t="str">
        <f>CONCATENATE("(",ROUND((H368/$H368)*100,1),")")</f>
        <v>(100)</v>
      </c>
      <c r="K368" s="302">
        <f t="shared" si="276"/>
        <v>109.15000001172029</v>
      </c>
      <c r="L368" s="302">
        <f t="shared" si="277"/>
        <v>43.599000002352568</v>
      </c>
      <c r="M368" s="302">
        <f t="shared" si="278"/>
        <v>14.857000005122018</v>
      </c>
      <c r="N368" s="302">
        <f t="shared" si="279"/>
        <v>167.60600001919488</v>
      </c>
    </row>
    <row r="369" spans="1:14" x14ac:dyDescent="0.3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3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3">
      <c r="A371" s="282" t="s">
        <v>355</v>
      </c>
      <c r="B371" s="302">
        <f>'Ind T6'!Q465</f>
        <v>1111.4810000013374</v>
      </c>
      <c r="C371" s="299" t="str">
        <f>CONCATENATE("(",ROUND((B371/$H373)*100,1),")")</f>
        <v>(37)</v>
      </c>
      <c r="D371" s="302">
        <f>'Ind T6'!R465</f>
        <v>406.48200000058563</v>
      </c>
      <c r="E371" s="299" t="str">
        <f>CONCATENATE("(",ROUND((D371/$H373)*100,1),")")</f>
        <v>(13.5)</v>
      </c>
      <c r="F371" s="302">
        <f>'Ind T6'!S465</f>
        <v>164.22000000467983</v>
      </c>
      <c r="G371" s="299" t="str">
        <f>CONCATENATE("(",ROUND((F371/$H373)*100,1),")")</f>
        <v>(5.5)</v>
      </c>
      <c r="H371" s="302">
        <f>SUM(B371,D371,F371)</f>
        <v>1682.1830000066029</v>
      </c>
      <c r="I371" s="299" t="str">
        <f>CONCATENATE("(",ROUND((H371/$H373)*100,1),")")</f>
        <v>(56)</v>
      </c>
      <c r="K371" s="302">
        <f>B376-B371</f>
        <v>79.066999999591644</v>
      </c>
      <c r="L371" s="302">
        <f>D376-D371</f>
        <v>25.16000000081749</v>
      </c>
      <c r="M371" s="302">
        <f>F376-F371</f>
        <v>13.027999998984342</v>
      </c>
      <c r="N371" s="302">
        <f>SUM(K371:M371)</f>
        <v>117.25499999939348</v>
      </c>
    </row>
    <row r="372" spans="1:14" x14ac:dyDescent="0.3">
      <c r="A372" s="282" t="s">
        <v>356</v>
      </c>
      <c r="B372" s="302">
        <f>'Ind T6'!Q464</f>
        <v>618.67800000791806</v>
      </c>
      <c r="C372" s="299" t="str">
        <f>CONCATENATE("(",ROUND((B372/$H373)*100,1),")")</f>
        <v>(20.6)</v>
      </c>
      <c r="D372" s="302">
        <f>'Ind T6'!R464</f>
        <v>537.12200000559608</v>
      </c>
      <c r="E372" s="299" t="str">
        <f>CONCATENATE("(",ROUND((D372/$H373)*100,1),")")</f>
        <v>(17.9)</v>
      </c>
      <c r="F372" s="302">
        <f>'Ind T6'!S464</f>
        <v>166.63899999880439</v>
      </c>
      <c r="G372" s="299" t="str">
        <f>CONCATENATE("(",ROUND((F372/$H373)*100,1),")")</f>
        <v>(5.5)</v>
      </c>
      <c r="H372" s="302">
        <f t="shared" ref="H372" si="280">SUM(B372,D372,F372)</f>
        <v>1322.4390000123185</v>
      </c>
      <c r="I372" s="299" t="str">
        <f>CONCATENATE("(",ROUND((H372/$H373)*100,1),")")</f>
        <v>(44)</v>
      </c>
      <c r="K372" s="302">
        <f t="shared" ref="K372:K373" si="281">B377-B372</f>
        <v>58.872999987758931</v>
      </c>
      <c r="L372" s="302">
        <f t="shared" ref="L372:L373" si="282">D377-D372</f>
        <v>19.042999995128298</v>
      </c>
      <c r="M372" s="302">
        <f t="shared" ref="M372:M373" si="283">F377-F372</f>
        <v>14.205000001030641</v>
      </c>
      <c r="N372" s="302">
        <f t="shared" ref="N372:N373" si="284">SUM(K372:M372)</f>
        <v>92.120999983917869</v>
      </c>
    </row>
    <row r="373" spans="1:14" x14ac:dyDescent="0.3">
      <c r="A373" s="282" t="s">
        <v>354</v>
      </c>
      <c r="B373" s="302">
        <f>SUM(B371:B372)</f>
        <v>1730.1590000092556</v>
      </c>
      <c r="C373" s="299" t="str">
        <f>CONCATENATE("(",ROUND((B373/$H373)*100,1),")")</f>
        <v>(57.6)</v>
      </c>
      <c r="D373" s="302">
        <f>SUM(D371:D372)</f>
        <v>943.60400000618165</v>
      </c>
      <c r="E373" s="299" t="str">
        <f>CONCATENATE("(",ROUND((D373/$H373)*100,1),")")</f>
        <v>(31.4)</v>
      </c>
      <c r="F373" s="302">
        <f>SUM(F371:F372)</f>
        <v>330.8590000034842</v>
      </c>
      <c r="G373" s="299" t="str">
        <f>CONCATENATE("(",ROUND((F373/$H373)*100,1),")")</f>
        <v>(11)</v>
      </c>
      <c r="H373" s="302">
        <f>SUM(H371:H372)</f>
        <v>3004.6220000189214</v>
      </c>
      <c r="I373" s="299" t="str">
        <f>CONCATENATE("(",ROUND((H373/$H373)*100,1),")")</f>
        <v>(100)</v>
      </c>
      <c r="K373" s="302">
        <f t="shared" si="281"/>
        <v>137.93999998735035</v>
      </c>
      <c r="L373" s="302">
        <f t="shared" si="282"/>
        <v>44.202999995945902</v>
      </c>
      <c r="M373" s="302">
        <f t="shared" si="283"/>
        <v>27.233000000015011</v>
      </c>
      <c r="N373" s="302">
        <f t="shared" si="284"/>
        <v>209.37599998331126</v>
      </c>
    </row>
    <row r="374" spans="1:14" x14ac:dyDescent="0.3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3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3">
      <c r="A376" s="282" t="s">
        <v>355</v>
      </c>
      <c r="B376" s="302">
        <f>'Ind T6'!V465</f>
        <v>1190.5480000009291</v>
      </c>
      <c r="C376" s="299" t="str">
        <f>CONCATENATE("(",ROUND((B376/$H378)*100,1),")")</f>
        <v>(37)</v>
      </c>
      <c r="D376" s="302">
        <f>'Ind T6'!W465</f>
        <v>431.64200000140312</v>
      </c>
      <c r="E376" s="299" t="str">
        <f>CONCATENATE("(",ROUND((D376/$H378)*100,1),")")</f>
        <v>(13.4)</v>
      </c>
      <c r="F376" s="302">
        <f>'Ind T6'!X465</f>
        <v>177.24800000366417</v>
      </c>
      <c r="G376" s="299" t="str">
        <f>CONCATENATE("(",ROUND((F376/$H378)*100,1),")")</f>
        <v>(5.5)</v>
      </c>
      <c r="H376" s="302">
        <f>SUM(B376,D376,F376)</f>
        <v>1799.4380000059964</v>
      </c>
      <c r="I376" s="299" t="str">
        <f>CONCATENATE("(",ROUND((H376/$H378)*100,1),")")</f>
        <v>(56)</v>
      </c>
      <c r="K376" s="302">
        <f>B376-B366</f>
        <v>142.48000000130173</v>
      </c>
      <c r="L376" s="302">
        <f>D376-D366</f>
        <v>47.520000001578012</v>
      </c>
      <c r="M376" s="302">
        <f>F376-F366</f>
        <v>20.375000001823025</v>
      </c>
      <c r="N376" s="302">
        <f>SUM(K376:M376)</f>
        <v>210.37500000470277</v>
      </c>
    </row>
    <row r="377" spans="1:14" x14ac:dyDescent="0.3">
      <c r="A377" s="282" t="s">
        <v>356</v>
      </c>
      <c r="B377" s="302">
        <f>'Ind T6'!V464</f>
        <v>677.55099999567699</v>
      </c>
      <c r="C377" s="299" t="str">
        <f>CONCATENATE("(",ROUND((B377/$H378)*100,1),")")</f>
        <v>(21.1)</v>
      </c>
      <c r="D377" s="302">
        <f>'Ind T6'!W464</f>
        <v>556.16500000072438</v>
      </c>
      <c r="E377" s="299" t="str">
        <f>CONCATENATE("(",ROUND((D377/$H378)*100,1),")")</f>
        <v>(17.3)</v>
      </c>
      <c r="F377" s="302">
        <f>'Ind T6'!X464</f>
        <v>180.84399999983503</v>
      </c>
      <c r="G377" s="299" t="str">
        <f>CONCATENATE("(",ROUND((F377/$H378)*100,1),")")</f>
        <v>(5.6)</v>
      </c>
      <c r="H377" s="302">
        <f t="shared" ref="H377" si="285">SUM(B377,D377,F377)</f>
        <v>1414.5599999962365</v>
      </c>
      <c r="I377" s="299" t="str">
        <f>CONCATENATE("(",ROUND((H377/$H378)*100,1),")")</f>
        <v>(44)</v>
      </c>
      <c r="K377" s="302">
        <f t="shared" ref="K377:K378" si="286">B377-B367</f>
        <v>104.60999999776891</v>
      </c>
      <c r="L377" s="302">
        <f t="shared" ref="L377:L378" si="287">D377-D367</f>
        <v>40.281999996720401</v>
      </c>
      <c r="M377" s="302">
        <f t="shared" ref="M377:M378" si="288">F377-F367</f>
        <v>21.715000003313975</v>
      </c>
      <c r="N377" s="302">
        <f t="shared" ref="N377:N378" si="289">SUM(K377:M377)</f>
        <v>166.60699999780329</v>
      </c>
    </row>
    <row r="378" spans="1:14" x14ac:dyDescent="0.3">
      <c r="A378" s="282" t="s">
        <v>354</v>
      </c>
      <c r="B378" s="302">
        <f>SUM(B376:B377)</f>
        <v>1868.0989999966059</v>
      </c>
      <c r="C378" s="299" t="str">
        <f>CONCATENATE("(",ROUND((B378/$H378)*100,1),")")</f>
        <v>(58.1)</v>
      </c>
      <c r="D378" s="302">
        <f>SUM(D376:D377)</f>
        <v>987.80700000212755</v>
      </c>
      <c r="E378" s="299" t="str">
        <f>CONCATENATE("(",ROUND((D378/$H378)*100,1),")")</f>
        <v>(30.7)</v>
      </c>
      <c r="F378" s="302">
        <f>SUM(F376:F377)</f>
        <v>358.09200000349921</v>
      </c>
      <c r="G378" s="299" t="str">
        <f>CONCATENATE("(",ROUND((F378/$H378)*100,1),")")</f>
        <v>(11.1)</v>
      </c>
      <c r="H378" s="302">
        <f>SUM(H376:H377)</f>
        <v>3213.9980000022329</v>
      </c>
      <c r="I378" s="299" t="str">
        <f>CONCATENATE("(",ROUND((H378/$H378)*100,1),")")</f>
        <v>(100)</v>
      </c>
      <c r="K378" s="302">
        <f t="shared" si="286"/>
        <v>247.08999999907064</v>
      </c>
      <c r="L378" s="302">
        <f t="shared" si="287"/>
        <v>87.80199999829847</v>
      </c>
      <c r="M378" s="302">
        <f t="shared" si="288"/>
        <v>42.090000005137028</v>
      </c>
      <c r="N378" s="302">
        <f t="shared" si="289"/>
        <v>376.98200000250614</v>
      </c>
    </row>
    <row r="379" spans="1:14" x14ac:dyDescent="0.3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3">
      <c r="A383" s="288"/>
      <c r="B383" s="289" t="s">
        <v>379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3">
      <c r="N384" s="287" t="s">
        <v>377</v>
      </c>
    </row>
    <row r="385" spans="1:14" x14ac:dyDescent="0.3">
      <c r="A385" s="181" t="s">
        <v>378</v>
      </c>
      <c r="B385" s="370" t="s">
        <v>376</v>
      </c>
      <c r="C385" s="370"/>
      <c r="D385" s="370" t="s">
        <v>375</v>
      </c>
      <c r="E385" s="370"/>
      <c r="F385" s="370" t="s">
        <v>374</v>
      </c>
      <c r="G385" s="370"/>
      <c r="H385" s="370" t="s">
        <v>32</v>
      </c>
      <c r="I385" s="370"/>
      <c r="J385" s="181"/>
      <c r="K385" s="297" t="s">
        <v>339</v>
      </c>
      <c r="L385" s="297" t="s">
        <v>341</v>
      </c>
      <c r="M385" s="297" t="s">
        <v>337</v>
      </c>
      <c r="N385" s="297" t="s">
        <v>32</v>
      </c>
    </row>
    <row r="386" spans="1:14" x14ac:dyDescent="0.3">
      <c r="A386" s="292">
        <f>$A$8</f>
        <v>2020</v>
      </c>
      <c r="B386" s="287" t="s">
        <v>60</v>
      </c>
      <c r="C386" s="19" t="s">
        <v>373</v>
      </c>
      <c r="D386" s="287" t="s">
        <v>60</v>
      </c>
      <c r="E386" s="19" t="s">
        <v>373</v>
      </c>
      <c r="F386" s="287" t="s">
        <v>60</v>
      </c>
      <c r="G386" s="19" t="s">
        <v>373</v>
      </c>
      <c r="H386" s="287" t="s">
        <v>60</v>
      </c>
      <c r="I386" s="19" t="s">
        <v>373</v>
      </c>
      <c r="J386" s="181"/>
      <c r="K386" s="286" t="str">
        <f>CONCATENATE(A386," - ",A391)</f>
        <v>2020 - 2025</v>
      </c>
      <c r="L386" s="285"/>
      <c r="M386" s="285"/>
    </row>
    <row r="387" spans="1:14" x14ac:dyDescent="0.3">
      <c r="A387" s="282" t="s">
        <v>355</v>
      </c>
      <c r="B387" s="302">
        <f>'Ind T6'!L475</f>
        <v>522.61299999924722</v>
      </c>
      <c r="C387" s="299" t="str">
        <f>CONCATENATE("(",ROUND((B387/$H389)*100,1),")")</f>
        <v>(37.2)</v>
      </c>
      <c r="D387" s="302">
        <f>'Ind T6'!M475</f>
        <v>66.949999999686355</v>
      </c>
      <c r="E387" s="299" t="str">
        <f>CONCATENATE("(",ROUND((D387/$H389)*100,1),")")</f>
        <v>(4.8)</v>
      </c>
      <c r="F387" s="302">
        <f>'Ind T6'!N475</f>
        <v>23.450000000280411</v>
      </c>
      <c r="G387" s="299" t="str">
        <f>CONCATENATE("(",ROUND((F387/$H389)*100,1),")")</f>
        <v>(1.7)</v>
      </c>
      <c r="H387" s="302">
        <f>SUM(B387,D387,F387)</f>
        <v>613.012999999214</v>
      </c>
      <c r="I387" s="299" t="str">
        <f>CONCATENATE("(",ROUND((H387/$H389)*100,1),")")</f>
        <v>(43.7)</v>
      </c>
      <c r="K387" s="302">
        <f>B392-B387</f>
        <v>4.9000000051591996E-2</v>
      </c>
      <c r="L387" s="302">
        <f>D392-D387</f>
        <v>5.2550000004936663</v>
      </c>
      <c r="M387" s="302">
        <f>F392-F387</f>
        <v>0.58800000076800885</v>
      </c>
      <c r="N387" s="302">
        <f>SUM(K387:M387)</f>
        <v>5.8920000013132672</v>
      </c>
    </row>
    <row r="388" spans="1:14" x14ac:dyDescent="0.3">
      <c r="A388" s="282" t="s">
        <v>356</v>
      </c>
      <c r="B388" s="302">
        <f>'Ind T6'!L474</f>
        <v>433.24699999920352</v>
      </c>
      <c r="C388" s="299" t="str">
        <f>CONCATENATE("(",ROUND((B388/$H389)*100,1),")")</f>
        <v>(30.9)</v>
      </c>
      <c r="D388" s="302">
        <f>'Ind T6'!M474</f>
        <v>328.18799999848301</v>
      </c>
      <c r="E388" s="299" t="str">
        <f>CONCATENATE("(",ROUND((D388/$H389)*100,1),")")</f>
        <v>(23.4)</v>
      </c>
      <c r="F388" s="302">
        <f>'Ind T6'!N474</f>
        <v>28.547000000207905</v>
      </c>
      <c r="G388" s="299" t="str">
        <f>CONCATENATE("(",ROUND((F388/$H389)*100,1),")")</f>
        <v>(2)</v>
      </c>
      <c r="H388" s="302">
        <f t="shared" ref="H388" si="290">SUM(B388,D388,F388)</f>
        <v>789.98199999789449</v>
      </c>
      <c r="I388" s="299" t="str">
        <f>CONCATENATE("(",ROUND((H388/$H389)*100,1),")")</f>
        <v>(56.3)</v>
      </c>
      <c r="K388" s="302">
        <f t="shared" ref="K388:K389" si="291">B393-B388</f>
        <v>9.1060000019846257</v>
      </c>
      <c r="L388" s="302">
        <f t="shared" ref="L388:L389" si="292">D393-D388</f>
        <v>7.4650000003708215</v>
      </c>
      <c r="M388" s="302">
        <f t="shared" ref="M388:M389" si="293">F393-F388</f>
        <v>0.68799999983339077</v>
      </c>
      <c r="N388" s="302">
        <f t="shared" ref="N388:N389" si="294">SUM(K388:M388)</f>
        <v>17.259000002188838</v>
      </c>
    </row>
    <row r="389" spans="1:14" x14ac:dyDescent="0.3">
      <c r="A389" s="282" t="s">
        <v>354</v>
      </c>
      <c r="B389" s="302">
        <f>SUM(B387:B388)</f>
        <v>955.8599999984508</v>
      </c>
      <c r="C389" s="299" t="str">
        <f>CONCATENATE("(",ROUND((B389/$H389)*100,1),")")</f>
        <v>(68.1)</v>
      </c>
      <c r="D389" s="302">
        <f>SUM(D387:D388)</f>
        <v>395.13799999816933</v>
      </c>
      <c r="E389" s="299" t="str">
        <f>CONCATENATE("(",ROUND((D389/$H389)*100,1),")")</f>
        <v>(28.2)</v>
      </c>
      <c r="F389" s="302">
        <f>SUM(F387:F388)</f>
        <v>51.997000000488313</v>
      </c>
      <c r="G389" s="299" t="str">
        <f>CONCATENATE("(",ROUND((F389/$H389)*100,1),")")</f>
        <v>(3.7)</v>
      </c>
      <c r="H389" s="302">
        <f>SUM(H387:H388)</f>
        <v>1402.9949999971086</v>
      </c>
      <c r="I389" s="299" t="str">
        <f>CONCATENATE("(",ROUND((H389/$H389)*100,1),")")</f>
        <v>(100)</v>
      </c>
      <c r="K389" s="302">
        <f t="shared" si="291"/>
        <v>9.155000002036104</v>
      </c>
      <c r="L389" s="302">
        <f t="shared" si="292"/>
        <v>12.720000000864502</v>
      </c>
      <c r="M389" s="302">
        <f t="shared" si="293"/>
        <v>1.2760000006013996</v>
      </c>
      <c r="N389" s="302">
        <f t="shared" si="294"/>
        <v>23.151000003502006</v>
      </c>
    </row>
    <row r="390" spans="1:14" x14ac:dyDescent="0.3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3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3">
      <c r="A392" s="282" t="s">
        <v>355</v>
      </c>
      <c r="B392" s="302">
        <f>'Ind T6'!Q475</f>
        <v>522.66199999929881</v>
      </c>
      <c r="C392" s="299" t="str">
        <f>CONCATENATE("(",ROUND((B392/$H394)*100,1),")")</f>
        <v>(36.6)</v>
      </c>
      <c r="D392" s="302">
        <f>'Ind T6'!R475</f>
        <v>72.205000000180021</v>
      </c>
      <c r="E392" s="299" t="str">
        <f>CONCATENATE("(",ROUND((D392/$H394)*100,1),")")</f>
        <v>(5.1)</v>
      </c>
      <c r="F392" s="302">
        <f>'Ind T6'!S475</f>
        <v>24.03800000104842</v>
      </c>
      <c r="G392" s="299" t="str">
        <f>CONCATENATE("(",ROUND((F392/$H394)*100,1),")")</f>
        <v>(1.7)</v>
      </c>
      <c r="H392" s="302">
        <f>SUM(B392,D392,F392)</f>
        <v>618.90500000052725</v>
      </c>
      <c r="I392" s="299" t="str">
        <f>CONCATENATE("(",ROUND((H392/$H394)*100,1),")")</f>
        <v>(43.4)</v>
      </c>
      <c r="K392" s="302">
        <f>B397-B392</f>
        <v>-8.2500000012267947</v>
      </c>
      <c r="L392" s="302">
        <f>D397-D392</f>
        <v>9.718999999917969</v>
      </c>
      <c r="M392" s="302">
        <f>F397-F392</f>
        <v>0.83799999968632122</v>
      </c>
      <c r="N392" s="302">
        <f>SUM(K392:M392)</f>
        <v>2.3069999983774956</v>
      </c>
    </row>
    <row r="393" spans="1:14" x14ac:dyDescent="0.3">
      <c r="A393" s="282" t="s">
        <v>356</v>
      </c>
      <c r="B393" s="302">
        <f>'Ind T6'!Q474</f>
        <v>442.35300000118815</v>
      </c>
      <c r="C393" s="299" t="str">
        <f>CONCATENATE("(",ROUND((B393/$H394)*100,1),")")</f>
        <v>(31)</v>
      </c>
      <c r="D393" s="302">
        <f>'Ind T6'!R474</f>
        <v>335.65299999885383</v>
      </c>
      <c r="E393" s="299" t="str">
        <f>CONCATENATE("(",ROUND((D393/$H394)*100,1),")")</f>
        <v>(23.5)</v>
      </c>
      <c r="F393" s="302">
        <f>'Ind T6'!S474</f>
        <v>29.235000000041296</v>
      </c>
      <c r="G393" s="299" t="str">
        <f>CONCATENATE("(",ROUND((F393/$H394)*100,1),")")</f>
        <v>(2)</v>
      </c>
      <c r="H393" s="302">
        <f t="shared" ref="H393" si="295">SUM(B393,D393,F393)</f>
        <v>807.2410000000832</v>
      </c>
      <c r="I393" s="299" t="str">
        <f>CONCATENATE("(",ROUND((H393/$H394)*100,1),")")</f>
        <v>(56.6)</v>
      </c>
      <c r="K393" s="302">
        <f t="shared" ref="K393:K394" si="296">B398-B393</f>
        <v>11.767000001480312</v>
      </c>
      <c r="L393" s="302">
        <f t="shared" ref="L393:L394" si="297">D398-D393</f>
        <v>10.077000001706267</v>
      </c>
      <c r="M393" s="302">
        <f t="shared" ref="M393:M394" si="298">F398-F393</f>
        <v>0.95200000003798024</v>
      </c>
      <c r="N393" s="302">
        <f t="shared" ref="N393:N394" si="299">SUM(K393:M393)</f>
        <v>22.79600000322456</v>
      </c>
    </row>
    <row r="394" spans="1:14" x14ac:dyDescent="0.3">
      <c r="A394" s="282" t="s">
        <v>354</v>
      </c>
      <c r="B394" s="302">
        <f>SUM(B392:B393)</f>
        <v>965.01500000048691</v>
      </c>
      <c r="C394" s="299" t="str">
        <f>CONCATENATE("(",ROUND((B394/$H394)*100,1),")")</f>
        <v>(67.7)</v>
      </c>
      <c r="D394" s="302">
        <f>SUM(D392:D393)</f>
        <v>407.85799999903384</v>
      </c>
      <c r="E394" s="299" t="str">
        <f>CONCATENATE("(",ROUND((D394/$H394)*100,1),")")</f>
        <v>(28.6)</v>
      </c>
      <c r="F394" s="302">
        <f>SUM(F392:F393)</f>
        <v>53.273000001089713</v>
      </c>
      <c r="G394" s="299" t="str">
        <f>CONCATENATE("(",ROUND((F394/$H394)*100,1),")")</f>
        <v>(3.7)</v>
      </c>
      <c r="H394" s="302">
        <f>SUM(H392:H393)</f>
        <v>1426.1460000006105</v>
      </c>
      <c r="I394" s="299" t="str">
        <f>CONCATENATE("(",ROUND((H394/$H394)*100,1),")")</f>
        <v>(100)</v>
      </c>
      <c r="K394" s="302">
        <f t="shared" si="296"/>
        <v>3.5170000002535744</v>
      </c>
      <c r="L394" s="302">
        <f t="shared" si="297"/>
        <v>19.796000001624236</v>
      </c>
      <c r="M394" s="302">
        <f t="shared" si="298"/>
        <v>1.7899999997243015</v>
      </c>
      <c r="N394" s="302">
        <f t="shared" si="299"/>
        <v>25.103000001602112</v>
      </c>
    </row>
    <row r="395" spans="1:14" x14ac:dyDescent="0.3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3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3">
      <c r="A397" s="282" t="s">
        <v>355</v>
      </c>
      <c r="B397" s="302">
        <f>'Ind T6'!V475</f>
        <v>514.41199999807202</v>
      </c>
      <c r="C397" s="299" t="str">
        <f>CONCATENATE("(",ROUND((B397/$H399)*100,1),")")</f>
        <v>(35.4)</v>
      </c>
      <c r="D397" s="302">
        <f>'Ind T6'!W475</f>
        <v>81.92400000009799</v>
      </c>
      <c r="E397" s="299" t="str">
        <f>CONCATENATE("(",ROUND((D397/$H399)*100,1),")")</f>
        <v>(5.6)</v>
      </c>
      <c r="F397" s="302">
        <f>'Ind T6'!X475</f>
        <v>24.876000000734741</v>
      </c>
      <c r="G397" s="299" t="str">
        <f>CONCATENATE("(",ROUND((F397/$H399)*100,1),")")</f>
        <v>(1.7)</v>
      </c>
      <c r="H397" s="302">
        <f>SUM(B397,D397,F397)</f>
        <v>621.21199999890473</v>
      </c>
      <c r="I397" s="299" t="str">
        <f>CONCATENATE("(",ROUND((H397/$H399)*100,1),")")</f>
        <v>(42.8)</v>
      </c>
      <c r="K397" s="302">
        <f>B397-B387</f>
        <v>-8.2010000011752027</v>
      </c>
      <c r="L397" s="302">
        <f>D397-D387</f>
        <v>14.974000000411635</v>
      </c>
      <c r="M397" s="302">
        <f>F397-F387</f>
        <v>1.4260000004543301</v>
      </c>
      <c r="N397" s="302">
        <f>SUM(K397:M397)</f>
        <v>8.1989999996907628</v>
      </c>
    </row>
    <row r="398" spans="1:14" x14ac:dyDescent="0.3">
      <c r="A398" s="282" t="s">
        <v>356</v>
      </c>
      <c r="B398" s="302">
        <f>'Ind T6'!V474</f>
        <v>454.12000000266846</v>
      </c>
      <c r="C398" s="299" t="str">
        <f>CONCATENATE("(",ROUND((B398/$H399)*100,1),")")</f>
        <v>(31.3)</v>
      </c>
      <c r="D398" s="302">
        <f>'Ind T6'!W474</f>
        <v>345.7300000005601</v>
      </c>
      <c r="E398" s="299" t="str">
        <f>CONCATENATE("(",ROUND((D398/$H399)*100,1),")")</f>
        <v>(23.8)</v>
      </c>
      <c r="F398" s="302">
        <f>'Ind T6'!X474</f>
        <v>30.187000000079276</v>
      </c>
      <c r="G398" s="299" t="str">
        <f>CONCATENATE("(",ROUND((F398/$H399)*100,1),")")</f>
        <v>(2.1)</v>
      </c>
      <c r="H398" s="302">
        <f t="shared" ref="H398" si="300">SUM(B398,D398,F398)</f>
        <v>830.03700000330787</v>
      </c>
      <c r="I398" s="299" t="str">
        <f>CONCATENATE("(",ROUND((H398/$H399)*100,1),")")</f>
        <v>(57.2)</v>
      </c>
      <c r="K398" s="302">
        <f t="shared" ref="K398:K399" si="301">B398-B388</f>
        <v>20.873000003464938</v>
      </c>
      <c r="L398" s="302">
        <f t="shared" ref="L398:L399" si="302">D398-D388</f>
        <v>17.542000002077089</v>
      </c>
      <c r="M398" s="302">
        <f t="shared" ref="M398:M399" si="303">F398-F388</f>
        <v>1.639999999871371</v>
      </c>
      <c r="N398" s="302">
        <f t="shared" ref="N398:N399" si="304">SUM(K398:M398)</f>
        <v>40.055000005413397</v>
      </c>
    </row>
    <row r="399" spans="1:14" x14ac:dyDescent="0.3">
      <c r="A399" s="282" t="s">
        <v>354</v>
      </c>
      <c r="B399" s="302">
        <f>SUM(B397:B398)</f>
        <v>968.53200000074048</v>
      </c>
      <c r="C399" s="299" t="str">
        <f>CONCATENATE("(",ROUND((B399/$H399)*100,1),")")</f>
        <v>(66.7)</v>
      </c>
      <c r="D399" s="302">
        <f>SUM(D397:D398)</f>
        <v>427.65400000065807</v>
      </c>
      <c r="E399" s="299" t="str">
        <f>CONCATENATE("(",ROUND((D399/$H399)*100,1),")")</f>
        <v>(29.5)</v>
      </c>
      <c r="F399" s="302">
        <f>SUM(F397:F398)</f>
        <v>55.063000000814014</v>
      </c>
      <c r="G399" s="299" t="str">
        <f>CONCATENATE("(",ROUND((F399/$H399)*100,1),")")</f>
        <v>(3.8)</v>
      </c>
      <c r="H399" s="302">
        <f>SUM(H397:H398)</f>
        <v>1451.2490000022126</v>
      </c>
      <c r="I399" s="299" t="str">
        <f>CONCATENATE("(",ROUND((H399/$H399)*100,1),")")</f>
        <v>(100)</v>
      </c>
      <c r="K399" s="302">
        <f t="shared" si="301"/>
        <v>12.672000002289678</v>
      </c>
      <c r="L399" s="302">
        <f t="shared" si="302"/>
        <v>32.516000002488738</v>
      </c>
      <c r="M399" s="302">
        <f t="shared" si="303"/>
        <v>3.0660000003257011</v>
      </c>
      <c r="N399" s="302">
        <f t="shared" si="304"/>
        <v>48.254000005104118</v>
      </c>
    </row>
    <row r="400" spans="1:14" x14ac:dyDescent="0.3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3">
      <c r="A404" s="288"/>
      <c r="B404" s="289" t="s">
        <v>379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3">
      <c r="N405" s="287" t="s">
        <v>377</v>
      </c>
    </row>
    <row r="406" spans="1:14" x14ac:dyDescent="0.3">
      <c r="A406" s="181" t="s">
        <v>378</v>
      </c>
      <c r="B406" s="370" t="s">
        <v>376</v>
      </c>
      <c r="C406" s="370"/>
      <c r="D406" s="370" t="s">
        <v>375</v>
      </c>
      <c r="E406" s="370"/>
      <c r="F406" s="370" t="s">
        <v>374</v>
      </c>
      <c r="G406" s="370"/>
      <c r="H406" s="370" t="s">
        <v>32</v>
      </c>
      <c r="I406" s="370"/>
      <c r="J406" s="181"/>
      <c r="K406" s="297" t="s">
        <v>339</v>
      </c>
      <c r="L406" s="297" t="s">
        <v>341</v>
      </c>
      <c r="M406" s="297" t="s">
        <v>337</v>
      </c>
      <c r="N406" s="297" t="s">
        <v>32</v>
      </c>
    </row>
    <row r="407" spans="1:14" x14ac:dyDescent="0.3">
      <c r="A407" s="292">
        <f>$A$8</f>
        <v>2020</v>
      </c>
      <c r="B407" s="287" t="s">
        <v>60</v>
      </c>
      <c r="C407" s="19" t="s">
        <v>373</v>
      </c>
      <c r="D407" s="287" t="s">
        <v>60</v>
      </c>
      <c r="E407" s="19" t="s">
        <v>373</v>
      </c>
      <c r="F407" s="287" t="s">
        <v>60</v>
      </c>
      <c r="G407" s="19" t="s">
        <v>373</v>
      </c>
      <c r="H407" s="287" t="s">
        <v>60</v>
      </c>
      <c r="I407" s="19" t="s">
        <v>373</v>
      </c>
      <c r="J407" s="181"/>
      <c r="K407" s="286" t="str">
        <f>CONCATENATE(A407," - ",A412)</f>
        <v>2020 - 2025</v>
      </c>
      <c r="L407" s="285"/>
      <c r="M407" s="285"/>
    </row>
    <row r="408" spans="1:14" x14ac:dyDescent="0.3">
      <c r="A408" s="282" t="s">
        <v>355</v>
      </c>
      <c r="B408" s="302">
        <f>'Ind T6'!L485</f>
        <v>551.00000002090155</v>
      </c>
      <c r="C408" s="299" t="str">
        <f>CONCATENATE("(",ROUND((B408/$H410)*100,1),")")</f>
        <v>(18.6)</v>
      </c>
      <c r="D408" s="302">
        <f>'Ind T6'!M485</f>
        <v>209.99900000673259</v>
      </c>
      <c r="E408" s="299" t="str">
        <f>CONCATENATE("(",ROUND((D408/$H410)*100,1),")")</f>
        <v>(7.1)</v>
      </c>
      <c r="F408" s="302">
        <f>'Ind T6'!N485</f>
        <v>122.00100000341175</v>
      </c>
      <c r="G408" s="299" t="str">
        <f>CONCATENATE("(",ROUND((F408/$H410)*100,1),")")</f>
        <v>(4.1)</v>
      </c>
      <c r="H408" s="302">
        <f>SUM(B408,D408,F408)</f>
        <v>883.00000003104583</v>
      </c>
      <c r="I408" s="299" t="str">
        <f>CONCATENATE("(",ROUND((H408/$H410)*100,1),")")</f>
        <v>(29.9)</v>
      </c>
      <c r="K408" s="302">
        <f>B413-B408</f>
        <v>1.3979999644461714</v>
      </c>
      <c r="L408" s="302">
        <f>D413-D408</f>
        <v>5.4469999920776502</v>
      </c>
      <c r="M408" s="302">
        <f>F413-F408</f>
        <v>3.5340000064842627</v>
      </c>
      <c r="N408" s="302">
        <f>SUM(K408:M408)</f>
        <v>10.378999963008084</v>
      </c>
    </row>
    <row r="409" spans="1:14" x14ac:dyDescent="0.3">
      <c r="A409" s="282" t="s">
        <v>356</v>
      </c>
      <c r="B409" s="302">
        <f>'Ind T6'!L484</f>
        <v>860.9990000355067</v>
      </c>
      <c r="C409" s="299" t="str">
        <f>CONCATENATE("(",ROUND((B409/$H410)*100,1),")")</f>
        <v>(29.1)</v>
      </c>
      <c r="D409" s="302">
        <f>'Ind T6'!M484</f>
        <v>1020.9999999544234</v>
      </c>
      <c r="E409" s="299" t="str">
        <f>CONCATENATE("(",ROUND((D409/$H410)*100,1),")")</f>
        <v>(34.5)</v>
      </c>
      <c r="F409" s="302">
        <f>'Ind T6'!N484</f>
        <v>190.99999999856672</v>
      </c>
      <c r="G409" s="299" t="str">
        <f>CONCATENATE("(",ROUND((F409/$H410)*100,1),")")</f>
        <v>(6.5)</v>
      </c>
      <c r="H409" s="302">
        <f t="shared" ref="H409" si="305">SUM(B409,D409,F409)</f>
        <v>2072.998999988497</v>
      </c>
      <c r="I409" s="299" t="str">
        <f>CONCATENATE("(",ROUND((H409/$H410)*100,1),")")</f>
        <v>(70.1)</v>
      </c>
      <c r="K409" s="302">
        <f t="shared" ref="K409:K410" si="306">B414-B409</f>
        <v>33.81799985766429</v>
      </c>
      <c r="L409" s="302">
        <f t="shared" ref="L409:L410" si="307">D414-D409</f>
        <v>-6.3170000418532481</v>
      </c>
      <c r="M409" s="302">
        <f t="shared" ref="M409:M410" si="308">F414-F409</f>
        <v>2.69900000117849</v>
      </c>
      <c r="N409" s="302">
        <f t="shared" ref="N409:N410" si="309">SUM(K409:M409)</f>
        <v>30.199999816989532</v>
      </c>
    </row>
    <row r="410" spans="1:14" x14ac:dyDescent="0.3">
      <c r="A410" s="282" t="s">
        <v>354</v>
      </c>
      <c r="B410" s="302">
        <f>SUM(B408:B409)</f>
        <v>1411.9990000564082</v>
      </c>
      <c r="C410" s="299" t="str">
        <f>CONCATENATE("(",ROUND((B410/$H410)*100,1),")")</f>
        <v>(47.8)</v>
      </c>
      <c r="D410" s="302">
        <f>SUM(D408:D409)</f>
        <v>1230.998999961156</v>
      </c>
      <c r="E410" s="299" t="str">
        <f>CONCATENATE("(",ROUND((D410/$H410)*100,1),")")</f>
        <v>(41.6)</v>
      </c>
      <c r="F410" s="302">
        <f>SUM(F408:F409)</f>
        <v>313.00100000197847</v>
      </c>
      <c r="G410" s="299" t="str">
        <f>CONCATENATE("(",ROUND((F410/$H410)*100,1),")")</f>
        <v>(10.6)</v>
      </c>
      <c r="H410" s="302">
        <f>SUM(H408:H409)</f>
        <v>2955.999000019543</v>
      </c>
      <c r="I410" s="299" t="str">
        <f>CONCATENATE("(",ROUND((H410/$H410)*100,1),")")</f>
        <v>(100)</v>
      </c>
      <c r="K410" s="302">
        <f t="shared" si="306"/>
        <v>35.215999822110462</v>
      </c>
      <c r="L410" s="302">
        <f t="shared" si="307"/>
        <v>-0.87000004977562639</v>
      </c>
      <c r="M410" s="302">
        <f t="shared" si="308"/>
        <v>6.2330000076627812</v>
      </c>
      <c r="N410" s="302">
        <f t="shared" si="309"/>
        <v>40.578999779997616</v>
      </c>
    </row>
    <row r="411" spans="1:14" x14ac:dyDescent="0.3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3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3">
      <c r="A413" s="282" t="s">
        <v>355</v>
      </c>
      <c r="B413" s="302">
        <f>'Ind T6'!Q485</f>
        <v>552.39799998534772</v>
      </c>
      <c r="C413" s="299" t="str">
        <f>CONCATENATE("(",ROUND((B413/$H415)*100,1),")")</f>
        <v>(18.4)</v>
      </c>
      <c r="D413" s="302">
        <f>'Ind T6'!R485</f>
        <v>215.44599999881024</v>
      </c>
      <c r="E413" s="299" t="str">
        <f>CONCATENATE("(",ROUND((D413/$H415)*100,1),")")</f>
        <v>(7.2)</v>
      </c>
      <c r="F413" s="302">
        <f>'Ind T6'!S485</f>
        <v>125.53500000989601</v>
      </c>
      <c r="G413" s="299" t="str">
        <f>CONCATENATE("(",ROUND((F413/$H415)*100,1),")")</f>
        <v>(4.2)</v>
      </c>
      <c r="H413" s="302">
        <f>SUM(B413,D413,F413)</f>
        <v>893.37899999405408</v>
      </c>
      <c r="I413" s="299" t="str">
        <f>CONCATENATE("(",ROUND((H413/$H415)*100,1),")")</f>
        <v>(29.8)</v>
      </c>
      <c r="K413" s="302">
        <f>B418-B413</f>
        <v>6.3790000078322464</v>
      </c>
      <c r="L413" s="302">
        <f>D418-D413</f>
        <v>12.76799999742056</v>
      </c>
      <c r="M413" s="302">
        <f>F418-F413</f>
        <v>8.1969999980798036</v>
      </c>
      <c r="N413" s="302">
        <f>SUM(K413:M413)</f>
        <v>27.34400000333261</v>
      </c>
    </row>
    <row r="414" spans="1:14" x14ac:dyDescent="0.3">
      <c r="A414" s="282" t="s">
        <v>356</v>
      </c>
      <c r="B414" s="302">
        <f>'Ind T6'!Q484</f>
        <v>894.81699989317099</v>
      </c>
      <c r="C414" s="299" t="str">
        <f>CONCATENATE("(",ROUND((B414/$H415)*100,1),")")</f>
        <v>(29.9)</v>
      </c>
      <c r="D414" s="302">
        <f>'Ind T6'!R484</f>
        <v>1014.6829999125702</v>
      </c>
      <c r="E414" s="299" t="str">
        <f>CONCATENATE("(",ROUND((D414/$H415)*100,1),")")</f>
        <v>(33.9)</v>
      </c>
      <c r="F414" s="302">
        <f>'Ind T6'!S484</f>
        <v>193.69899999974521</v>
      </c>
      <c r="G414" s="299" t="str">
        <f>CONCATENATE("(",ROUND((F414/$H415)*100,1),")")</f>
        <v>(6.5)</v>
      </c>
      <c r="H414" s="302">
        <f t="shared" ref="H414" si="310">SUM(B414,D414,F414)</f>
        <v>2103.1989998054864</v>
      </c>
      <c r="I414" s="299" t="str">
        <f>CONCATENATE("(",ROUND((H414/$H415)*100,1),")")</f>
        <v>(70.2)</v>
      </c>
      <c r="K414" s="302">
        <f t="shared" ref="K414:K415" si="311">B419-B414</f>
        <v>76.50300013209619</v>
      </c>
      <c r="L414" s="302">
        <f t="shared" ref="L414:L415" si="312">D419-D414</f>
        <v>-6.9399999029711807</v>
      </c>
      <c r="M414" s="302">
        <f t="shared" ref="M414:M415" si="313">F419-F414</f>
        <v>6.8650000018062656</v>
      </c>
      <c r="N414" s="302">
        <f t="shared" ref="N414:N415" si="314">SUM(K414:M414)</f>
        <v>76.428000230931275</v>
      </c>
    </row>
    <row r="415" spans="1:14" x14ac:dyDescent="0.3">
      <c r="A415" s="282" t="s">
        <v>354</v>
      </c>
      <c r="B415" s="302">
        <f>SUM(B413:B414)</f>
        <v>1447.2149998785187</v>
      </c>
      <c r="C415" s="299" t="str">
        <f>CONCATENATE("(",ROUND((B415/$H415)*100,1),")")</f>
        <v>(48.3)</v>
      </c>
      <c r="D415" s="302">
        <f>SUM(D413:D414)</f>
        <v>1230.1289999113803</v>
      </c>
      <c r="E415" s="299" t="str">
        <f>CONCATENATE("(",ROUND((D415/$H415)*100,1),")")</f>
        <v>(41.1)</v>
      </c>
      <c r="F415" s="302">
        <f>SUM(F413:F414)</f>
        <v>319.23400000964125</v>
      </c>
      <c r="G415" s="299" t="str">
        <f>CONCATENATE("(",ROUND((F415/$H415)*100,1),")")</f>
        <v>(10.7)</v>
      </c>
      <c r="H415" s="302">
        <f>SUM(H413:H414)</f>
        <v>2996.5779997995405</v>
      </c>
      <c r="I415" s="299" t="str">
        <f>CONCATENATE("(",ROUND((H415/$H415)*100,1),")")</f>
        <v>(100)</v>
      </c>
      <c r="K415" s="302">
        <f t="shared" si="311"/>
        <v>82.882000139928323</v>
      </c>
      <c r="L415" s="302">
        <f t="shared" si="312"/>
        <v>5.8280000944494077</v>
      </c>
      <c r="M415" s="302">
        <f t="shared" si="313"/>
        <v>15.061999999886041</v>
      </c>
      <c r="N415" s="302">
        <f t="shared" si="314"/>
        <v>103.77200023426377</v>
      </c>
    </row>
    <row r="416" spans="1:14" x14ac:dyDescent="0.3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3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3">
      <c r="A418" s="282" t="s">
        <v>355</v>
      </c>
      <c r="B418" s="302">
        <f>'Ind T6'!V485</f>
        <v>558.77699999317997</v>
      </c>
      <c r="C418" s="299" t="str">
        <f>CONCATENATE("(",ROUND((B418/$H420)*100,1),")")</f>
        <v>(18)</v>
      </c>
      <c r="D418" s="302">
        <f>'Ind T6'!W485</f>
        <v>228.2139999962308</v>
      </c>
      <c r="E418" s="299" t="str">
        <f>CONCATENATE("(",ROUND((D418/$H420)*100,1),")")</f>
        <v>(7.4)</v>
      </c>
      <c r="F418" s="302">
        <f>'Ind T6'!X485</f>
        <v>133.73200000797581</v>
      </c>
      <c r="G418" s="299" t="str">
        <f>CONCATENATE("(",ROUND((F418/$H420)*100,1),")")</f>
        <v>(4.3)</v>
      </c>
      <c r="H418" s="302">
        <f>SUM(B418,D418,F418)</f>
        <v>920.72299999738652</v>
      </c>
      <c r="I418" s="299" t="str">
        <f>CONCATENATE("(",ROUND((H418/$H420)*100,1),")")</f>
        <v>(29.7)</v>
      </c>
      <c r="K418" s="302">
        <f>B418-B408</f>
        <v>7.7769999722784178</v>
      </c>
      <c r="L418" s="302">
        <f>D418-D408</f>
        <v>18.21499998949821</v>
      </c>
      <c r="M418" s="302">
        <f>F418-F408</f>
        <v>11.731000004564066</v>
      </c>
      <c r="N418" s="302">
        <f>SUM(K418:M418)</f>
        <v>37.722999966340694</v>
      </c>
    </row>
    <row r="419" spans="1:14" x14ac:dyDescent="0.3">
      <c r="A419" s="282" t="s">
        <v>356</v>
      </c>
      <c r="B419" s="302">
        <f>'Ind T6'!V484</f>
        <v>971.32000002526718</v>
      </c>
      <c r="C419" s="299" t="str">
        <f>CONCATENATE("(",ROUND((B419/$H420)*100,1),")")</f>
        <v>(31.3)</v>
      </c>
      <c r="D419" s="302">
        <f>'Ind T6'!W484</f>
        <v>1007.743000009599</v>
      </c>
      <c r="E419" s="299" t="str">
        <f>CONCATENATE("(",ROUND((D419/$H420)*100,1),")")</f>
        <v>(32.5)</v>
      </c>
      <c r="F419" s="302">
        <f>'Ind T6'!X484</f>
        <v>200.56400000155148</v>
      </c>
      <c r="G419" s="299" t="str">
        <f>CONCATENATE("(",ROUND((F419/$H420)*100,1),")")</f>
        <v>(6.5)</v>
      </c>
      <c r="H419" s="302">
        <f t="shared" ref="H419" si="315">SUM(B419,D419,F419)</f>
        <v>2179.6270000364175</v>
      </c>
      <c r="I419" s="299" t="str">
        <f>CONCATENATE("(",ROUND((H419/$H420)*100,1),")")</f>
        <v>(70.3)</v>
      </c>
      <c r="K419" s="302">
        <f t="shared" ref="K419:K420" si="316">B419-B409</f>
        <v>110.32099998976048</v>
      </c>
      <c r="L419" s="302">
        <f t="shared" ref="L419:L420" si="317">D419-D409</f>
        <v>-13.256999944824429</v>
      </c>
      <c r="M419" s="302">
        <f t="shared" ref="M419:M420" si="318">F419-F409</f>
        <v>9.5640000029847556</v>
      </c>
      <c r="N419" s="302">
        <f t="shared" ref="N419:N420" si="319">SUM(K419:M419)</f>
        <v>106.62800004792081</v>
      </c>
    </row>
    <row r="420" spans="1:14" x14ac:dyDescent="0.3">
      <c r="A420" s="282" t="s">
        <v>354</v>
      </c>
      <c r="B420" s="302">
        <f>SUM(B418:B419)</f>
        <v>1530.097000018447</v>
      </c>
      <c r="C420" s="299" t="str">
        <f>CONCATENATE("(",ROUND((B420/$H420)*100,1),")")</f>
        <v>(49.4)</v>
      </c>
      <c r="D420" s="302">
        <f>SUM(D418:D419)</f>
        <v>1235.9570000058297</v>
      </c>
      <c r="E420" s="299" t="str">
        <f>CONCATENATE("(",ROUND((D420/$H420)*100,1),")")</f>
        <v>(39.9)</v>
      </c>
      <c r="F420" s="302">
        <f>SUM(F418:F419)</f>
        <v>334.29600000952729</v>
      </c>
      <c r="G420" s="299" t="str">
        <f>CONCATENATE("(",ROUND((F420/$H420)*100,1),")")</f>
        <v>(10.8)</v>
      </c>
      <c r="H420" s="302">
        <f>SUM(H418:H419)</f>
        <v>3100.350000033804</v>
      </c>
      <c r="I420" s="299" t="str">
        <f>CONCATENATE("(",ROUND((H420/$H420)*100,1),")")</f>
        <v>(100)</v>
      </c>
      <c r="K420" s="302">
        <f t="shared" si="316"/>
        <v>118.09799996203878</v>
      </c>
      <c r="L420" s="302">
        <f t="shared" si="317"/>
        <v>4.9580000446737813</v>
      </c>
      <c r="M420" s="302">
        <f t="shared" si="318"/>
        <v>21.295000007548822</v>
      </c>
      <c r="N420" s="302">
        <f t="shared" si="319"/>
        <v>144.35100001426139</v>
      </c>
    </row>
    <row r="421" spans="1:14" x14ac:dyDescent="0.3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3">
      <c r="C424" s="181"/>
      <c r="E424" s="181"/>
      <c r="G424" s="181"/>
      <c r="I424" s="181"/>
    </row>
    <row r="425" spans="1:14" x14ac:dyDescent="0.3">
      <c r="A425" s="288"/>
      <c r="B425" s="289" t="s">
        <v>379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3">
      <c r="N426" s="287" t="s">
        <v>377</v>
      </c>
    </row>
    <row r="427" spans="1:14" x14ac:dyDescent="0.3">
      <c r="A427" s="181" t="s">
        <v>378</v>
      </c>
      <c r="B427" s="370" t="s">
        <v>376</v>
      </c>
      <c r="C427" s="370"/>
      <c r="D427" s="370" t="s">
        <v>375</v>
      </c>
      <c r="E427" s="370"/>
      <c r="F427" s="370" t="s">
        <v>374</v>
      </c>
      <c r="G427" s="370"/>
      <c r="H427" s="370" t="s">
        <v>32</v>
      </c>
      <c r="I427" s="370"/>
      <c r="J427" s="181"/>
      <c r="K427" s="297" t="s">
        <v>339</v>
      </c>
      <c r="L427" s="297" t="s">
        <v>341</v>
      </c>
      <c r="M427" s="297" t="s">
        <v>337</v>
      </c>
      <c r="N427" s="297" t="s">
        <v>32</v>
      </c>
    </row>
    <row r="428" spans="1:14" x14ac:dyDescent="0.3">
      <c r="A428" s="292">
        <f>$A$8</f>
        <v>2020</v>
      </c>
      <c r="B428" s="287" t="s">
        <v>60</v>
      </c>
      <c r="C428" s="19" t="s">
        <v>373</v>
      </c>
      <c r="D428" s="287" t="s">
        <v>60</v>
      </c>
      <c r="E428" s="19" t="s">
        <v>373</v>
      </c>
      <c r="F428" s="287" t="s">
        <v>60</v>
      </c>
      <c r="G428" s="19" t="s">
        <v>373</v>
      </c>
      <c r="H428" s="287" t="s">
        <v>60</v>
      </c>
      <c r="I428" s="19" t="s">
        <v>373</v>
      </c>
      <c r="J428" s="181"/>
      <c r="K428" s="286" t="str">
        <f>CONCATENATE(A428," - ",A433)</f>
        <v>2020 - 2025</v>
      </c>
      <c r="L428" s="285"/>
      <c r="M428" s="285"/>
    </row>
    <row r="429" spans="1:14" x14ac:dyDescent="0.3">
      <c r="A429" s="282" t="s">
        <v>355</v>
      </c>
      <c r="B429" s="302">
        <f>'Ind T6'!L510</f>
        <v>646.76399999856903</v>
      </c>
      <c r="C429" s="299" t="str">
        <f>CONCATENATE("(",ROUND((B429/$H431)*100,1),")")</f>
        <v>(14.6)</v>
      </c>
      <c r="D429" s="302">
        <f>'Ind T6'!M510</f>
        <v>222.22800000062031</v>
      </c>
      <c r="E429" s="299" t="str">
        <f>CONCATENATE("(",ROUND((D429/$H431)*100,1),")")</f>
        <v>(5)</v>
      </c>
      <c r="F429" s="302">
        <f>'Ind T6'!N510</f>
        <v>104.39000000423277</v>
      </c>
      <c r="G429" s="299" t="str">
        <f>CONCATENATE("(",ROUND((F429/$H431)*100,1),")")</f>
        <v>(2.4)</v>
      </c>
      <c r="H429" s="302">
        <f>SUM(B429,D429,F429)</f>
        <v>973.38200000342215</v>
      </c>
      <c r="I429" s="299" t="str">
        <f>CONCATENATE("(",ROUND((H429/$H431)*100,1),")")</f>
        <v>(22)</v>
      </c>
      <c r="K429" s="302">
        <f>B434-B429</f>
        <v>44.426999998038127</v>
      </c>
      <c r="L429" s="302">
        <f>D434-D429</f>
        <v>19.737999999417355</v>
      </c>
      <c r="M429" s="302">
        <f>F434-F429</f>
        <v>2.1940000064575429</v>
      </c>
      <c r="N429" s="302">
        <f>SUM(K429:M429)</f>
        <v>66.359000003913025</v>
      </c>
    </row>
    <row r="430" spans="1:14" x14ac:dyDescent="0.3">
      <c r="A430" s="282" t="s">
        <v>356</v>
      </c>
      <c r="B430" s="302">
        <f>'Ind T6'!L509</f>
        <v>1699.0109999966764</v>
      </c>
      <c r="C430" s="299" t="str">
        <f>CONCATENATE("(",ROUND((B430/$H431)*100,1),")")</f>
        <v>(38.4)</v>
      </c>
      <c r="D430" s="302">
        <f>'Ind T6'!M509</f>
        <v>1510.9949999751846</v>
      </c>
      <c r="E430" s="299" t="str">
        <f>CONCATENATE("(",ROUND((D430/$H431)*100,1),")")</f>
        <v>(34.2)</v>
      </c>
      <c r="F430" s="302">
        <f>'Ind T6'!N509</f>
        <v>238.60800001786032</v>
      </c>
      <c r="G430" s="299" t="str">
        <f>CONCATENATE("(",ROUND((F430/$H431)*100,1),")")</f>
        <v>(5.4)</v>
      </c>
      <c r="H430" s="302">
        <f t="shared" ref="H430" si="320">SUM(B430,D430,F430)</f>
        <v>3448.6139999897214</v>
      </c>
      <c r="I430" s="299" t="str">
        <f>CONCATENATE("(",ROUND((H430/$H431)*100,1),")")</f>
        <v>(78)</v>
      </c>
      <c r="K430" s="302">
        <f t="shared" ref="K430:K431" si="321">B435-B430</f>
        <v>158.60899999681419</v>
      </c>
      <c r="L430" s="302">
        <f t="shared" ref="L430:L431" si="322">D435-D430</f>
        <v>52.165999978366472</v>
      </c>
      <c r="M430" s="302">
        <f t="shared" ref="M430:M431" si="323">F435-F430</f>
        <v>29.705999982785102</v>
      </c>
      <c r="N430" s="302">
        <f t="shared" ref="N430:N431" si="324">SUM(K430:M430)</f>
        <v>240.48099995796576</v>
      </c>
    </row>
    <row r="431" spans="1:14" x14ac:dyDescent="0.3">
      <c r="A431" s="282" t="s">
        <v>354</v>
      </c>
      <c r="B431" s="302">
        <f>SUM(B429:B430)</f>
        <v>2345.7749999952457</v>
      </c>
      <c r="C431" s="299" t="str">
        <f>CONCATENATE("(",ROUND((B431/$H431)*100,1),")")</f>
        <v>(53)</v>
      </c>
      <c r="D431" s="302">
        <f>SUM(D429:D430)</f>
        <v>1733.2229999758049</v>
      </c>
      <c r="E431" s="299" t="str">
        <f>CONCATENATE("(",ROUND((D431/$H431)*100,1),")")</f>
        <v>(39.2)</v>
      </c>
      <c r="F431" s="302">
        <f>SUM(F429:F430)</f>
        <v>342.99800002209309</v>
      </c>
      <c r="G431" s="299" t="str">
        <f>CONCATENATE("(",ROUND((F431/$H431)*100,1),")")</f>
        <v>(7.8)</v>
      </c>
      <c r="H431" s="302">
        <f>SUM(H429:H430)</f>
        <v>4421.9959999931434</v>
      </c>
      <c r="I431" s="299" t="str">
        <f>CONCATENATE("(",ROUND((H431/$H431)*100,1),")")</f>
        <v>(100)</v>
      </c>
      <c r="K431" s="302">
        <f t="shared" si="321"/>
        <v>203.03599999485232</v>
      </c>
      <c r="L431" s="302">
        <f t="shared" si="322"/>
        <v>71.903999977783769</v>
      </c>
      <c r="M431" s="302">
        <f t="shared" si="323"/>
        <v>31.899999989242644</v>
      </c>
      <c r="N431" s="302">
        <f t="shared" si="324"/>
        <v>306.83999996187873</v>
      </c>
    </row>
    <row r="432" spans="1:14" x14ac:dyDescent="0.3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3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3">
      <c r="A434" s="282" t="s">
        <v>355</v>
      </c>
      <c r="B434" s="302">
        <f>'Ind T6'!Q510</f>
        <v>691.19099999660716</v>
      </c>
      <c r="C434" s="299" t="str">
        <f>CONCATENATE("(",ROUND((B434/$H436)*100,1),")")</f>
        <v>(14.6)</v>
      </c>
      <c r="D434" s="302">
        <f>'Ind T6'!R510</f>
        <v>241.96600000003767</v>
      </c>
      <c r="E434" s="299" t="str">
        <f>CONCATENATE("(",ROUND((D434/$H436)*100,1),")")</f>
        <v>(5.1)</v>
      </c>
      <c r="F434" s="302">
        <f>'Ind T6'!S510</f>
        <v>106.58400001069032</v>
      </c>
      <c r="G434" s="299" t="str">
        <f>CONCATENATE("(",ROUND((F434/$H436)*100,1),")")</f>
        <v>(2.3)</v>
      </c>
      <c r="H434" s="302">
        <f>SUM(B434,D434,F434)</f>
        <v>1039.7410000073351</v>
      </c>
      <c r="I434" s="299" t="str">
        <f>CONCATENATE("(",ROUND((H434/$H436)*100,1),")")</f>
        <v>(22)</v>
      </c>
      <c r="K434" s="302">
        <f>B439-B434</f>
        <v>52.946999998977276</v>
      </c>
      <c r="L434" s="302">
        <f>D439-D434</f>
        <v>26.516000000115497</v>
      </c>
      <c r="M434" s="302">
        <f>F439-F434</f>
        <v>-2.768000004011526</v>
      </c>
      <c r="N434" s="302">
        <f>SUM(K434:M434)</f>
        <v>76.694999995081247</v>
      </c>
    </row>
    <row r="435" spans="1:14" x14ac:dyDescent="0.3">
      <c r="A435" s="282" t="s">
        <v>356</v>
      </c>
      <c r="B435" s="302">
        <f>'Ind T6'!Q509</f>
        <v>1857.6199999934906</v>
      </c>
      <c r="C435" s="299" t="str">
        <f>CONCATENATE("(",ROUND((B435/$H436)*100,1),")")</f>
        <v>(39.3)</v>
      </c>
      <c r="D435" s="302">
        <f>'Ind T6'!R509</f>
        <v>1563.160999953551</v>
      </c>
      <c r="E435" s="299" t="str">
        <f>CONCATENATE("(",ROUND((D435/$H436)*100,1),")")</f>
        <v>(33.1)</v>
      </c>
      <c r="F435" s="302">
        <f>'Ind T6'!S509</f>
        <v>268.31400000064542</v>
      </c>
      <c r="G435" s="299" t="str">
        <f>CONCATENATE("(",ROUND((F435/$H436)*100,1),")")</f>
        <v>(5.7)</v>
      </c>
      <c r="H435" s="302">
        <f t="shared" ref="H435" si="325">SUM(B435,D435,F435)</f>
        <v>3689.0949999476875</v>
      </c>
      <c r="I435" s="299" t="str">
        <f>CONCATENATE("(",ROUND((H435/$H436)*100,1),")")</f>
        <v>(78)</v>
      </c>
      <c r="K435" s="302">
        <f t="shared" ref="K435:K436" si="326">B440-B435</f>
        <v>229.45600000327431</v>
      </c>
      <c r="L435" s="302">
        <f t="shared" ref="L435:L436" si="327">D440-D435</f>
        <v>0.88500003984768227</v>
      </c>
      <c r="M435" s="302">
        <f t="shared" ref="M435:M436" si="328">F440-F435</f>
        <v>42.435999999032674</v>
      </c>
      <c r="N435" s="302">
        <f t="shared" ref="N435:N436" si="329">SUM(K435:M435)</f>
        <v>272.77700004215467</v>
      </c>
    </row>
    <row r="436" spans="1:14" x14ac:dyDescent="0.3">
      <c r="A436" s="282" t="s">
        <v>354</v>
      </c>
      <c r="B436" s="302">
        <f>SUM(B434:B435)</f>
        <v>2548.810999990098</v>
      </c>
      <c r="C436" s="299" t="str">
        <f>CONCATENATE("(",ROUND((B436/$H436)*100,1),")")</f>
        <v>(53.9)</v>
      </c>
      <c r="D436" s="302">
        <f>SUM(D434:D435)</f>
        <v>1805.1269999535887</v>
      </c>
      <c r="E436" s="299" t="str">
        <f>CONCATENATE("(",ROUND((D436/$H436)*100,1),")")</f>
        <v>(38.2)</v>
      </c>
      <c r="F436" s="302">
        <f>SUM(F434:F435)</f>
        <v>374.89800001133574</v>
      </c>
      <c r="G436" s="299" t="str">
        <f>CONCATENATE("(",ROUND((F436/$H436)*100,1),")")</f>
        <v>(7.9)</v>
      </c>
      <c r="H436" s="302">
        <f>SUM(H434:H435)</f>
        <v>4728.835999955023</v>
      </c>
      <c r="I436" s="299" t="str">
        <f>CONCATENATE("(",ROUND((H436/$H436)*100,1),")")</f>
        <v>(100)</v>
      </c>
      <c r="K436" s="302">
        <f t="shared" si="326"/>
        <v>282.40300000225125</v>
      </c>
      <c r="L436" s="302">
        <f t="shared" si="327"/>
        <v>27.401000039963264</v>
      </c>
      <c r="M436" s="302">
        <f t="shared" si="328"/>
        <v>39.667999995021148</v>
      </c>
      <c r="N436" s="302">
        <f t="shared" si="329"/>
        <v>349.47200003723566</v>
      </c>
    </row>
    <row r="437" spans="1:14" x14ac:dyDescent="0.3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3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3">
      <c r="A439" s="282" t="s">
        <v>355</v>
      </c>
      <c r="B439" s="302">
        <f>'Ind T6'!V510</f>
        <v>744.13799999558444</v>
      </c>
      <c r="C439" s="299" t="str">
        <f>CONCATENATE("(",ROUND((B439/$H441)*100,1),")")</f>
        <v>(14.7)</v>
      </c>
      <c r="D439" s="302">
        <f>'Ind T6'!W510</f>
        <v>268.48200000015316</v>
      </c>
      <c r="E439" s="299" t="str">
        <f>CONCATENATE("(",ROUND((D439/$H441)*100,1),")")</f>
        <v>(5.3)</v>
      </c>
      <c r="F439" s="302">
        <f>'Ind T6'!X510</f>
        <v>103.81600000667879</v>
      </c>
      <c r="G439" s="299" t="str">
        <f>CONCATENATE("(",ROUND((F439/$H441)*100,1),")")</f>
        <v>(2)</v>
      </c>
      <c r="H439" s="302">
        <f>SUM(B439,D439,F439)</f>
        <v>1116.4360000024162</v>
      </c>
      <c r="I439" s="299" t="str">
        <f>CONCATENATE("(",ROUND((H439/$H441)*100,1),")")</f>
        <v>(22)</v>
      </c>
      <c r="K439" s="302">
        <f>B439-B429</f>
        <v>97.373999997015403</v>
      </c>
      <c r="L439" s="302">
        <f>D439-D429</f>
        <v>46.253999999532851</v>
      </c>
      <c r="M439" s="302">
        <f>F439-F429</f>
        <v>-0.57399999755398312</v>
      </c>
      <c r="N439" s="302">
        <f>SUM(K439:M439)</f>
        <v>143.05399999899427</v>
      </c>
    </row>
    <row r="440" spans="1:14" x14ac:dyDescent="0.3">
      <c r="A440" s="282" t="s">
        <v>356</v>
      </c>
      <c r="B440" s="302">
        <f>'Ind T6'!V509</f>
        <v>2087.0759999967649</v>
      </c>
      <c r="C440" s="299" t="str">
        <f>CONCATENATE("(",ROUND((B440/$H441)*100,1),")")</f>
        <v>(41.1)</v>
      </c>
      <c r="D440" s="302">
        <f>'Ind T6'!W509</f>
        <v>1564.0459999933987</v>
      </c>
      <c r="E440" s="299" t="str">
        <f>CONCATENATE("(",ROUND((D440/$H441)*100,1),")")</f>
        <v>(30.8)</v>
      </c>
      <c r="F440" s="302">
        <f>'Ind T6'!X509</f>
        <v>310.7499999996781</v>
      </c>
      <c r="G440" s="299" t="str">
        <f>CONCATENATE("(",ROUND((F440/$H441)*100,1),")")</f>
        <v>(6.1)</v>
      </c>
      <c r="H440" s="302">
        <f t="shared" ref="H440" si="330">SUM(B440,D440,F440)</f>
        <v>3961.8719999898417</v>
      </c>
      <c r="I440" s="299" t="str">
        <f>CONCATENATE("(",ROUND((H440/$H441)*100,1),")")</f>
        <v>(78)</v>
      </c>
      <c r="K440" s="302">
        <f t="shared" ref="K440:K441" si="331">B440-B430</f>
        <v>388.0650000000885</v>
      </c>
      <c r="L440" s="302">
        <f t="shared" ref="L440:L441" si="332">D440-D430</f>
        <v>53.051000018214154</v>
      </c>
      <c r="M440" s="302">
        <f t="shared" ref="M440:M441" si="333">F440-F430</f>
        <v>72.141999981817776</v>
      </c>
      <c r="N440" s="302">
        <f t="shared" ref="N440:N441" si="334">SUM(K440:M440)</f>
        <v>513.25800000012043</v>
      </c>
    </row>
    <row r="441" spans="1:14" x14ac:dyDescent="0.3">
      <c r="A441" s="282" t="s">
        <v>354</v>
      </c>
      <c r="B441" s="302">
        <f>SUM(B439:B440)</f>
        <v>2831.2139999923493</v>
      </c>
      <c r="C441" s="299" t="str">
        <f>CONCATENATE("(",ROUND((B441/$H441)*100,1),")")</f>
        <v>(55.8)</v>
      </c>
      <c r="D441" s="302">
        <f>SUM(D439:D440)</f>
        <v>1832.5279999935519</v>
      </c>
      <c r="E441" s="299" t="str">
        <f>CONCATENATE("(",ROUND((D441/$H441)*100,1),")")</f>
        <v>(36.1)</v>
      </c>
      <c r="F441" s="302">
        <f>SUM(F439:F440)</f>
        <v>414.56600000635689</v>
      </c>
      <c r="G441" s="299" t="str">
        <f>CONCATENATE("(",ROUND((F441/$H441)*100,1),")")</f>
        <v>(8.2)</v>
      </c>
      <c r="H441" s="302">
        <f>SUM(H439:H440)</f>
        <v>5078.3079999922575</v>
      </c>
      <c r="I441" s="299" t="str">
        <f>CONCATENATE("(",ROUND((H441/$H441)*100,1),")")</f>
        <v>(100)</v>
      </c>
      <c r="K441" s="302">
        <f t="shared" si="331"/>
        <v>485.43899999710356</v>
      </c>
      <c r="L441" s="302">
        <f t="shared" si="332"/>
        <v>99.305000017747034</v>
      </c>
      <c r="M441" s="302">
        <f t="shared" si="333"/>
        <v>71.567999984263793</v>
      </c>
      <c r="N441" s="302">
        <f t="shared" si="334"/>
        <v>656.31199999911439</v>
      </c>
    </row>
    <row r="442" spans="1:14" x14ac:dyDescent="0.3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3">
      <c r="A446" s="288"/>
      <c r="B446" s="289" t="s">
        <v>379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3">
      <c r="N447" s="287" t="s">
        <v>377</v>
      </c>
    </row>
    <row r="448" spans="1:14" x14ac:dyDescent="0.3">
      <c r="A448" s="181" t="s">
        <v>378</v>
      </c>
      <c r="B448" s="370" t="s">
        <v>376</v>
      </c>
      <c r="C448" s="370"/>
      <c r="D448" s="370" t="s">
        <v>375</v>
      </c>
      <c r="E448" s="370"/>
      <c r="F448" s="370" t="s">
        <v>374</v>
      </c>
      <c r="G448" s="370"/>
      <c r="H448" s="370" t="s">
        <v>32</v>
      </c>
      <c r="I448" s="370"/>
      <c r="J448" s="181"/>
      <c r="K448" s="297" t="s">
        <v>339</v>
      </c>
      <c r="L448" s="297" t="s">
        <v>341</v>
      </c>
      <c r="M448" s="297" t="s">
        <v>337</v>
      </c>
      <c r="N448" s="297" t="s">
        <v>32</v>
      </c>
    </row>
    <row r="449" spans="1:14" x14ac:dyDescent="0.3">
      <c r="A449" s="292">
        <f>$A$8</f>
        <v>2020</v>
      </c>
      <c r="B449" s="287" t="s">
        <v>60</v>
      </c>
      <c r="C449" s="19" t="s">
        <v>373</v>
      </c>
      <c r="D449" s="287" t="s">
        <v>60</v>
      </c>
      <c r="E449" s="19" t="s">
        <v>373</v>
      </c>
      <c r="F449" s="287" t="s">
        <v>337</v>
      </c>
      <c r="G449" s="19" t="s">
        <v>373</v>
      </c>
      <c r="H449" s="287" t="s">
        <v>60</v>
      </c>
      <c r="I449" s="19" t="s">
        <v>373</v>
      </c>
      <c r="J449" s="181"/>
      <c r="K449" s="286" t="str">
        <f>CONCATENATE(A449," - ",A454)</f>
        <v>2020 - 2025</v>
      </c>
      <c r="L449" s="285"/>
      <c r="M449" s="285"/>
    </row>
    <row r="450" spans="1:14" x14ac:dyDescent="0.3">
      <c r="A450" s="282" t="s">
        <v>355</v>
      </c>
      <c r="B450" s="302">
        <f>'Ind T6'!L540</f>
        <v>190.3469999998274</v>
      </c>
      <c r="C450" s="299" t="str">
        <f>CONCATENATE("(",ROUND((B450/$H452)*100,1),")")</f>
        <v>(19)</v>
      </c>
      <c r="D450" s="302">
        <f>'Ind T6'!M540</f>
        <v>152.64900000015015</v>
      </c>
      <c r="E450" s="299" t="str">
        <f>CONCATENATE("(",ROUND((D450/$H452)*100,1),")")</f>
        <v>(15.3)</v>
      </c>
      <c r="F450" s="302">
        <f>'Ind T6'!N540</f>
        <v>139.49200000461039</v>
      </c>
      <c r="G450" s="299" t="str">
        <f>CONCATENATE("(",ROUND((F450/$H452)*100,1),")")</f>
        <v>(13.9)</v>
      </c>
      <c r="H450" s="302">
        <f>SUM(B450,D450,F450)</f>
        <v>482.488000004588</v>
      </c>
      <c r="I450" s="299" t="str">
        <f>CONCATENATE("(",ROUND((H450/$H452)*100,1),")")</f>
        <v>(48.2)</v>
      </c>
      <c r="K450" s="302">
        <f>B455-B450</f>
        <v>9.326000000515478</v>
      </c>
      <c r="L450" s="302">
        <f>D455-D450</f>
        <v>9.8670000001551159</v>
      </c>
      <c r="M450" s="302">
        <f>F455-F450</f>
        <v>0.60700000615346994</v>
      </c>
      <c r="N450" s="302">
        <f>SUM(K450:M450)</f>
        <v>19.800000006824064</v>
      </c>
    </row>
    <row r="451" spans="1:14" x14ac:dyDescent="0.3">
      <c r="A451" s="282" t="s">
        <v>356</v>
      </c>
      <c r="B451" s="302">
        <f>'Ind T6'!L539</f>
        <v>147.15399999929994</v>
      </c>
      <c r="C451" s="299" t="str">
        <f>CONCATENATE("(",ROUND((B451/$H452)*100,1),")")</f>
        <v>(14.7)</v>
      </c>
      <c r="D451" s="302">
        <f>'Ind T6'!M539</f>
        <v>223.84200000126208</v>
      </c>
      <c r="E451" s="299" t="str">
        <f>CONCATENATE("(",ROUND((D451/$H452)*100,1),")")</f>
        <v>(22.4)</v>
      </c>
      <c r="F451" s="302">
        <f>'Ind T6'!N539</f>
        <v>146.5119999967709</v>
      </c>
      <c r="G451" s="299" t="str">
        <f>CONCATENATE("(",ROUND((F451/$H452)*100,1),")")</f>
        <v>(14.7)</v>
      </c>
      <c r="H451" s="302">
        <f t="shared" ref="H451" si="335">SUM(B451,D451,F451)</f>
        <v>517.50799999733294</v>
      </c>
      <c r="I451" s="299" t="str">
        <f>CONCATENATE("(",ROUND((H451/$H452)*100,1),")")</f>
        <v>(51.8)</v>
      </c>
      <c r="K451" s="302">
        <f t="shared" ref="K451:K452" si="336">B456-B451</f>
        <v>0.27200000237741051</v>
      </c>
      <c r="L451" s="302">
        <f t="shared" ref="L451:L452" si="337">D456-D451</f>
        <v>10.04700000116361</v>
      </c>
      <c r="M451" s="302">
        <f t="shared" ref="M451:M452" si="338">F456-F451</f>
        <v>0.6260000028010495</v>
      </c>
      <c r="N451" s="302">
        <f t="shared" ref="N451:N452" si="339">SUM(K451:M451)</f>
        <v>10.94500000634207</v>
      </c>
    </row>
    <row r="452" spans="1:14" x14ac:dyDescent="0.3">
      <c r="A452" s="282" t="s">
        <v>354</v>
      </c>
      <c r="B452" s="302">
        <f>SUM(B450:B451)</f>
        <v>337.50099999912732</v>
      </c>
      <c r="C452" s="299" t="str">
        <f>CONCATENATE("(",ROUND((B452/$H452)*100,1),")")</f>
        <v>(33.8)</v>
      </c>
      <c r="D452" s="302">
        <f>SUM(D450:D451)</f>
        <v>376.4910000014122</v>
      </c>
      <c r="E452" s="299" t="str">
        <f>CONCATENATE("(",ROUND((D452/$H452)*100,1),")")</f>
        <v>(37.6)</v>
      </c>
      <c r="F452" s="302">
        <f>SUM(F450:F451)</f>
        <v>286.00400000138131</v>
      </c>
      <c r="G452" s="299" t="str">
        <f>CONCATENATE("(",ROUND((F452/$H452)*100,1),")")</f>
        <v>(28.6)</v>
      </c>
      <c r="H452" s="302">
        <f>SUM(H450:H451)</f>
        <v>999.99600000192095</v>
      </c>
      <c r="I452" s="299" t="str">
        <f>CONCATENATE("(",ROUND((H452/$H452)*100,1),")")</f>
        <v>(100)</v>
      </c>
      <c r="K452" s="302">
        <f t="shared" si="336"/>
        <v>9.5980000028929453</v>
      </c>
      <c r="L452" s="302">
        <f t="shared" si="337"/>
        <v>19.914000001318755</v>
      </c>
      <c r="M452" s="302">
        <f t="shared" si="338"/>
        <v>1.233000008954491</v>
      </c>
      <c r="N452" s="302">
        <f t="shared" si="339"/>
        <v>30.745000013166191</v>
      </c>
    </row>
    <row r="453" spans="1:14" x14ac:dyDescent="0.3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3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3">
      <c r="A455" s="282" t="s">
        <v>355</v>
      </c>
      <c r="B455" s="302">
        <f>'Ind T6'!Q540</f>
        <v>199.67300000034288</v>
      </c>
      <c r="C455" s="299" t="str">
        <f>CONCATENATE("(",ROUND((B455/$H457)*100,1),")")</f>
        <v>(19.4)</v>
      </c>
      <c r="D455" s="302">
        <f>'Ind T6'!R540</f>
        <v>162.51600000030527</v>
      </c>
      <c r="E455" s="299" t="str">
        <f>CONCATENATE("(",ROUND((D455/$H457)*100,1),")")</f>
        <v>(15.8)</v>
      </c>
      <c r="F455" s="302">
        <f>'Ind T6'!S540</f>
        <v>140.09900001076386</v>
      </c>
      <c r="G455" s="299" t="str">
        <f>CONCATENATE("(",ROUND((F455/$H457)*100,1),")")</f>
        <v>(13.6)</v>
      </c>
      <c r="H455" s="302">
        <f>SUM(B455,D455,F455)</f>
        <v>502.28800001141201</v>
      </c>
      <c r="I455" s="299" t="str">
        <f>CONCATENATE("(",ROUND((H455/$H457)*100,1),")")</f>
        <v>(48.7)</v>
      </c>
      <c r="K455" s="302">
        <f>B460-B455</f>
        <v>17.324999999799758</v>
      </c>
      <c r="L455" s="302">
        <f>D460-D455</f>
        <v>18.986000000398064</v>
      </c>
      <c r="M455" s="302">
        <f>F460-F455</f>
        <v>13.8269999979467</v>
      </c>
      <c r="N455" s="302">
        <f>SUM(K455:M455)</f>
        <v>50.137999998144522</v>
      </c>
    </row>
    <row r="456" spans="1:14" x14ac:dyDescent="0.3">
      <c r="A456" s="282" t="s">
        <v>356</v>
      </c>
      <c r="B456" s="302">
        <f>'Ind T6'!Q539</f>
        <v>147.42600000167735</v>
      </c>
      <c r="C456" s="299" t="str">
        <f>CONCATENATE("(",ROUND((B456/$H457)*100,1),")")</f>
        <v>(14.3)</v>
      </c>
      <c r="D456" s="302">
        <f>'Ind T6'!R539</f>
        <v>233.88900000242569</v>
      </c>
      <c r="E456" s="299" t="str">
        <f>CONCATENATE("(",ROUND((D456/$H457)*100,1),")")</f>
        <v>(22.7)</v>
      </c>
      <c r="F456" s="302">
        <f>'Ind T6'!S539</f>
        <v>147.13799999957195</v>
      </c>
      <c r="G456" s="299" t="str">
        <f>CONCATENATE("(",ROUND((F456/$H457)*100,1),")")</f>
        <v>(14.3)</v>
      </c>
      <c r="H456" s="302">
        <f t="shared" ref="H456" si="340">SUM(B456,D456,F456)</f>
        <v>528.45300000367502</v>
      </c>
      <c r="I456" s="299" t="str">
        <f>CONCATENATE("(",ROUND((H456/$H457)*100,1),")")</f>
        <v>(51.3)</v>
      </c>
      <c r="K456" s="302">
        <f t="shared" ref="K456:K457" si="341">B461-B456</f>
        <v>2.095999998856513</v>
      </c>
      <c r="L456" s="302">
        <f t="shared" ref="L456:L457" si="342">D461-D456</f>
        <v>18.152999996608969</v>
      </c>
      <c r="M456" s="302">
        <f t="shared" ref="M456:M457" si="343">F461-F456</f>
        <v>17.635000001477067</v>
      </c>
      <c r="N456" s="302">
        <f t="shared" ref="N456:N457" si="344">SUM(K456:M456)</f>
        <v>37.883999996942549</v>
      </c>
    </row>
    <row r="457" spans="1:14" x14ac:dyDescent="0.3">
      <c r="A457" s="282" t="s">
        <v>354</v>
      </c>
      <c r="B457" s="302">
        <f>SUM(B455:B456)</f>
        <v>347.09900000202026</v>
      </c>
      <c r="C457" s="299" t="str">
        <f>CONCATENATE("(",ROUND((B457/$H457)*100,1),")")</f>
        <v>(33.7)</v>
      </c>
      <c r="D457" s="302">
        <f>SUM(D455:D456)</f>
        <v>396.40500000273096</v>
      </c>
      <c r="E457" s="299" t="str">
        <f>CONCATENATE("(",ROUND((D457/$H457)*100,1),")")</f>
        <v>(38.5)</v>
      </c>
      <c r="F457" s="302">
        <f>SUM(F455:F456)</f>
        <v>287.23700001033581</v>
      </c>
      <c r="G457" s="299" t="str">
        <f>CONCATENATE("(",ROUND((F457/$H457)*100,1),")")</f>
        <v>(27.9)</v>
      </c>
      <c r="H457" s="302">
        <f>SUM(H455:H456)</f>
        <v>1030.7410000150871</v>
      </c>
      <c r="I457" s="299" t="str">
        <f>CONCATENATE("(",ROUND((H457/$H457)*100,1),")")</f>
        <v>(100)</v>
      </c>
      <c r="K457" s="302">
        <f t="shared" si="341"/>
        <v>19.420999998656271</v>
      </c>
      <c r="L457" s="302">
        <f t="shared" si="342"/>
        <v>37.138999997007033</v>
      </c>
      <c r="M457" s="302">
        <f t="shared" si="343"/>
        <v>31.461999999423767</v>
      </c>
      <c r="N457" s="302">
        <f t="shared" si="344"/>
        <v>88.021999995087072</v>
      </c>
    </row>
    <row r="458" spans="1:14" x14ac:dyDescent="0.3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3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3">
      <c r="A460" s="282" t="s">
        <v>355</v>
      </c>
      <c r="B460" s="302">
        <f>'Ind T6'!V540</f>
        <v>216.99800000014264</v>
      </c>
      <c r="C460" s="299" t="str">
        <f>CONCATENATE("(",ROUND((B460/$H462)*100,1),")")</f>
        <v>(19.4)</v>
      </c>
      <c r="D460" s="302">
        <f>'Ind T6'!W540</f>
        <v>181.50200000070333</v>
      </c>
      <c r="E460" s="299" t="str">
        <f>CONCATENATE("(",ROUND((D460/$H462)*100,1),")")</f>
        <v>(16.2)</v>
      </c>
      <c r="F460" s="302">
        <f>'Ind T6'!X540</f>
        <v>153.92600000871056</v>
      </c>
      <c r="G460" s="299" t="str">
        <f>CONCATENATE("(",ROUND((F460/$H462)*100,1),")")</f>
        <v>(13.8)</v>
      </c>
      <c r="H460" s="302">
        <f>SUM(B460,D460,F460)</f>
        <v>552.42600000955645</v>
      </c>
      <c r="I460" s="299" t="str">
        <f>CONCATENATE("(",ROUND((H460/$H462)*100,1),")")</f>
        <v>(49.4)</v>
      </c>
      <c r="K460" s="302">
        <f>B460-B450</f>
        <v>26.651000000315236</v>
      </c>
      <c r="L460" s="302">
        <f>D460-D450</f>
        <v>28.85300000055318</v>
      </c>
      <c r="M460" s="302">
        <f>F460-F450</f>
        <v>14.43400000410017</v>
      </c>
      <c r="N460" s="302">
        <f>SUM(K460:M460)</f>
        <v>69.938000004968586</v>
      </c>
    </row>
    <row r="461" spans="1:14" x14ac:dyDescent="0.3">
      <c r="A461" s="282" t="s">
        <v>356</v>
      </c>
      <c r="B461" s="302">
        <f>'Ind T6'!V539</f>
        <v>149.52200000053386</v>
      </c>
      <c r="C461" s="299" t="str">
        <f>CONCATENATE("(",ROUND((B461/$H462)*100,1),")")</f>
        <v>(13.4)</v>
      </c>
      <c r="D461" s="302">
        <f>'Ind T6'!W539</f>
        <v>252.04199999903466</v>
      </c>
      <c r="E461" s="299" t="str">
        <f>CONCATENATE("(",ROUND((D461/$H462)*100,1),")")</f>
        <v>(22.5)</v>
      </c>
      <c r="F461" s="302">
        <f>'Ind T6'!X539</f>
        <v>164.77300000104901</v>
      </c>
      <c r="G461" s="299" t="str">
        <f>CONCATENATE("(",ROUND((F461/$H462)*100,1),")")</f>
        <v>(14.7)</v>
      </c>
      <c r="H461" s="302">
        <f t="shared" ref="H461" si="345">SUM(B461,D461,F461)</f>
        <v>566.33700000061754</v>
      </c>
      <c r="I461" s="299" t="str">
        <f>CONCATENATE("(",ROUND((H461/$H462)*100,1),")")</f>
        <v>(50.6)</v>
      </c>
      <c r="K461" s="302">
        <f t="shared" ref="K461:K462" si="346">B461-B451</f>
        <v>2.3680000012339235</v>
      </c>
      <c r="L461" s="302">
        <f t="shared" ref="L461:L462" si="347">D461-D451</f>
        <v>28.199999997772579</v>
      </c>
      <c r="M461" s="302">
        <f t="shared" ref="M461:M462" si="348">F461-F451</f>
        <v>18.261000004278117</v>
      </c>
      <c r="N461" s="302">
        <f t="shared" ref="N461:N462" si="349">SUM(K461:M461)</f>
        <v>48.829000003284619</v>
      </c>
    </row>
    <row r="462" spans="1:14" x14ac:dyDescent="0.3">
      <c r="A462" s="282" t="s">
        <v>354</v>
      </c>
      <c r="B462" s="302">
        <f>SUM(B460:B461)</f>
        <v>366.52000000067653</v>
      </c>
      <c r="C462" s="299" t="str">
        <f>CONCATENATE("(",ROUND((B462/$H462)*100,1),")")</f>
        <v>(32.8)</v>
      </c>
      <c r="D462" s="302">
        <f>SUM(D460:D461)</f>
        <v>433.54399999973799</v>
      </c>
      <c r="E462" s="299" t="str">
        <f>CONCATENATE("(",ROUND((D462/$H462)*100,1),")")</f>
        <v>(38.8)</v>
      </c>
      <c r="F462" s="302">
        <f>SUM(F460:F461)</f>
        <v>318.69900000975957</v>
      </c>
      <c r="G462" s="299" t="str">
        <f>CONCATENATE("(",ROUND((F462/$H462)*100,1),")")</f>
        <v>(28.5)</v>
      </c>
      <c r="H462" s="302">
        <f>SUM(H460:H461)</f>
        <v>1118.763000010174</v>
      </c>
      <c r="I462" s="299" t="str">
        <f>CONCATENATE("(",ROUND((H462/$H462)*100,1),")")</f>
        <v>(100)</v>
      </c>
      <c r="K462" s="302">
        <f t="shared" si="346"/>
        <v>29.019000001549216</v>
      </c>
      <c r="L462" s="302">
        <f t="shared" si="347"/>
        <v>57.052999998325788</v>
      </c>
      <c r="M462" s="302">
        <f t="shared" si="348"/>
        <v>32.695000008378258</v>
      </c>
      <c r="N462" s="302">
        <f t="shared" si="349"/>
        <v>118.76700000825326</v>
      </c>
    </row>
    <row r="463" spans="1:14" x14ac:dyDescent="0.3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3">
      <c r="C466" s="181"/>
      <c r="E466" s="181"/>
      <c r="G466" s="181"/>
      <c r="I466" s="181"/>
    </row>
    <row r="467" spans="1:14" x14ac:dyDescent="0.3">
      <c r="A467" s="288"/>
      <c r="B467" s="289" t="s">
        <v>379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3">
      <c r="N468" s="287" t="s">
        <v>377</v>
      </c>
    </row>
    <row r="469" spans="1:14" x14ac:dyDescent="0.3">
      <c r="A469" s="181" t="s">
        <v>378</v>
      </c>
      <c r="B469" s="370" t="s">
        <v>376</v>
      </c>
      <c r="C469" s="370"/>
      <c r="D469" s="370" t="s">
        <v>375</v>
      </c>
      <c r="E469" s="370"/>
      <c r="F469" s="370" t="s">
        <v>374</v>
      </c>
      <c r="G469" s="370"/>
      <c r="H469" s="370" t="s">
        <v>32</v>
      </c>
      <c r="I469" s="370"/>
      <c r="J469" s="181"/>
      <c r="K469" s="297" t="s">
        <v>339</v>
      </c>
      <c r="L469" s="297" t="s">
        <v>341</v>
      </c>
      <c r="M469" s="297" t="s">
        <v>337</v>
      </c>
      <c r="N469" s="297" t="s">
        <v>32</v>
      </c>
    </row>
    <row r="470" spans="1:14" x14ac:dyDescent="0.3">
      <c r="A470" s="292">
        <f>$A$8</f>
        <v>2020</v>
      </c>
      <c r="B470" s="287" t="s">
        <v>60</v>
      </c>
      <c r="C470" s="19" t="s">
        <v>373</v>
      </c>
      <c r="D470" s="287" t="s">
        <v>60</v>
      </c>
      <c r="E470" s="19" t="s">
        <v>373</v>
      </c>
      <c r="F470" s="287" t="s">
        <v>60</v>
      </c>
      <c r="G470" s="19" t="s">
        <v>373</v>
      </c>
      <c r="H470" s="287" t="s">
        <v>60</v>
      </c>
      <c r="I470" s="19" t="s">
        <v>373</v>
      </c>
      <c r="J470" s="181"/>
      <c r="K470" s="286" t="str">
        <f>CONCATENATE(A470," - ",A475)</f>
        <v>2020 - 2025</v>
      </c>
      <c r="L470" s="285"/>
      <c r="M470" s="285"/>
    </row>
    <row r="471" spans="1:14" x14ac:dyDescent="0.3">
      <c r="A471" s="282" t="s">
        <v>355</v>
      </c>
      <c r="B471" s="302">
        <f>'Ind T6'!L565</f>
        <v>189.54499999965782</v>
      </c>
      <c r="C471" s="299" t="str">
        <f>CONCATENATE("(",ROUND((B471/$H473)*100,1),")")</f>
        <v>(19)</v>
      </c>
      <c r="D471" s="302">
        <f>'Ind T6'!M565</f>
        <v>66.784000000117985</v>
      </c>
      <c r="E471" s="299" t="str">
        <f>CONCATENATE("(",ROUND((D471/$H473)*100,1),")")</f>
        <v>(6.7)</v>
      </c>
      <c r="F471" s="302">
        <f>'Ind T6'!N565</f>
        <v>100.00100000173289</v>
      </c>
      <c r="G471" s="299" t="str">
        <f>CONCATENATE("(",ROUND((F471/$H473)*100,1),")")</f>
        <v>(10)</v>
      </c>
      <c r="H471" s="302">
        <f>SUM(B471,D471,F471)</f>
        <v>356.33000000150872</v>
      </c>
      <c r="I471" s="299" t="str">
        <f>CONCATENATE("(",ROUND((H471/$H473)*100,1),")")</f>
        <v>(35.6)</v>
      </c>
      <c r="K471" s="302">
        <f>B476-B471</f>
        <v>3.7000000005918423</v>
      </c>
      <c r="L471" s="302">
        <f>D476-D471</f>
        <v>-0.23600000008541144</v>
      </c>
      <c r="M471" s="302">
        <f>F476-F471</f>
        <v>2.2040000023091721</v>
      </c>
      <c r="N471" s="302">
        <f>SUM(K471:M471)</f>
        <v>5.668000002815603</v>
      </c>
    </row>
    <row r="472" spans="1:14" x14ac:dyDescent="0.3">
      <c r="A472" s="282" t="s">
        <v>356</v>
      </c>
      <c r="B472" s="302">
        <f>'Ind T6'!L564</f>
        <v>205.56099999909253</v>
      </c>
      <c r="C472" s="299" t="str">
        <f>CONCATENATE("(",ROUND((B472/$H473)*100,1),")")</f>
        <v>(20.6)</v>
      </c>
      <c r="D472" s="302">
        <f>'Ind T6'!M564</f>
        <v>188.10700000142464</v>
      </c>
      <c r="E472" s="299" t="str">
        <f>CONCATENATE("(",ROUND((D472/$H473)*100,1),")")</f>
        <v>(18.8)</v>
      </c>
      <c r="F472" s="302">
        <f>'Ind T6'!N564</f>
        <v>249.99999999472072</v>
      </c>
      <c r="G472" s="299" t="str">
        <f>CONCATENATE("(",ROUND((F472/$H473)*100,1),")")</f>
        <v>(25)</v>
      </c>
      <c r="H472" s="302">
        <f t="shared" ref="H472" si="350">SUM(B472,D472,F472)</f>
        <v>643.66799999523789</v>
      </c>
      <c r="I472" s="299" t="str">
        <f>CONCATENATE("(",ROUND((H472/$H473)*100,1),")")</f>
        <v>(64.4)</v>
      </c>
      <c r="K472" s="302">
        <f t="shared" ref="K472:K473" si="351">B477-B472</f>
        <v>-6.6589999961134367</v>
      </c>
      <c r="L472" s="302">
        <f t="shared" ref="L472:L473" si="352">D477-D472</f>
        <v>-5.5089999993757033</v>
      </c>
      <c r="M472" s="302">
        <f t="shared" ref="M472:M473" si="353">F477-F472</f>
        <v>-6.7729999951714035</v>
      </c>
      <c r="N472" s="302">
        <f t="shared" ref="N472:N473" si="354">SUM(K472:M472)</f>
        <v>-18.940999990660544</v>
      </c>
    </row>
    <row r="473" spans="1:14" x14ac:dyDescent="0.3">
      <c r="A473" s="282" t="s">
        <v>354</v>
      </c>
      <c r="B473" s="302">
        <f>SUM(B471:B472)</f>
        <v>395.10599999875035</v>
      </c>
      <c r="C473" s="299" t="str">
        <f>CONCATENATE("(",ROUND((B473/$H473)*100,1),")")</f>
        <v>(39.5)</v>
      </c>
      <c r="D473" s="302">
        <f>SUM(D471:D472)</f>
        <v>254.89100000154264</v>
      </c>
      <c r="E473" s="299" t="str">
        <f>CONCATENATE("(",ROUND((D473/$H473)*100,1),")")</f>
        <v>(25.5)</v>
      </c>
      <c r="F473" s="302">
        <f>SUM(F471:F472)</f>
        <v>350.00099999645363</v>
      </c>
      <c r="G473" s="299" t="str">
        <f>CONCATENATE("(",ROUND((F473/$H473)*100,1),")")</f>
        <v>(35)</v>
      </c>
      <c r="H473" s="302">
        <f>SUM(H471:H472)</f>
        <v>999.99799999674656</v>
      </c>
      <c r="I473" s="299" t="str">
        <f>CONCATENATE("(",ROUND((H473/$H473)*100,1),")")</f>
        <v>(100)</v>
      </c>
      <c r="K473" s="302">
        <f t="shared" si="351"/>
        <v>-2.9589999955215944</v>
      </c>
      <c r="L473" s="302">
        <f t="shared" si="352"/>
        <v>-5.7449999994611289</v>
      </c>
      <c r="M473" s="302">
        <f t="shared" si="353"/>
        <v>-4.5689999928622456</v>
      </c>
      <c r="N473" s="302">
        <f t="shared" si="354"/>
        <v>-13.272999987844969</v>
      </c>
    </row>
    <row r="474" spans="1:14" x14ac:dyDescent="0.3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3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3">
      <c r="A476" s="282" t="s">
        <v>355</v>
      </c>
      <c r="B476" s="302">
        <f>'Ind T6'!Q565</f>
        <v>193.24500000024966</v>
      </c>
      <c r="C476" s="299" t="str">
        <f>CONCATENATE("(",ROUND((B476/$H478)*100,1),")")</f>
        <v>(19.6)</v>
      </c>
      <c r="D476" s="302">
        <f>'Ind T6'!R565</f>
        <v>66.548000000032573</v>
      </c>
      <c r="E476" s="299" t="str">
        <f>CONCATENATE("(",ROUND((D476/$H478)*100,1),")")</f>
        <v>(6.7)</v>
      </c>
      <c r="F476" s="302">
        <f>'Ind T6'!S565</f>
        <v>102.20500000404206</v>
      </c>
      <c r="G476" s="299" t="str">
        <f>CONCATENATE("(",ROUND((F476/$H478)*100,1),")")</f>
        <v>(10.4)</v>
      </c>
      <c r="H476" s="302">
        <f>SUM(B476,D476,F476)</f>
        <v>361.9980000043243</v>
      </c>
      <c r="I476" s="299" t="str">
        <f>CONCATENATE("(",ROUND((H476/$H478)*100,1),")")</f>
        <v>(36.7)</v>
      </c>
      <c r="K476" s="302">
        <f>B481-B476</f>
        <v>11.475999999642511</v>
      </c>
      <c r="L476" s="302">
        <f>D481-D476</f>
        <v>1.3399999999980707</v>
      </c>
      <c r="M476" s="302">
        <f>F481-F476</f>
        <v>5.7129999988728741</v>
      </c>
      <c r="N476" s="302">
        <f>SUM(K476:M476)</f>
        <v>18.528999998513456</v>
      </c>
    </row>
    <row r="477" spans="1:14" x14ac:dyDescent="0.3">
      <c r="A477" s="282" t="s">
        <v>356</v>
      </c>
      <c r="B477" s="302">
        <f>'Ind T6'!Q564</f>
        <v>198.90200000297909</v>
      </c>
      <c r="C477" s="299" t="str">
        <f>CONCATENATE("(",ROUND((B477/$H478)*100,1),")")</f>
        <v>(20.2)</v>
      </c>
      <c r="D477" s="302">
        <f>'Ind T6'!R564</f>
        <v>182.59800000204893</v>
      </c>
      <c r="E477" s="299" t="str">
        <f>CONCATENATE("(",ROUND((D477/$H478)*100,1),")")</f>
        <v>(18.5)</v>
      </c>
      <c r="F477" s="302">
        <f>'Ind T6'!S564</f>
        <v>243.22699999954932</v>
      </c>
      <c r="G477" s="299" t="str">
        <f>CONCATENATE("(",ROUND((F477/$H478)*100,1),")")</f>
        <v>(24.6)</v>
      </c>
      <c r="H477" s="302">
        <f t="shared" ref="H477" si="355">SUM(B477,D477,F477)</f>
        <v>624.72700000457735</v>
      </c>
      <c r="I477" s="299" t="str">
        <f>CONCATENATE("(",ROUND((H477/$H478)*100,1),")")</f>
        <v>(63.3)</v>
      </c>
      <c r="K477" s="302">
        <f t="shared" ref="K477:K478" si="356">B482-B477</f>
        <v>-5.9450000029727335</v>
      </c>
      <c r="L477" s="302">
        <f t="shared" ref="L477:L478" si="357">D482-D477</f>
        <v>-4.0770000027034143</v>
      </c>
      <c r="M477" s="302">
        <f t="shared" ref="M477:M478" si="358">F482-F477</f>
        <v>-3.0719999972933181</v>
      </c>
      <c r="N477" s="302">
        <f t="shared" ref="N477:N478" si="359">SUM(K477:M477)</f>
        <v>-13.094000002969466</v>
      </c>
    </row>
    <row r="478" spans="1:14" x14ac:dyDescent="0.3">
      <c r="A478" s="282" t="s">
        <v>354</v>
      </c>
      <c r="B478" s="302">
        <f>SUM(B476:B477)</f>
        <v>392.14700000322875</v>
      </c>
      <c r="C478" s="299" t="str">
        <f>CONCATENATE("(",ROUND((B478/$H478)*100,1),")")</f>
        <v>(39.7)</v>
      </c>
      <c r="D478" s="302">
        <f>SUM(D476:D477)</f>
        <v>249.14600000208151</v>
      </c>
      <c r="E478" s="299" t="str">
        <f>CONCATENATE("(",ROUND((D478/$H478)*100,1),")")</f>
        <v>(25.2)</v>
      </c>
      <c r="F478" s="302">
        <f>SUM(F476:F477)</f>
        <v>345.43200000359138</v>
      </c>
      <c r="G478" s="299" t="str">
        <f>CONCATENATE("(",ROUND((F478/$H478)*100,1),")")</f>
        <v>(35)</v>
      </c>
      <c r="H478" s="302">
        <f>SUM(H476:H477)</f>
        <v>986.72500000890159</v>
      </c>
      <c r="I478" s="299" t="str">
        <f>CONCATENATE("(",ROUND((H478/$H478)*100,1),")")</f>
        <v>(100)</v>
      </c>
      <c r="K478" s="302">
        <f t="shared" si="356"/>
        <v>5.5309999966697774</v>
      </c>
      <c r="L478" s="302">
        <f t="shared" si="357"/>
        <v>-2.7370000027053436</v>
      </c>
      <c r="M478" s="302">
        <f t="shared" si="358"/>
        <v>2.6410000015795276</v>
      </c>
      <c r="N478" s="302">
        <f t="shared" si="359"/>
        <v>5.4349999955439614</v>
      </c>
    </row>
    <row r="479" spans="1:14" x14ac:dyDescent="0.3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3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3">
      <c r="A481" s="282" t="s">
        <v>355</v>
      </c>
      <c r="B481" s="302">
        <f>'Ind T6'!V565</f>
        <v>204.72099999989217</v>
      </c>
      <c r="C481" s="299" t="str">
        <f>CONCATENATE("(",ROUND((B481/$H483)*100,1),")")</f>
        <v>(20.6)</v>
      </c>
      <c r="D481" s="302">
        <f>'Ind T6'!W565</f>
        <v>67.888000000030644</v>
      </c>
      <c r="E481" s="299" t="str">
        <f>CONCATENATE("(",ROUND((D481/$H483)*100,1),")")</f>
        <v>(6.8)</v>
      </c>
      <c r="F481" s="302">
        <f>'Ind T6'!X565</f>
        <v>107.91800000291494</v>
      </c>
      <c r="G481" s="299" t="str">
        <f>CONCATENATE("(",ROUND((F481/$H483)*100,1),")")</f>
        <v>(10.9)</v>
      </c>
      <c r="H481" s="302">
        <f>SUM(B481,D481,F481)</f>
        <v>380.52700000283778</v>
      </c>
      <c r="I481" s="299" t="str">
        <f>CONCATENATE("(",ROUND((H481/$H483)*100,1),")")</f>
        <v>(38.4)</v>
      </c>
      <c r="K481" s="302">
        <f>B481-B471</f>
        <v>15.176000000234353</v>
      </c>
      <c r="L481" s="302">
        <f>D481-D471</f>
        <v>1.1039999999126593</v>
      </c>
      <c r="M481" s="302">
        <f>F481-F471</f>
        <v>7.9170000011820463</v>
      </c>
      <c r="N481" s="302">
        <f>SUM(K481:M481)</f>
        <v>24.197000001329059</v>
      </c>
    </row>
    <row r="482" spans="1:14" x14ac:dyDescent="0.3">
      <c r="A482" s="282" t="s">
        <v>356</v>
      </c>
      <c r="B482" s="302">
        <f>'Ind T6'!V564</f>
        <v>192.95700000000636</v>
      </c>
      <c r="C482" s="299" t="str">
        <f>CONCATENATE("(",ROUND((B482/$H483)*100,1),")")</f>
        <v>(19.4)</v>
      </c>
      <c r="D482" s="302">
        <f>'Ind T6'!W564</f>
        <v>178.52099999934552</v>
      </c>
      <c r="E482" s="299" t="str">
        <f>CONCATENATE("(",ROUND((D482/$H483)*100,1),")")</f>
        <v>(18)</v>
      </c>
      <c r="F482" s="302">
        <f>'Ind T6'!X564</f>
        <v>240.155000002256</v>
      </c>
      <c r="G482" s="299" t="str">
        <f>CONCATENATE("(",ROUND((F482/$H483)*100,1),")")</f>
        <v>(24.2)</v>
      </c>
      <c r="H482" s="302">
        <f t="shared" ref="H482" si="360">SUM(B482,D482,F482)</f>
        <v>611.63300000160791</v>
      </c>
      <c r="I482" s="299" t="str">
        <f>CONCATENATE("(",ROUND((H482/$H483)*100,1),")")</f>
        <v>(61.6)</v>
      </c>
      <c r="K482" s="302">
        <f t="shared" ref="K482:K483" si="361">B482-B472</f>
        <v>-12.60399999908617</v>
      </c>
      <c r="L482" s="302">
        <f t="shared" ref="L482:L483" si="362">D482-D472</f>
        <v>-9.5860000020791176</v>
      </c>
      <c r="M482" s="302">
        <f t="shared" ref="M482:M483" si="363">F482-F472</f>
        <v>-9.8449999924647216</v>
      </c>
      <c r="N482" s="302">
        <f t="shared" ref="N482:N483" si="364">SUM(K482:M482)</f>
        <v>-32.034999993630009</v>
      </c>
    </row>
    <row r="483" spans="1:14" x14ac:dyDescent="0.3">
      <c r="A483" s="282" t="s">
        <v>354</v>
      </c>
      <c r="B483" s="302">
        <f>SUM(B481:B482)</f>
        <v>397.67799999989853</v>
      </c>
      <c r="C483" s="299" t="str">
        <f>CONCATENATE("(",ROUND((B483/$H483)*100,1),")")</f>
        <v>(40.1)</v>
      </c>
      <c r="D483" s="302">
        <f>SUM(D481:D482)</f>
        <v>246.40899999937616</v>
      </c>
      <c r="E483" s="299" t="str">
        <f>CONCATENATE("(",ROUND((D483/$H483)*100,1),")")</f>
        <v>(24.8)</v>
      </c>
      <c r="F483" s="302">
        <f>SUM(F481:F482)</f>
        <v>348.07300000517091</v>
      </c>
      <c r="G483" s="299" t="str">
        <f>CONCATENATE("(",ROUND((F483/$H483)*100,1),")")</f>
        <v>(35.1)</v>
      </c>
      <c r="H483" s="302">
        <f>SUM(H481:H482)</f>
        <v>992.16000000444569</v>
      </c>
      <c r="I483" s="299" t="str">
        <f>CONCATENATE("(",ROUND((H483/$H483)*100,1),")")</f>
        <v>(100)</v>
      </c>
      <c r="K483" s="302">
        <f t="shared" si="361"/>
        <v>2.5720000011481829</v>
      </c>
      <c r="L483" s="302">
        <f t="shared" si="362"/>
        <v>-8.4820000021664725</v>
      </c>
      <c r="M483" s="302">
        <f t="shared" si="363"/>
        <v>-1.9279999912827179</v>
      </c>
      <c r="N483" s="302">
        <f t="shared" si="364"/>
        <v>-7.8379999923010075</v>
      </c>
    </row>
    <row r="484" spans="1:14" x14ac:dyDescent="0.3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3">
      <c r="A488" s="181"/>
      <c r="B488" s="285"/>
      <c r="C488" s="181"/>
      <c r="D488" s="285"/>
      <c r="E488" s="181"/>
      <c r="F488" s="285"/>
      <c r="G488" s="181"/>
      <c r="I488" s="181"/>
    </row>
    <row r="489" spans="1:14" x14ac:dyDescent="0.3">
      <c r="N489" s="287"/>
    </row>
    <row r="490" spans="1:14" x14ac:dyDescent="0.3">
      <c r="A490" s="181"/>
      <c r="B490" s="370"/>
      <c r="C490" s="370"/>
      <c r="D490" s="370"/>
      <c r="E490" s="370"/>
      <c r="F490" s="370"/>
      <c r="G490" s="370"/>
      <c r="H490" s="370"/>
      <c r="I490" s="370"/>
      <c r="J490" s="181"/>
      <c r="K490" s="287"/>
      <c r="L490" s="287"/>
      <c r="M490" s="287"/>
      <c r="N490" s="287"/>
    </row>
    <row r="491" spans="1:14" x14ac:dyDescent="0.3">
      <c r="A491" s="292"/>
      <c r="B491" s="287"/>
      <c r="C491" s="19"/>
      <c r="D491" s="287"/>
      <c r="E491" s="19"/>
      <c r="F491" s="287"/>
      <c r="G491" s="19"/>
      <c r="H491" s="287"/>
      <c r="I491" s="19"/>
      <c r="J491" s="181"/>
      <c r="K491" s="286"/>
      <c r="L491" s="285"/>
      <c r="M491" s="285"/>
    </row>
    <row r="492" spans="1:14" x14ac:dyDescent="0.3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3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3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3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3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3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3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3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3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3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3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3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3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3">
      <c r="A509" s="181"/>
      <c r="B509" s="285"/>
      <c r="C509" s="181"/>
      <c r="D509" s="285"/>
      <c r="E509" s="181"/>
      <c r="F509" s="285"/>
      <c r="G509" s="181"/>
      <c r="I509" s="181"/>
    </row>
    <row r="510" spans="1:14" x14ac:dyDescent="0.3">
      <c r="N510" s="287"/>
    </row>
    <row r="511" spans="1:14" x14ac:dyDescent="0.3">
      <c r="A511" s="181"/>
      <c r="B511" s="370"/>
      <c r="C511" s="370"/>
      <c r="D511" s="370"/>
      <c r="E511" s="370"/>
      <c r="F511" s="370"/>
      <c r="G511" s="370"/>
      <c r="H511" s="370"/>
      <c r="I511" s="370"/>
      <c r="J511" s="181"/>
      <c r="K511" s="287"/>
      <c r="L511" s="287"/>
      <c r="M511" s="287"/>
      <c r="N511" s="287"/>
    </row>
    <row r="512" spans="1:14" x14ac:dyDescent="0.3">
      <c r="A512" s="292"/>
      <c r="B512" s="287"/>
      <c r="C512" s="19"/>
      <c r="D512" s="287"/>
      <c r="E512" s="19"/>
      <c r="F512" s="287"/>
      <c r="G512" s="19"/>
      <c r="H512" s="287"/>
      <c r="I512" s="19"/>
      <c r="J512" s="181"/>
      <c r="K512" s="286"/>
      <c r="L512" s="285"/>
      <c r="M512" s="285"/>
    </row>
    <row r="513" spans="1:14" x14ac:dyDescent="0.3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3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3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3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3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3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3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3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3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3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3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3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3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3">
      <c r="A530" s="181"/>
      <c r="B530" s="285"/>
      <c r="C530" s="181"/>
      <c r="D530" s="285"/>
      <c r="E530" s="181"/>
      <c r="F530" s="285"/>
      <c r="G530" s="181"/>
      <c r="H530" s="285"/>
      <c r="I530" s="181"/>
    </row>
    <row r="531" spans="1:14" x14ac:dyDescent="0.3">
      <c r="N531" s="287"/>
    </row>
    <row r="532" spans="1:14" x14ac:dyDescent="0.3">
      <c r="A532" s="181"/>
      <c r="B532" s="285"/>
      <c r="C532" s="181"/>
      <c r="D532" s="285"/>
      <c r="E532" s="181"/>
      <c r="F532" s="285"/>
      <c r="G532" s="181"/>
      <c r="H532" s="285"/>
      <c r="I532" s="181"/>
      <c r="J532" s="181"/>
      <c r="K532" s="287"/>
      <c r="L532" s="287"/>
      <c r="M532" s="287"/>
      <c r="N532" s="287"/>
    </row>
    <row r="533" spans="1:14" x14ac:dyDescent="0.3">
      <c r="A533" s="292"/>
      <c r="B533" s="287"/>
      <c r="C533" s="19"/>
      <c r="D533" s="287"/>
      <c r="E533" s="19"/>
      <c r="F533" s="287"/>
      <c r="G533" s="19"/>
      <c r="H533" s="287"/>
      <c r="I533" s="19"/>
      <c r="J533" s="181"/>
      <c r="K533" s="286"/>
      <c r="L533" s="285"/>
      <c r="M533" s="285"/>
    </row>
    <row r="534" spans="1:14" x14ac:dyDescent="0.3">
      <c r="C534" s="284"/>
      <c r="E534" s="284"/>
      <c r="G534" s="284"/>
      <c r="I534" s="284"/>
    </row>
    <row r="535" spans="1:14" x14ac:dyDescent="0.3">
      <c r="C535" s="284"/>
      <c r="E535" s="284"/>
      <c r="G535" s="284"/>
      <c r="I535" s="284"/>
    </row>
    <row r="536" spans="1:14" x14ac:dyDescent="0.3">
      <c r="C536" s="284"/>
      <c r="E536" s="284"/>
      <c r="G536" s="284"/>
      <c r="I536" s="284"/>
    </row>
    <row r="537" spans="1:14" x14ac:dyDescent="0.3">
      <c r="C537" s="284"/>
      <c r="E537" s="284"/>
      <c r="G537" s="284"/>
      <c r="I537" s="284"/>
    </row>
    <row r="538" spans="1:14" x14ac:dyDescent="0.3">
      <c r="A538" s="292"/>
      <c r="C538" s="284"/>
      <c r="E538" s="284"/>
      <c r="G538" s="284"/>
      <c r="I538" s="284"/>
      <c r="K538" s="285"/>
    </row>
    <row r="539" spans="1:14" x14ac:dyDescent="0.3">
      <c r="C539" s="284"/>
      <c r="E539" s="284"/>
      <c r="G539" s="284"/>
      <c r="I539" s="284"/>
    </row>
    <row r="540" spans="1:14" x14ac:dyDescent="0.3">
      <c r="C540" s="284"/>
      <c r="E540" s="284"/>
      <c r="G540" s="284"/>
      <c r="I540" s="284"/>
    </row>
    <row r="541" spans="1:14" x14ac:dyDescent="0.3">
      <c r="C541" s="284"/>
      <c r="E541" s="284"/>
      <c r="G541" s="284"/>
      <c r="I541" s="284"/>
    </row>
    <row r="542" spans="1:14" x14ac:dyDescent="0.3">
      <c r="C542" s="284"/>
      <c r="E542" s="284"/>
      <c r="G542" s="284"/>
      <c r="I542" s="284"/>
    </row>
    <row r="543" spans="1:14" x14ac:dyDescent="0.3">
      <c r="A543" s="292"/>
      <c r="C543" s="284"/>
      <c r="E543" s="284"/>
      <c r="G543" s="284"/>
      <c r="I543" s="284"/>
      <c r="K543" s="285"/>
    </row>
    <row r="544" spans="1:14" x14ac:dyDescent="0.3">
      <c r="C544" s="284"/>
      <c r="E544" s="284"/>
      <c r="G544" s="284"/>
      <c r="I544" s="284"/>
    </row>
    <row r="545" spans="1:9" x14ac:dyDescent="0.3">
      <c r="C545" s="284"/>
      <c r="E545" s="284"/>
      <c r="G545" s="284"/>
      <c r="I545" s="284"/>
    </row>
    <row r="546" spans="1:9" x14ac:dyDescent="0.3">
      <c r="C546" s="284"/>
      <c r="E546" s="284"/>
      <c r="G546" s="284"/>
      <c r="I546" s="284"/>
    </row>
    <row r="557" spans="1:9" x14ac:dyDescent="0.3">
      <c r="C557" s="181"/>
      <c r="E557" s="181"/>
      <c r="G557" s="181"/>
      <c r="I557" s="181"/>
    </row>
    <row r="558" spans="1:9" x14ac:dyDescent="0.3">
      <c r="A558" s="181"/>
      <c r="B558" s="285"/>
      <c r="C558" s="181"/>
      <c r="D558" s="285"/>
      <c r="E558" s="181"/>
      <c r="F558" s="285"/>
      <c r="G558" s="181"/>
      <c r="H558" s="285"/>
      <c r="I558" s="181"/>
    </row>
    <row r="559" spans="1:9" x14ac:dyDescent="0.3">
      <c r="A559" s="181"/>
      <c r="B559" s="285"/>
      <c r="C559" s="181"/>
      <c r="D559" s="285"/>
      <c r="E559" s="181"/>
      <c r="F559" s="285"/>
      <c r="G559" s="181"/>
      <c r="H559" s="285"/>
      <c r="I559" s="181"/>
    </row>
    <row r="560" spans="1:9" x14ac:dyDescent="0.3">
      <c r="A560" s="181"/>
      <c r="B560" s="285"/>
      <c r="C560" s="181"/>
      <c r="D560" s="285"/>
      <c r="E560" s="181"/>
      <c r="F560" s="285"/>
      <c r="G560" s="181"/>
      <c r="H560" s="285"/>
      <c r="I560" s="181"/>
    </row>
    <row r="561" spans="1:9" x14ac:dyDescent="0.3">
      <c r="A561" s="181"/>
      <c r="B561" s="285"/>
      <c r="C561" s="181"/>
      <c r="D561" s="285"/>
      <c r="E561" s="181"/>
      <c r="F561" s="285"/>
      <c r="G561" s="181"/>
      <c r="H561" s="285"/>
      <c r="I561" s="181"/>
    </row>
    <row r="562" spans="1:9" x14ac:dyDescent="0.3">
      <c r="A562" s="181"/>
      <c r="B562" s="285"/>
      <c r="C562" s="181"/>
      <c r="D562" s="285"/>
      <c r="E562" s="181"/>
      <c r="F562" s="285"/>
      <c r="G562" s="181"/>
      <c r="H562" s="285"/>
      <c r="I562" s="181"/>
    </row>
    <row r="563" spans="1:9" x14ac:dyDescent="0.3">
      <c r="A563" s="181"/>
      <c r="B563" s="285"/>
      <c r="C563" s="181"/>
      <c r="D563" s="285"/>
      <c r="E563" s="181"/>
      <c r="F563" s="285"/>
      <c r="G563" s="181"/>
      <c r="H563" s="285"/>
      <c r="I563" s="181"/>
    </row>
    <row r="564" spans="1:9" x14ac:dyDescent="0.3">
      <c r="A564" s="181"/>
      <c r="B564" s="285"/>
      <c r="C564" s="181"/>
      <c r="D564" s="285"/>
      <c r="E564" s="181"/>
      <c r="F564" s="285"/>
      <c r="G564" s="181"/>
      <c r="H564" s="285"/>
      <c r="I564" s="181"/>
    </row>
    <row r="565" spans="1:9" x14ac:dyDescent="0.3">
      <c r="A565" s="181"/>
      <c r="B565" s="285"/>
      <c r="C565" s="181"/>
      <c r="D565" s="285"/>
      <c r="E565" s="181"/>
      <c r="F565" s="285"/>
      <c r="G565" s="181"/>
      <c r="H565" s="285"/>
      <c r="I565" s="181"/>
    </row>
    <row r="566" spans="1:9" x14ac:dyDescent="0.3">
      <c r="A566" s="181"/>
      <c r="B566" s="285"/>
      <c r="C566" s="181"/>
      <c r="D566" s="285"/>
      <c r="E566" s="181"/>
      <c r="F566" s="285"/>
      <c r="G566" s="181"/>
      <c r="H566" s="285"/>
      <c r="I566" s="181"/>
    </row>
    <row r="567" spans="1:9" x14ac:dyDescent="0.3">
      <c r="A567" s="181"/>
      <c r="B567" s="285"/>
      <c r="C567" s="181"/>
      <c r="D567" s="285"/>
      <c r="E567" s="181"/>
      <c r="F567" s="285"/>
      <c r="G567" s="181"/>
      <c r="H567" s="285"/>
      <c r="I567" s="181"/>
    </row>
    <row r="568" spans="1:9" x14ac:dyDescent="0.3">
      <c r="A568" s="181"/>
      <c r="B568" s="285"/>
      <c r="C568" s="181"/>
      <c r="D568" s="285"/>
      <c r="E568" s="181"/>
      <c r="F568" s="285"/>
      <c r="G568" s="181"/>
      <c r="H568" s="285"/>
      <c r="I568" s="181"/>
    </row>
    <row r="569" spans="1:9" x14ac:dyDescent="0.3">
      <c r="A569" s="181"/>
      <c r="B569" s="285"/>
      <c r="C569" s="181"/>
      <c r="D569" s="285"/>
      <c r="E569" s="181"/>
      <c r="F569" s="285"/>
      <c r="G569" s="181"/>
      <c r="H569" s="285"/>
      <c r="I569" s="181"/>
    </row>
    <row r="570" spans="1:9" x14ac:dyDescent="0.3">
      <c r="A570" s="181"/>
      <c r="B570" s="285"/>
      <c r="C570" s="181"/>
      <c r="D570" s="285"/>
      <c r="E570" s="181"/>
      <c r="F570" s="285"/>
      <c r="G570" s="181"/>
      <c r="H570" s="285"/>
      <c r="I570" s="181"/>
    </row>
    <row r="571" spans="1:9" x14ac:dyDescent="0.3">
      <c r="A571" s="181"/>
      <c r="B571" s="285"/>
      <c r="C571" s="181"/>
      <c r="D571" s="285"/>
      <c r="E571" s="181"/>
      <c r="F571" s="285"/>
      <c r="G571" s="181"/>
      <c r="H571" s="285"/>
      <c r="I571" s="181"/>
    </row>
    <row r="572" spans="1:9" x14ac:dyDescent="0.3">
      <c r="A572" s="181"/>
      <c r="B572" s="285"/>
      <c r="C572" s="181"/>
      <c r="D572" s="285"/>
      <c r="E572" s="181"/>
      <c r="F572" s="285"/>
      <c r="G572" s="181"/>
      <c r="H572" s="285"/>
      <c r="I572" s="181"/>
    </row>
    <row r="573" spans="1:9" x14ac:dyDescent="0.3">
      <c r="A573" s="181"/>
      <c r="B573" s="285"/>
      <c r="C573" s="181"/>
      <c r="D573" s="285"/>
      <c r="E573" s="181"/>
      <c r="F573" s="285"/>
      <c r="G573" s="181"/>
      <c r="H573" s="285"/>
      <c r="I573" s="181"/>
    </row>
    <row r="574" spans="1:9" x14ac:dyDescent="0.3">
      <c r="A574" s="181"/>
      <c r="B574" s="285"/>
      <c r="C574" s="181"/>
      <c r="D574" s="285"/>
      <c r="E574" s="181"/>
      <c r="F574" s="285"/>
      <c r="G574" s="181"/>
      <c r="H574" s="285"/>
      <c r="I574" s="181"/>
    </row>
    <row r="575" spans="1:9" x14ac:dyDescent="0.3">
      <c r="A575" s="181"/>
      <c r="B575" s="285"/>
      <c r="C575" s="181"/>
      <c r="D575" s="285"/>
      <c r="E575" s="181"/>
      <c r="F575" s="285"/>
      <c r="G575" s="181"/>
      <c r="H575" s="285"/>
      <c r="I575" s="181"/>
    </row>
    <row r="576" spans="1:9" x14ac:dyDescent="0.3">
      <c r="A576" s="181"/>
      <c r="B576" s="285"/>
      <c r="C576" s="181"/>
      <c r="D576" s="285"/>
      <c r="E576" s="181"/>
      <c r="F576" s="285"/>
      <c r="G576" s="181"/>
      <c r="H576" s="285"/>
      <c r="I576" s="181"/>
    </row>
    <row r="577" spans="1:8" x14ac:dyDescent="0.3">
      <c r="A577" s="181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/>
  <dimension ref="A1:Y1061"/>
  <sheetViews>
    <sheetView showGridLines="0" zoomScale="85" zoomScaleNormal="85" zoomScaleSheetLayoutView="85" workbookViewId="0"/>
  </sheetViews>
  <sheetFormatPr defaultColWidth="6.3046875" defaultRowHeight="12.9" x14ac:dyDescent="0.35"/>
  <cols>
    <col min="1" max="1" width="40.69140625" style="260" customWidth="1"/>
    <col min="2" max="2" width="6.69140625" style="263" customWidth="1"/>
    <col min="3" max="3" width="6.69140625" style="314" customWidth="1"/>
    <col min="4" max="25" width="6.69140625" style="263" customWidth="1"/>
    <col min="26" max="26" width="7.53515625" style="260" customWidth="1"/>
    <col min="27" max="266" width="6.3046875" style="260"/>
    <col min="267" max="267" width="43.53515625" style="260" customWidth="1"/>
    <col min="268" max="268" width="7.53515625" style="260" customWidth="1"/>
    <col min="269" max="270" width="8.3828125" style="260" customWidth="1"/>
    <col min="271" max="271" width="6.69140625" style="260" customWidth="1"/>
    <col min="272" max="273" width="7.53515625" style="260" customWidth="1"/>
    <col min="274" max="275" width="8.3828125" style="260" customWidth="1"/>
    <col min="276" max="276" width="6.69140625" style="260" customWidth="1"/>
    <col min="277" max="278" width="7.53515625" style="260" customWidth="1"/>
    <col min="279" max="280" width="8.3828125" style="260" customWidth="1"/>
    <col min="281" max="281" width="6.69140625" style="260" customWidth="1"/>
    <col min="282" max="282" width="7.53515625" style="260" customWidth="1"/>
    <col min="283" max="522" width="6.3046875" style="260"/>
    <col min="523" max="523" width="43.53515625" style="260" customWidth="1"/>
    <col min="524" max="524" width="7.53515625" style="260" customWidth="1"/>
    <col min="525" max="526" width="8.3828125" style="260" customWidth="1"/>
    <col min="527" max="527" width="6.69140625" style="260" customWidth="1"/>
    <col min="528" max="529" width="7.53515625" style="260" customWidth="1"/>
    <col min="530" max="531" width="8.3828125" style="260" customWidth="1"/>
    <col min="532" max="532" width="6.69140625" style="260" customWidth="1"/>
    <col min="533" max="534" width="7.53515625" style="260" customWidth="1"/>
    <col min="535" max="536" width="8.3828125" style="260" customWidth="1"/>
    <col min="537" max="537" width="6.69140625" style="260" customWidth="1"/>
    <col min="538" max="538" width="7.53515625" style="260" customWidth="1"/>
    <col min="539" max="778" width="6.3046875" style="260"/>
    <col min="779" max="779" width="43.53515625" style="260" customWidth="1"/>
    <col min="780" max="780" width="7.53515625" style="260" customWidth="1"/>
    <col min="781" max="782" width="8.3828125" style="260" customWidth="1"/>
    <col min="783" max="783" width="6.69140625" style="260" customWidth="1"/>
    <col min="784" max="785" width="7.53515625" style="260" customWidth="1"/>
    <col min="786" max="787" width="8.3828125" style="260" customWidth="1"/>
    <col min="788" max="788" width="6.69140625" style="260" customWidth="1"/>
    <col min="789" max="790" width="7.53515625" style="260" customWidth="1"/>
    <col min="791" max="792" width="8.3828125" style="260" customWidth="1"/>
    <col min="793" max="793" width="6.69140625" style="260" customWidth="1"/>
    <col min="794" max="794" width="7.53515625" style="260" customWidth="1"/>
    <col min="795" max="1034" width="6.3046875" style="260"/>
    <col min="1035" max="1035" width="43.53515625" style="260" customWidth="1"/>
    <col min="1036" max="1036" width="7.53515625" style="260" customWidth="1"/>
    <col min="1037" max="1038" width="8.3828125" style="260" customWidth="1"/>
    <col min="1039" max="1039" width="6.69140625" style="260" customWidth="1"/>
    <col min="1040" max="1041" width="7.53515625" style="260" customWidth="1"/>
    <col min="1042" max="1043" width="8.3828125" style="260" customWidth="1"/>
    <col min="1044" max="1044" width="6.69140625" style="260" customWidth="1"/>
    <col min="1045" max="1046" width="7.53515625" style="260" customWidth="1"/>
    <col min="1047" max="1048" width="8.3828125" style="260" customWidth="1"/>
    <col min="1049" max="1049" width="6.69140625" style="260" customWidth="1"/>
    <col min="1050" max="1050" width="7.53515625" style="260" customWidth="1"/>
    <col min="1051" max="1290" width="6.3046875" style="260"/>
    <col min="1291" max="1291" width="43.53515625" style="260" customWidth="1"/>
    <col min="1292" max="1292" width="7.53515625" style="260" customWidth="1"/>
    <col min="1293" max="1294" width="8.3828125" style="260" customWidth="1"/>
    <col min="1295" max="1295" width="6.69140625" style="260" customWidth="1"/>
    <col min="1296" max="1297" width="7.53515625" style="260" customWidth="1"/>
    <col min="1298" max="1299" width="8.3828125" style="260" customWidth="1"/>
    <col min="1300" max="1300" width="6.69140625" style="260" customWidth="1"/>
    <col min="1301" max="1302" width="7.53515625" style="260" customWidth="1"/>
    <col min="1303" max="1304" width="8.3828125" style="260" customWidth="1"/>
    <col min="1305" max="1305" width="6.69140625" style="260" customWidth="1"/>
    <col min="1306" max="1306" width="7.53515625" style="260" customWidth="1"/>
    <col min="1307" max="1546" width="6.3046875" style="260"/>
    <col min="1547" max="1547" width="43.53515625" style="260" customWidth="1"/>
    <col min="1548" max="1548" width="7.53515625" style="260" customWidth="1"/>
    <col min="1549" max="1550" width="8.3828125" style="260" customWidth="1"/>
    <col min="1551" max="1551" width="6.69140625" style="260" customWidth="1"/>
    <col min="1552" max="1553" width="7.53515625" style="260" customWidth="1"/>
    <col min="1554" max="1555" width="8.3828125" style="260" customWidth="1"/>
    <col min="1556" max="1556" width="6.69140625" style="260" customWidth="1"/>
    <col min="1557" max="1558" width="7.53515625" style="260" customWidth="1"/>
    <col min="1559" max="1560" width="8.3828125" style="260" customWidth="1"/>
    <col min="1561" max="1561" width="6.69140625" style="260" customWidth="1"/>
    <col min="1562" max="1562" width="7.53515625" style="260" customWidth="1"/>
    <col min="1563" max="1802" width="6.3046875" style="260"/>
    <col min="1803" max="1803" width="43.53515625" style="260" customWidth="1"/>
    <col min="1804" max="1804" width="7.53515625" style="260" customWidth="1"/>
    <col min="1805" max="1806" width="8.3828125" style="260" customWidth="1"/>
    <col min="1807" max="1807" width="6.69140625" style="260" customWidth="1"/>
    <col min="1808" max="1809" width="7.53515625" style="260" customWidth="1"/>
    <col min="1810" max="1811" width="8.3828125" style="260" customWidth="1"/>
    <col min="1812" max="1812" width="6.69140625" style="260" customWidth="1"/>
    <col min="1813" max="1814" width="7.53515625" style="260" customWidth="1"/>
    <col min="1815" max="1816" width="8.3828125" style="260" customWidth="1"/>
    <col min="1817" max="1817" width="6.69140625" style="260" customWidth="1"/>
    <col min="1818" max="1818" width="7.53515625" style="260" customWidth="1"/>
    <col min="1819" max="2058" width="6.3046875" style="260"/>
    <col min="2059" max="2059" width="43.53515625" style="260" customWidth="1"/>
    <col min="2060" max="2060" width="7.53515625" style="260" customWidth="1"/>
    <col min="2061" max="2062" width="8.3828125" style="260" customWidth="1"/>
    <col min="2063" max="2063" width="6.69140625" style="260" customWidth="1"/>
    <col min="2064" max="2065" width="7.53515625" style="260" customWidth="1"/>
    <col min="2066" max="2067" width="8.3828125" style="260" customWidth="1"/>
    <col min="2068" max="2068" width="6.69140625" style="260" customWidth="1"/>
    <col min="2069" max="2070" width="7.53515625" style="260" customWidth="1"/>
    <col min="2071" max="2072" width="8.3828125" style="260" customWidth="1"/>
    <col min="2073" max="2073" width="6.69140625" style="260" customWidth="1"/>
    <col min="2074" max="2074" width="7.53515625" style="260" customWidth="1"/>
    <col min="2075" max="2314" width="6.3046875" style="260"/>
    <col min="2315" max="2315" width="43.53515625" style="260" customWidth="1"/>
    <col min="2316" max="2316" width="7.53515625" style="260" customWidth="1"/>
    <col min="2317" max="2318" width="8.3828125" style="260" customWidth="1"/>
    <col min="2319" max="2319" width="6.69140625" style="260" customWidth="1"/>
    <col min="2320" max="2321" width="7.53515625" style="260" customWidth="1"/>
    <col min="2322" max="2323" width="8.3828125" style="260" customWidth="1"/>
    <col min="2324" max="2324" width="6.69140625" style="260" customWidth="1"/>
    <col min="2325" max="2326" width="7.53515625" style="260" customWidth="1"/>
    <col min="2327" max="2328" width="8.3828125" style="260" customWidth="1"/>
    <col min="2329" max="2329" width="6.69140625" style="260" customWidth="1"/>
    <col min="2330" max="2330" width="7.53515625" style="260" customWidth="1"/>
    <col min="2331" max="2570" width="6.3046875" style="260"/>
    <col min="2571" max="2571" width="43.53515625" style="260" customWidth="1"/>
    <col min="2572" max="2572" width="7.53515625" style="260" customWidth="1"/>
    <col min="2573" max="2574" width="8.3828125" style="260" customWidth="1"/>
    <col min="2575" max="2575" width="6.69140625" style="260" customWidth="1"/>
    <col min="2576" max="2577" width="7.53515625" style="260" customWidth="1"/>
    <col min="2578" max="2579" width="8.3828125" style="260" customWidth="1"/>
    <col min="2580" max="2580" width="6.69140625" style="260" customWidth="1"/>
    <col min="2581" max="2582" width="7.53515625" style="260" customWidth="1"/>
    <col min="2583" max="2584" width="8.3828125" style="260" customWidth="1"/>
    <col min="2585" max="2585" width="6.69140625" style="260" customWidth="1"/>
    <col min="2586" max="2586" width="7.53515625" style="260" customWidth="1"/>
    <col min="2587" max="2826" width="6.3046875" style="260"/>
    <col min="2827" max="2827" width="43.53515625" style="260" customWidth="1"/>
    <col min="2828" max="2828" width="7.53515625" style="260" customWidth="1"/>
    <col min="2829" max="2830" width="8.3828125" style="260" customWidth="1"/>
    <col min="2831" max="2831" width="6.69140625" style="260" customWidth="1"/>
    <col min="2832" max="2833" width="7.53515625" style="260" customWidth="1"/>
    <col min="2834" max="2835" width="8.3828125" style="260" customWidth="1"/>
    <col min="2836" max="2836" width="6.69140625" style="260" customWidth="1"/>
    <col min="2837" max="2838" width="7.53515625" style="260" customWidth="1"/>
    <col min="2839" max="2840" width="8.3828125" style="260" customWidth="1"/>
    <col min="2841" max="2841" width="6.69140625" style="260" customWidth="1"/>
    <col min="2842" max="2842" width="7.53515625" style="260" customWidth="1"/>
    <col min="2843" max="3082" width="6.3046875" style="260"/>
    <col min="3083" max="3083" width="43.53515625" style="260" customWidth="1"/>
    <col min="3084" max="3084" width="7.53515625" style="260" customWidth="1"/>
    <col min="3085" max="3086" width="8.3828125" style="260" customWidth="1"/>
    <col min="3087" max="3087" width="6.69140625" style="260" customWidth="1"/>
    <col min="3088" max="3089" width="7.53515625" style="260" customWidth="1"/>
    <col min="3090" max="3091" width="8.3828125" style="260" customWidth="1"/>
    <col min="3092" max="3092" width="6.69140625" style="260" customWidth="1"/>
    <col min="3093" max="3094" width="7.53515625" style="260" customWidth="1"/>
    <col min="3095" max="3096" width="8.3828125" style="260" customWidth="1"/>
    <col min="3097" max="3097" width="6.69140625" style="260" customWidth="1"/>
    <col min="3098" max="3098" width="7.53515625" style="260" customWidth="1"/>
    <col min="3099" max="3338" width="6.3046875" style="260"/>
    <col min="3339" max="3339" width="43.53515625" style="260" customWidth="1"/>
    <col min="3340" max="3340" width="7.53515625" style="260" customWidth="1"/>
    <col min="3341" max="3342" width="8.3828125" style="260" customWidth="1"/>
    <col min="3343" max="3343" width="6.69140625" style="260" customWidth="1"/>
    <col min="3344" max="3345" width="7.53515625" style="260" customWidth="1"/>
    <col min="3346" max="3347" width="8.3828125" style="260" customWidth="1"/>
    <col min="3348" max="3348" width="6.69140625" style="260" customWidth="1"/>
    <col min="3349" max="3350" width="7.53515625" style="260" customWidth="1"/>
    <col min="3351" max="3352" width="8.3828125" style="260" customWidth="1"/>
    <col min="3353" max="3353" width="6.69140625" style="260" customWidth="1"/>
    <col min="3354" max="3354" width="7.53515625" style="260" customWidth="1"/>
    <col min="3355" max="3594" width="6.3046875" style="260"/>
    <col min="3595" max="3595" width="43.53515625" style="260" customWidth="1"/>
    <col min="3596" max="3596" width="7.53515625" style="260" customWidth="1"/>
    <col min="3597" max="3598" width="8.3828125" style="260" customWidth="1"/>
    <col min="3599" max="3599" width="6.69140625" style="260" customWidth="1"/>
    <col min="3600" max="3601" width="7.53515625" style="260" customWidth="1"/>
    <col min="3602" max="3603" width="8.3828125" style="260" customWidth="1"/>
    <col min="3604" max="3604" width="6.69140625" style="260" customWidth="1"/>
    <col min="3605" max="3606" width="7.53515625" style="260" customWidth="1"/>
    <col min="3607" max="3608" width="8.3828125" style="260" customWidth="1"/>
    <col min="3609" max="3609" width="6.69140625" style="260" customWidth="1"/>
    <col min="3610" max="3610" width="7.53515625" style="260" customWidth="1"/>
    <col min="3611" max="3850" width="6.3046875" style="260"/>
    <col min="3851" max="3851" width="43.53515625" style="260" customWidth="1"/>
    <col min="3852" max="3852" width="7.53515625" style="260" customWidth="1"/>
    <col min="3853" max="3854" width="8.3828125" style="260" customWidth="1"/>
    <col min="3855" max="3855" width="6.69140625" style="260" customWidth="1"/>
    <col min="3856" max="3857" width="7.53515625" style="260" customWidth="1"/>
    <col min="3858" max="3859" width="8.3828125" style="260" customWidth="1"/>
    <col min="3860" max="3860" width="6.69140625" style="260" customWidth="1"/>
    <col min="3861" max="3862" width="7.53515625" style="260" customWidth="1"/>
    <col min="3863" max="3864" width="8.3828125" style="260" customWidth="1"/>
    <col min="3865" max="3865" width="6.69140625" style="260" customWidth="1"/>
    <col min="3866" max="3866" width="7.53515625" style="260" customWidth="1"/>
    <col min="3867" max="4106" width="6.3046875" style="260"/>
    <col min="4107" max="4107" width="43.53515625" style="260" customWidth="1"/>
    <col min="4108" max="4108" width="7.53515625" style="260" customWidth="1"/>
    <col min="4109" max="4110" width="8.3828125" style="260" customWidth="1"/>
    <col min="4111" max="4111" width="6.69140625" style="260" customWidth="1"/>
    <col min="4112" max="4113" width="7.53515625" style="260" customWidth="1"/>
    <col min="4114" max="4115" width="8.3828125" style="260" customWidth="1"/>
    <col min="4116" max="4116" width="6.69140625" style="260" customWidth="1"/>
    <col min="4117" max="4118" width="7.53515625" style="260" customWidth="1"/>
    <col min="4119" max="4120" width="8.3828125" style="260" customWidth="1"/>
    <col min="4121" max="4121" width="6.69140625" style="260" customWidth="1"/>
    <col min="4122" max="4122" width="7.53515625" style="260" customWidth="1"/>
    <col min="4123" max="4362" width="6.3046875" style="260"/>
    <col min="4363" max="4363" width="43.53515625" style="260" customWidth="1"/>
    <col min="4364" max="4364" width="7.53515625" style="260" customWidth="1"/>
    <col min="4365" max="4366" width="8.3828125" style="260" customWidth="1"/>
    <col min="4367" max="4367" width="6.69140625" style="260" customWidth="1"/>
    <col min="4368" max="4369" width="7.53515625" style="260" customWidth="1"/>
    <col min="4370" max="4371" width="8.3828125" style="260" customWidth="1"/>
    <col min="4372" max="4372" width="6.69140625" style="260" customWidth="1"/>
    <col min="4373" max="4374" width="7.53515625" style="260" customWidth="1"/>
    <col min="4375" max="4376" width="8.3828125" style="260" customWidth="1"/>
    <col min="4377" max="4377" width="6.69140625" style="260" customWidth="1"/>
    <col min="4378" max="4378" width="7.53515625" style="260" customWidth="1"/>
    <col min="4379" max="4618" width="6.3046875" style="260"/>
    <col min="4619" max="4619" width="43.53515625" style="260" customWidth="1"/>
    <col min="4620" max="4620" width="7.53515625" style="260" customWidth="1"/>
    <col min="4621" max="4622" width="8.3828125" style="260" customWidth="1"/>
    <col min="4623" max="4623" width="6.69140625" style="260" customWidth="1"/>
    <col min="4624" max="4625" width="7.53515625" style="260" customWidth="1"/>
    <col min="4626" max="4627" width="8.3828125" style="260" customWidth="1"/>
    <col min="4628" max="4628" width="6.69140625" style="260" customWidth="1"/>
    <col min="4629" max="4630" width="7.53515625" style="260" customWidth="1"/>
    <col min="4631" max="4632" width="8.3828125" style="260" customWidth="1"/>
    <col min="4633" max="4633" width="6.69140625" style="260" customWidth="1"/>
    <col min="4634" max="4634" width="7.53515625" style="260" customWidth="1"/>
    <col min="4635" max="4874" width="6.3046875" style="260"/>
    <col min="4875" max="4875" width="43.53515625" style="260" customWidth="1"/>
    <col min="4876" max="4876" width="7.53515625" style="260" customWidth="1"/>
    <col min="4877" max="4878" width="8.3828125" style="260" customWidth="1"/>
    <col min="4879" max="4879" width="6.69140625" style="260" customWidth="1"/>
    <col min="4880" max="4881" width="7.53515625" style="260" customWidth="1"/>
    <col min="4882" max="4883" width="8.3828125" style="260" customWidth="1"/>
    <col min="4884" max="4884" width="6.69140625" style="260" customWidth="1"/>
    <col min="4885" max="4886" width="7.53515625" style="260" customWidth="1"/>
    <col min="4887" max="4888" width="8.3828125" style="260" customWidth="1"/>
    <col min="4889" max="4889" width="6.69140625" style="260" customWidth="1"/>
    <col min="4890" max="4890" width="7.53515625" style="260" customWidth="1"/>
    <col min="4891" max="5130" width="6.3046875" style="260"/>
    <col min="5131" max="5131" width="43.53515625" style="260" customWidth="1"/>
    <col min="5132" max="5132" width="7.53515625" style="260" customWidth="1"/>
    <col min="5133" max="5134" width="8.3828125" style="260" customWidth="1"/>
    <col min="5135" max="5135" width="6.69140625" style="260" customWidth="1"/>
    <col min="5136" max="5137" width="7.53515625" style="260" customWidth="1"/>
    <col min="5138" max="5139" width="8.3828125" style="260" customWidth="1"/>
    <col min="5140" max="5140" width="6.69140625" style="260" customWidth="1"/>
    <col min="5141" max="5142" width="7.53515625" style="260" customWidth="1"/>
    <col min="5143" max="5144" width="8.3828125" style="260" customWidth="1"/>
    <col min="5145" max="5145" width="6.69140625" style="260" customWidth="1"/>
    <col min="5146" max="5146" width="7.53515625" style="260" customWidth="1"/>
    <col min="5147" max="5386" width="6.3046875" style="260"/>
    <col min="5387" max="5387" width="43.53515625" style="260" customWidth="1"/>
    <col min="5388" max="5388" width="7.53515625" style="260" customWidth="1"/>
    <col min="5389" max="5390" width="8.3828125" style="260" customWidth="1"/>
    <col min="5391" max="5391" width="6.69140625" style="260" customWidth="1"/>
    <col min="5392" max="5393" width="7.53515625" style="260" customWidth="1"/>
    <col min="5394" max="5395" width="8.3828125" style="260" customWidth="1"/>
    <col min="5396" max="5396" width="6.69140625" style="260" customWidth="1"/>
    <col min="5397" max="5398" width="7.53515625" style="260" customWidth="1"/>
    <col min="5399" max="5400" width="8.3828125" style="260" customWidth="1"/>
    <col min="5401" max="5401" width="6.69140625" style="260" customWidth="1"/>
    <col min="5402" max="5402" width="7.53515625" style="260" customWidth="1"/>
    <col min="5403" max="5642" width="6.3046875" style="260"/>
    <col min="5643" max="5643" width="43.53515625" style="260" customWidth="1"/>
    <col min="5644" max="5644" width="7.53515625" style="260" customWidth="1"/>
    <col min="5645" max="5646" width="8.3828125" style="260" customWidth="1"/>
    <col min="5647" max="5647" width="6.69140625" style="260" customWidth="1"/>
    <col min="5648" max="5649" width="7.53515625" style="260" customWidth="1"/>
    <col min="5650" max="5651" width="8.3828125" style="260" customWidth="1"/>
    <col min="5652" max="5652" width="6.69140625" style="260" customWidth="1"/>
    <col min="5653" max="5654" width="7.53515625" style="260" customWidth="1"/>
    <col min="5655" max="5656" width="8.3828125" style="260" customWidth="1"/>
    <col min="5657" max="5657" width="6.69140625" style="260" customWidth="1"/>
    <col min="5658" max="5658" width="7.53515625" style="260" customWidth="1"/>
    <col min="5659" max="5898" width="6.3046875" style="260"/>
    <col min="5899" max="5899" width="43.53515625" style="260" customWidth="1"/>
    <col min="5900" max="5900" width="7.53515625" style="260" customWidth="1"/>
    <col min="5901" max="5902" width="8.3828125" style="260" customWidth="1"/>
    <col min="5903" max="5903" width="6.69140625" style="260" customWidth="1"/>
    <col min="5904" max="5905" width="7.53515625" style="260" customWidth="1"/>
    <col min="5906" max="5907" width="8.3828125" style="260" customWidth="1"/>
    <col min="5908" max="5908" width="6.69140625" style="260" customWidth="1"/>
    <col min="5909" max="5910" width="7.53515625" style="260" customWidth="1"/>
    <col min="5911" max="5912" width="8.3828125" style="260" customWidth="1"/>
    <col min="5913" max="5913" width="6.69140625" style="260" customWidth="1"/>
    <col min="5914" max="5914" width="7.53515625" style="260" customWidth="1"/>
    <col min="5915" max="6154" width="6.3046875" style="260"/>
    <col min="6155" max="6155" width="43.53515625" style="260" customWidth="1"/>
    <col min="6156" max="6156" width="7.53515625" style="260" customWidth="1"/>
    <col min="6157" max="6158" width="8.3828125" style="260" customWidth="1"/>
    <col min="6159" max="6159" width="6.69140625" style="260" customWidth="1"/>
    <col min="6160" max="6161" width="7.53515625" style="260" customWidth="1"/>
    <col min="6162" max="6163" width="8.3828125" style="260" customWidth="1"/>
    <col min="6164" max="6164" width="6.69140625" style="260" customWidth="1"/>
    <col min="6165" max="6166" width="7.53515625" style="260" customWidth="1"/>
    <col min="6167" max="6168" width="8.3828125" style="260" customWidth="1"/>
    <col min="6169" max="6169" width="6.69140625" style="260" customWidth="1"/>
    <col min="6170" max="6170" width="7.53515625" style="260" customWidth="1"/>
    <col min="6171" max="6410" width="6.3046875" style="260"/>
    <col min="6411" max="6411" width="43.53515625" style="260" customWidth="1"/>
    <col min="6412" max="6412" width="7.53515625" style="260" customWidth="1"/>
    <col min="6413" max="6414" width="8.3828125" style="260" customWidth="1"/>
    <col min="6415" max="6415" width="6.69140625" style="260" customWidth="1"/>
    <col min="6416" max="6417" width="7.53515625" style="260" customWidth="1"/>
    <col min="6418" max="6419" width="8.3828125" style="260" customWidth="1"/>
    <col min="6420" max="6420" width="6.69140625" style="260" customWidth="1"/>
    <col min="6421" max="6422" width="7.53515625" style="260" customWidth="1"/>
    <col min="6423" max="6424" width="8.3828125" style="260" customWidth="1"/>
    <col min="6425" max="6425" width="6.69140625" style="260" customWidth="1"/>
    <col min="6426" max="6426" width="7.53515625" style="260" customWidth="1"/>
    <col min="6427" max="6666" width="6.3046875" style="260"/>
    <col min="6667" max="6667" width="43.53515625" style="260" customWidth="1"/>
    <col min="6668" max="6668" width="7.53515625" style="260" customWidth="1"/>
    <col min="6669" max="6670" width="8.3828125" style="260" customWidth="1"/>
    <col min="6671" max="6671" width="6.69140625" style="260" customWidth="1"/>
    <col min="6672" max="6673" width="7.53515625" style="260" customWidth="1"/>
    <col min="6674" max="6675" width="8.3828125" style="260" customWidth="1"/>
    <col min="6676" max="6676" width="6.69140625" style="260" customWidth="1"/>
    <col min="6677" max="6678" width="7.53515625" style="260" customWidth="1"/>
    <col min="6679" max="6680" width="8.3828125" style="260" customWidth="1"/>
    <col min="6681" max="6681" width="6.69140625" style="260" customWidth="1"/>
    <col min="6682" max="6682" width="7.53515625" style="260" customWidth="1"/>
    <col min="6683" max="6922" width="6.3046875" style="260"/>
    <col min="6923" max="6923" width="43.53515625" style="260" customWidth="1"/>
    <col min="6924" max="6924" width="7.53515625" style="260" customWidth="1"/>
    <col min="6925" max="6926" width="8.3828125" style="260" customWidth="1"/>
    <col min="6927" max="6927" width="6.69140625" style="260" customWidth="1"/>
    <col min="6928" max="6929" width="7.53515625" style="260" customWidth="1"/>
    <col min="6930" max="6931" width="8.3828125" style="260" customWidth="1"/>
    <col min="6932" max="6932" width="6.69140625" style="260" customWidth="1"/>
    <col min="6933" max="6934" width="7.53515625" style="260" customWidth="1"/>
    <col min="6935" max="6936" width="8.3828125" style="260" customWidth="1"/>
    <col min="6937" max="6937" width="6.69140625" style="260" customWidth="1"/>
    <col min="6938" max="6938" width="7.53515625" style="260" customWidth="1"/>
    <col min="6939" max="7178" width="6.3046875" style="260"/>
    <col min="7179" max="7179" width="43.53515625" style="260" customWidth="1"/>
    <col min="7180" max="7180" width="7.53515625" style="260" customWidth="1"/>
    <col min="7181" max="7182" width="8.3828125" style="260" customWidth="1"/>
    <col min="7183" max="7183" width="6.69140625" style="260" customWidth="1"/>
    <col min="7184" max="7185" width="7.53515625" style="260" customWidth="1"/>
    <col min="7186" max="7187" width="8.3828125" style="260" customWidth="1"/>
    <col min="7188" max="7188" width="6.69140625" style="260" customWidth="1"/>
    <col min="7189" max="7190" width="7.53515625" style="260" customWidth="1"/>
    <col min="7191" max="7192" width="8.3828125" style="260" customWidth="1"/>
    <col min="7193" max="7193" width="6.69140625" style="260" customWidth="1"/>
    <col min="7194" max="7194" width="7.53515625" style="260" customWidth="1"/>
    <col min="7195" max="7434" width="6.3046875" style="260"/>
    <col min="7435" max="7435" width="43.53515625" style="260" customWidth="1"/>
    <col min="7436" max="7436" width="7.53515625" style="260" customWidth="1"/>
    <col min="7437" max="7438" width="8.3828125" style="260" customWidth="1"/>
    <col min="7439" max="7439" width="6.69140625" style="260" customWidth="1"/>
    <col min="7440" max="7441" width="7.53515625" style="260" customWidth="1"/>
    <col min="7442" max="7443" width="8.3828125" style="260" customWidth="1"/>
    <col min="7444" max="7444" width="6.69140625" style="260" customWidth="1"/>
    <col min="7445" max="7446" width="7.53515625" style="260" customWidth="1"/>
    <col min="7447" max="7448" width="8.3828125" style="260" customWidth="1"/>
    <col min="7449" max="7449" width="6.69140625" style="260" customWidth="1"/>
    <col min="7450" max="7450" width="7.53515625" style="260" customWidth="1"/>
    <col min="7451" max="7690" width="6.3046875" style="260"/>
    <col min="7691" max="7691" width="43.53515625" style="260" customWidth="1"/>
    <col min="7692" max="7692" width="7.53515625" style="260" customWidth="1"/>
    <col min="7693" max="7694" width="8.3828125" style="260" customWidth="1"/>
    <col min="7695" max="7695" width="6.69140625" style="260" customWidth="1"/>
    <col min="7696" max="7697" width="7.53515625" style="260" customWidth="1"/>
    <col min="7698" max="7699" width="8.3828125" style="260" customWidth="1"/>
    <col min="7700" max="7700" width="6.69140625" style="260" customWidth="1"/>
    <col min="7701" max="7702" width="7.53515625" style="260" customWidth="1"/>
    <col min="7703" max="7704" width="8.3828125" style="260" customWidth="1"/>
    <col min="7705" max="7705" width="6.69140625" style="260" customWidth="1"/>
    <col min="7706" max="7706" width="7.53515625" style="260" customWidth="1"/>
    <col min="7707" max="7946" width="6.3046875" style="260"/>
    <col min="7947" max="7947" width="43.53515625" style="260" customWidth="1"/>
    <col min="7948" max="7948" width="7.53515625" style="260" customWidth="1"/>
    <col min="7949" max="7950" width="8.3828125" style="260" customWidth="1"/>
    <col min="7951" max="7951" width="6.69140625" style="260" customWidth="1"/>
    <col min="7952" max="7953" width="7.53515625" style="260" customWidth="1"/>
    <col min="7954" max="7955" width="8.3828125" style="260" customWidth="1"/>
    <col min="7956" max="7956" width="6.69140625" style="260" customWidth="1"/>
    <col min="7957" max="7958" width="7.53515625" style="260" customWidth="1"/>
    <col min="7959" max="7960" width="8.3828125" style="260" customWidth="1"/>
    <col min="7961" max="7961" width="6.69140625" style="260" customWidth="1"/>
    <col min="7962" max="7962" width="7.53515625" style="260" customWidth="1"/>
    <col min="7963" max="8202" width="6.3046875" style="260"/>
    <col min="8203" max="8203" width="43.53515625" style="260" customWidth="1"/>
    <col min="8204" max="8204" width="7.53515625" style="260" customWidth="1"/>
    <col min="8205" max="8206" width="8.3828125" style="260" customWidth="1"/>
    <col min="8207" max="8207" width="6.69140625" style="260" customWidth="1"/>
    <col min="8208" max="8209" width="7.53515625" style="260" customWidth="1"/>
    <col min="8210" max="8211" width="8.3828125" style="260" customWidth="1"/>
    <col min="8212" max="8212" width="6.69140625" style="260" customWidth="1"/>
    <col min="8213" max="8214" width="7.53515625" style="260" customWidth="1"/>
    <col min="8215" max="8216" width="8.3828125" style="260" customWidth="1"/>
    <col min="8217" max="8217" width="6.69140625" style="260" customWidth="1"/>
    <col min="8218" max="8218" width="7.53515625" style="260" customWidth="1"/>
    <col min="8219" max="8458" width="6.3046875" style="260"/>
    <col min="8459" max="8459" width="43.53515625" style="260" customWidth="1"/>
    <col min="8460" max="8460" width="7.53515625" style="260" customWidth="1"/>
    <col min="8461" max="8462" width="8.3828125" style="260" customWidth="1"/>
    <col min="8463" max="8463" width="6.69140625" style="260" customWidth="1"/>
    <col min="8464" max="8465" width="7.53515625" style="260" customWidth="1"/>
    <col min="8466" max="8467" width="8.3828125" style="260" customWidth="1"/>
    <col min="8468" max="8468" width="6.69140625" style="260" customWidth="1"/>
    <col min="8469" max="8470" width="7.53515625" style="260" customWidth="1"/>
    <col min="8471" max="8472" width="8.3828125" style="260" customWidth="1"/>
    <col min="8473" max="8473" width="6.69140625" style="260" customWidth="1"/>
    <col min="8474" max="8474" width="7.53515625" style="260" customWidth="1"/>
    <col min="8475" max="8714" width="6.3046875" style="260"/>
    <col min="8715" max="8715" width="43.53515625" style="260" customWidth="1"/>
    <col min="8716" max="8716" width="7.53515625" style="260" customWidth="1"/>
    <col min="8717" max="8718" width="8.3828125" style="260" customWidth="1"/>
    <col min="8719" max="8719" width="6.69140625" style="260" customWidth="1"/>
    <col min="8720" max="8721" width="7.53515625" style="260" customWidth="1"/>
    <col min="8722" max="8723" width="8.3828125" style="260" customWidth="1"/>
    <col min="8724" max="8724" width="6.69140625" style="260" customWidth="1"/>
    <col min="8725" max="8726" width="7.53515625" style="260" customWidth="1"/>
    <col min="8727" max="8728" width="8.3828125" style="260" customWidth="1"/>
    <col min="8729" max="8729" width="6.69140625" style="260" customWidth="1"/>
    <col min="8730" max="8730" width="7.53515625" style="260" customWidth="1"/>
    <col min="8731" max="8970" width="6.3046875" style="260"/>
    <col min="8971" max="8971" width="43.53515625" style="260" customWidth="1"/>
    <col min="8972" max="8972" width="7.53515625" style="260" customWidth="1"/>
    <col min="8973" max="8974" width="8.3828125" style="260" customWidth="1"/>
    <col min="8975" max="8975" width="6.69140625" style="260" customWidth="1"/>
    <col min="8976" max="8977" width="7.53515625" style="260" customWidth="1"/>
    <col min="8978" max="8979" width="8.3828125" style="260" customWidth="1"/>
    <col min="8980" max="8980" width="6.69140625" style="260" customWidth="1"/>
    <col min="8981" max="8982" width="7.53515625" style="260" customWidth="1"/>
    <col min="8983" max="8984" width="8.3828125" style="260" customWidth="1"/>
    <col min="8985" max="8985" width="6.69140625" style="260" customWidth="1"/>
    <col min="8986" max="8986" width="7.53515625" style="260" customWidth="1"/>
    <col min="8987" max="9226" width="6.3046875" style="260"/>
    <col min="9227" max="9227" width="43.53515625" style="260" customWidth="1"/>
    <col min="9228" max="9228" width="7.53515625" style="260" customWidth="1"/>
    <col min="9229" max="9230" width="8.3828125" style="260" customWidth="1"/>
    <col min="9231" max="9231" width="6.69140625" style="260" customWidth="1"/>
    <col min="9232" max="9233" width="7.53515625" style="260" customWidth="1"/>
    <col min="9234" max="9235" width="8.3828125" style="260" customWidth="1"/>
    <col min="9236" max="9236" width="6.69140625" style="260" customWidth="1"/>
    <col min="9237" max="9238" width="7.53515625" style="260" customWidth="1"/>
    <col min="9239" max="9240" width="8.3828125" style="260" customWidth="1"/>
    <col min="9241" max="9241" width="6.69140625" style="260" customWidth="1"/>
    <col min="9242" max="9242" width="7.53515625" style="260" customWidth="1"/>
    <col min="9243" max="9482" width="6.3046875" style="260"/>
    <col min="9483" max="9483" width="43.53515625" style="260" customWidth="1"/>
    <col min="9484" max="9484" width="7.53515625" style="260" customWidth="1"/>
    <col min="9485" max="9486" width="8.3828125" style="260" customWidth="1"/>
    <col min="9487" max="9487" width="6.69140625" style="260" customWidth="1"/>
    <col min="9488" max="9489" width="7.53515625" style="260" customWidth="1"/>
    <col min="9490" max="9491" width="8.3828125" style="260" customWidth="1"/>
    <col min="9492" max="9492" width="6.69140625" style="260" customWidth="1"/>
    <col min="9493" max="9494" width="7.53515625" style="260" customWidth="1"/>
    <col min="9495" max="9496" width="8.3828125" style="260" customWidth="1"/>
    <col min="9497" max="9497" width="6.69140625" style="260" customWidth="1"/>
    <col min="9498" max="9498" width="7.53515625" style="260" customWidth="1"/>
    <col min="9499" max="9738" width="6.3046875" style="260"/>
    <col min="9739" max="9739" width="43.53515625" style="260" customWidth="1"/>
    <col min="9740" max="9740" width="7.53515625" style="260" customWidth="1"/>
    <col min="9741" max="9742" width="8.3828125" style="260" customWidth="1"/>
    <col min="9743" max="9743" width="6.69140625" style="260" customWidth="1"/>
    <col min="9744" max="9745" width="7.53515625" style="260" customWidth="1"/>
    <col min="9746" max="9747" width="8.3828125" style="260" customWidth="1"/>
    <col min="9748" max="9748" width="6.69140625" style="260" customWidth="1"/>
    <col min="9749" max="9750" width="7.53515625" style="260" customWidth="1"/>
    <col min="9751" max="9752" width="8.3828125" style="260" customWidth="1"/>
    <col min="9753" max="9753" width="6.69140625" style="260" customWidth="1"/>
    <col min="9754" max="9754" width="7.53515625" style="260" customWidth="1"/>
    <col min="9755" max="9994" width="6.3046875" style="260"/>
    <col min="9995" max="9995" width="43.53515625" style="260" customWidth="1"/>
    <col min="9996" max="9996" width="7.53515625" style="260" customWidth="1"/>
    <col min="9997" max="9998" width="8.3828125" style="260" customWidth="1"/>
    <col min="9999" max="9999" width="6.69140625" style="260" customWidth="1"/>
    <col min="10000" max="10001" width="7.53515625" style="260" customWidth="1"/>
    <col min="10002" max="10003" width="8.3828125" style="260" customWidth="1"/>
    <col min="10004" max="10004" width="6.69140625" style="260" customWidth="1"/>
    <col min="10005" max="10006" width="7.53515625" style="260" customWidth="1"/>
    <col min="10007" max="10008" width="8.3828125" style="260" customWidth="1"/>
    <col min="10009" max="10009" width="6.69140625" style="260" customWidth="1"/>
    <col min="10010" max="10010" width="7.53515625" style="260" customWidth="1"/>
    <col min="10011" max="10250" width="6.3046875" style="260"/>
    <col min="10251" max="10251" width="43.53515625" style="260" customWidth="1"/>
    <col min="10252" max="10252" width="7.53515625" style="260" customWidth="1"/>
    <col min="10253" max="10254" width="8.3828125" style="260" customWidth="1"/>
    <col min="10255" max="10255" width="6.69140625" style="260" customWidth="1"/>
    <col min="10256" max="10257" width="7.53515625" style="260" customWidth="1"/>
    <col min="10258" max="10259" width="8.3828125" style="260" customWidth="1"/>
    <col min="10260" max="10260" width="6.69140625" style="260" customWidth="1"/>
    <col min="10261" max="10262" width="7.53515625" style="260" customWidth="1"/>
    <col min="10263" max="10264" width="8.3828125" style="260" customWidth="1"/>
    <col min="10265" max="10265" width="6.69140625" style="260" customWidth="1"/>
    <col min="10266" max="10266" width="7.53515625" style="260" customWidth="1"/>
    <col min="10267" max="10506" width="6.3046875" style="260"/>
    <col min="10507" max="10507" width="43.53515625" style="260" customWidth="1"/>
    <col min="10508" max="10508" width="7.53515625" style="260" customWidth="1"/>
    <col min="10509" max="10510" width="8.3828125" style="260" customWidth="1"/>
    <col min="10511" max="10511" width="6.69140625" style="260" customWidth="1"/>
    <col min="10512" max="10513" width="7.53515625" style="260" customWidth="1"/>
    <col min="10514" max="10515" width="8.3828125" style="260" customWidth="1"/>
    <col min="10516" max="10516" width="6.69140625" style="260" customWidth="1"/>
    <col min="10517" max="10518" width="7.53515625" style="260" customWidth="1"/>
    <col min="10519" max="10520" width="8.3828125" style="260" customWidth="1"/>
    <col min="10521" max="10521" width="6.69140625" style="260" customWidth="1"/>
    <col min="10522" max="10522" width="7.53515625" style="260" customWidth="1"/>
    <col min="10523" max="10762" width="6.3046875" style="260"/>
    <col min="10763" max="10763" width="43.53515625" style="260" customWidth="1"/>
    <col min="10764" max="10764" width="7.53515625" style="260" customWidth="1"/>
    <col min="10765" max="10766" width="8.3828125" style="260" customWidth="1"/>
    <col min="10767" max="10767" width="6.69140625" style="260" customWidth="1"/>
    <col min="10768" max="10769" width="7.53515625" style="260" customWidth="1"/>
    <col min="10770" max="10771" width="8.3828125" style="260" customWidth="1"/>
    <col min="10772" max="10772" width="6.69140625" style="260" customWidth="1"/>
    <col min="10773" max="10774" width="7.53515625" style="260" customWidth="1"/>
    <col min="10775" max="10776" width="8.3828125" style="260" customWidth="1"/>
    <col min="10777" max="10777" width="6.69140625" style="260" customWidth="1"/>
    <col min="10778" max="10778" width="7.53515625" style="260" customWidth="1"/>
    <col min="10779" max="11018" width="6.3046875" style="260"/>
    <col min="11019" max="11019" width="43.53515625" style="260" customWidth="1"/>
    <col min="11020" max="11020" width="7.53515625" style="260" customWidth="1"/>
    <col min="11021" max="11022" width="8.3828125" style="260" customWidth="1"/>
    <col min="11023" max="11023" width="6.69140625" style="260" customWidth="1"/>
    <col min="11024" max="11025" width="7.53515625" style="260" customWidth="1"/>
    <col min="11026" max="11027" width="8.3828125" style="260" customWidth="1"/>
    <col min="11028" max="11028" width="6.69140625" style="260" customWidth="1"/>
    <col min="11029" max="11030" width="7.53515625" style="260" customWidth="1"/>
    <col min="11031" max="11032" width="8.3828125" style="260" customWidth="1"/>
    <col min="11033" max="11033" width="6.69140625" style="260" customWidth="1"/>
    <col min="11034" max="11034" width="7.53515625" style="260" customWidth="1"/>
    <col min="11035" max="11274" width="6.3046875" style="260"/>
    <col min="11275" max="11275" width="43.53515625" style="260" customWidth="1"/>
    <col min="11276" max="11276" width="7.53515625" style="260" customWidth="1"/>
    <col min="11277" max="11278" width="8.3828125" style="260" customWidth="1"/>
    <col min="11279" max="11279" width="6.69140625" style="260" customWidth="1"/>
    <col min="11280" max="11281" width="7.53515625" style="260" customWidth="1"/>
    <col min="11282" max="11283" width="8.3828125" style="260" customWidth="1"/>
    <col min="11284" max="11284" width="6.69140625" style="260" customWidth="1"/>
    <col min="11285" max="11286" width="7.53515625" style="260" customWidth="1"/>
    <col min="11287" max="11288" width="8.3828125" style="260" customWidth="1"/>
    <col min="11289" max="11289" width="6.69140625" style="260" customWidth="1"/>
    <col min="11290" max="11290" width="7.53515625" style="260" customWidth="1"/>
    <col min="11291" max="11530" width="6.3046875" style="260"/>
    <col min="11531" max="11531" width="43.53515625" style="260" customWidth="1"/>
    <col min="11532" max="11532" width="7.53515625" style="260" customWidth="1"/>
    <col min="11533" max="11534" width="8.3828125" style="260" customWidth="1"/>
    <col min="11535" max="11535" width="6.69140625" style="260" customWidth="1"/>
    <col min="11536" max="11537" width="7.53515625" style="260" customWidth="1"/>
    <col min="11538" max="11539" width="8.3828125" style="260" customWidth="1"/>
    <col min="11540" max="11540" width="6.69140625" style="260" customWidth="1"/>
    <col min="11541" max="11542" width="7.53515625" style="260" customWidth="1"/>
    <col min="11543" max="11544" width="8.3828125" style="260" customWidth="1"/>
    <col min="11545" max="11545" width="6.69140625" style="260" customWidth="1"/>
    <col min="11546" max="11546" width="7.53515625" style="260" customWidth="1"/>
    <col min="11547" max="11786" width="6.3046875" style="260"/>
    <col min="11787" max="11787" width="43.53515625" style="260" customWidth="1"/>
    <col min="11788" max="11788" width="7.53515625" style="260" customWidth="1"/>
    <col min="11789" max="11790" width="8.3828125" style="260" customWidth="1"/>
    <col min="11791" max="11791" width="6.69140625" style="260" customWidth="1"/>
    <col min="11792" max="11793" width="7.53515625" style="260" customWidth="1"/>
    <col min="11794" max="11795" width="8.3828125" style="260" customWidth="1"/>
    <col min="11796" max="11796" width="6.69140625" style="260" customWidth="1"/>
    <col min="11797" max="11798" width="7.53515625" style="260" customWidth="1"/>
    <col min="11799" max="11800" width="8.3828125" style="260" customWidth="1"/>
    <col min="11801" max="11801" width="6.69140625" style="260" customWidth="1"/>
    <col min="11802" max="11802" width="7.53515625" style="260" customWidth="1"/>
    <col min="11803" max="12042" width="6.3046875" style="260"/>
    <col min="12043" max="12043" width="43.53515625" style="260" customWidth="1"/>
    <col min="12044" max="12044" width="7.53515625" style="260" customWidth="1"/>
    <col min="12045" max="12046" width="8.3828125" style="260" customWidth="1"/>
    <col min="12047" max="12047" width="6.69140625" style="260" customWidth="1"/>
    <col min="12048" max="12049" width="7.53515625" style="260" customWidth="1"/>
    <col min="12050" max="12051" width="8.3828125" style="260" customWidth="1"/>
    <col min="12052" max="12052" width="6.69140625" style="260" customWidth="1"/>
    <col min="12053" max="12054" width="7.53515625" style="260" customWidth="1"/>
    <col min="12055" max="12056" width="8.3828125" style="260" customWidth="1"/>
    <col min="12057" max="12057" width="6.69140625" style="260" customWidth="1"/>
    <col min="12058" max="12058" width="7.53515625" style="260" customWidth="1"/>
    <col min="12059" max="12298" width="6.3046875" style="260"/>
    <col min="12299" max="12299" width="43.53515625" style="260" customWidth="1"/>
    <col min="12300" max="12300" width="7.53515625" style="260" customWidth="1"/>
    <col min="12301" max="12302" width="8.3828125" style="260" customWidth="1"/>
    <col min="12303" max="12303" width="6.69140625" style="260" customWidth="1"/>
    <col min="12304" max="12305" width="7.53515625" style="260" customWidth="1"/>
    <col min="12306" max="12307" width="8.3828125" style="260" customWidth="1"/>
    <col min="12308" max="12308" width="6.69140625" style="260" customWidth="1"/>
    <col min="12309" max="12310" width="7.53515625" style="260" customWidth="1"/>
    <col min="12311" max="12312" width="8.3828125" style="260" customWidth="1"/>
    <col min="12313" max="12313" width="6.69140625" style="260" customWidth="1"/>
    <col min="12314" max="12314" width="7.53515625" style="260" customWidth="1"/>
    <col min="12315" max="12554" width="6.3046875" style="260"/>
    <col min="12555" max="12555" width="43.53515625" style="260" customWidth="1"/>
    <col min="12556" max="12556" width="7.53515625" style="260" customWidth="1"/>
    <col min="12557" max="12558" width="8.3828125" style="260" customWidth="1"/>
    <col min="12559" max="12559" width="6.69140625" style="260" customWidth="1"/>
    <col min="12560" max="12561" width="7.53515625" style="260" customWidth="1"/>
    <col min="12562" max="12563" width="8.3828125" style="260" customWidth="1"/>
    <col min="12564" max="12564" width="6.69140625" style="260" customWidth="1"/>
    <col min="12565" max="12566" width="7.53515625" style="260" customWidth="1"/>
    <col min="12567" max="12568" width="8.3828125" style="260" customWidth="1"/>
    <col min="12569" max="12569" width="6.69140625" style="260" customWidth="1"/>
    <col min="12570" max="12570" width="7.53515625" style="260" customWidth="1"/>
    <col min="12571" max="12810" width="6.3046875" style="260"/>
    <col min="12811" max="12811" width="43.53515625" style="260" customWidth="1"/>
    <col min="12812" max="12812" width="7.53515625" style="260" customWidth="1"/>
    <col min="12813" max="12814" width="8.3828125" style="260" customWidth="1"/>
    <col min="12815" max="12815" width="6.69140625" style="260" customWidth="1"/>
    <col min="12816" max="12817" width="7.53515625" style="260" customWidth="1"/>
    <col min="12818" max="12819" width="8.3828125" style="260" customWidth="1"/>
    <col min="12820" max="12820" width="6.69140625" style="260" customWidth="1"/>
    <col min="12821" max="12822" width="7.53515625" style="260" customWidth="1"/>
    <col min="12823" max="12824" width="8.3828125" style="260" customWidth="1"/>
    <col min="12825" max="12825" width="6.69140625" style="260" customWidth="1"/>
    <col min="12826" max="12826" width="7.53515625" style="260" customWidth="1"/>
    <col min="12827" max="13066" width="6.3046875" style="260"/>
    <col min="13067" max="13067" width="43.53515625" style="260" customWidth="1"/>
    <col min="13068" max="13068" width="7.53515625" style="260" customWidth="1"/>
    <col min="13069" max="13070" width="8.3828125" style="260" customWidth="1"/>
    <col min="13071" max="13071" width="6.69140625" style="260" customWidth="1"/>
    <col min="13072" max="13073" width="7.53515625" style="260" customWidth="1"/>
    <col min="13074" max="13075" width="8.3828125" style="260" customWidth="1"/>
    <col min="13076" max="13076" width="6.69140625" style="260" customWidth="1"/>
    <col min="13077" max="13078" width="7.53515625" style="260" customWidth="1"/>
    <col min="13079" max="13080" width="8.3828125" style="260" customWidth="1"/>
    <col min="13081" max="13081" width="6.69140625" style="260" customWidth="1"/>
    <col min="13082" max="13082" width="7.53515625" style="260" customWidth="1"/>
    <col min="13083" max="13322" width="6.3046875" style="260"/>
    <col min="13323" max="13323" width="43.53515625" style="260" customWidth="1"/>
    <col min="13324" max="13324" width="7.53515625" style="260" customWidth="1"/>
    <col min="13325" max="13326" width="8.3828125" style="260" customWidth="1"/>
    <col min="13327" max="13327" width="6.69140625" style="260" customWidth="1"/>
    <col min="13328" max="13329" width="7.53515625" style="260" customWidth="1"/>
    <col min="13330" max="13331" width="8.3828125" style="260" customWidth="1"/>
    <col min="13332" max="13332" width="6.69140625" style="260" customWidth="1"/>
    <col min="13333" max="13334" width="7.53515625" style="260" customWidth="1"/>
    <col min="13335" max="13336" width="8.3828125" style="260" customWidth="1"/>
    <col min="13337" max="13337" width="6.69140625" style="260" customWidth="1"/>
    <col min="13338" max="13338" width="7.53515625" style="260" customWidth="1"/>
    <col min="13339" max="13578" width="6.3046875" style="260"/>
    <col min="13579" max="13579" width="43.53515625" style="260" customWidth="1"/>
    <col min="13580" max="13580" width="7.53515625" style="260" customWidth="1"/>
    <col min="13581" max="13582" width="8.3828125" style="260" customWidth="1"/>
    <col min="13583" max="13583" width="6.69140625" style="260" customWidth="1"/>
    <col min="13584" max="13585" width="7.53515625" style="260" customWidth="1"/>
    <col min="13586" max="13587" width="8.3828125" style="260" customWidth="1"/>
    <col min="13588" max="13588" width="6.69140625" style="260" customWidth="1"/>
    <col min="13589" max="13590" width="7.53515625" style="260" customWidth="1"/>
    <col min="13591" max="13592" width="8.3828125" style="260" customWidth="1"/>
    <col min="13593" max="13593" width="6.69140625" style="260" customWidth="1"/>
    <col min="13594" max="13594" width="7.53515625" style="260" customWidth="1"/>
    <col min="13595" max="13834" width="6.3046875" style="260"/>
    <col min="13835" max="13835" width="43.53515625" style="260" customWidth="1"/>
    <col min="13836" max="13836" width="7.53515625" style="260" customWidth="1"/>
    <col min="13837" max="13838" width="8.3828125" style="260" customWidth="1"/>
    <col min="13839" max="13839" width="6.69140625" style="260" customWidth="1"/>
    <col min="13840" max="13841" width="7.53515625" style="260" customWidth="1"/>
    <col min="13842" max="13843" width="8.3828125" style="260" customWidth="1"/>
    <col min="13844" max="13844" width="6.69140625" style="260" customWidth="1"/>
    <col min="13845" max="13846" width="7.53515625" style="260" customWidth="1"/>
    <col min="13847" max="13848" width="8.3828125" style="260" customWidth="1"/>
    <col min="13849" max="13849" width="6.69140625" style="260" customWidth="1"/>
    <col min="13850" max="13850" width="7.53515625" style="260" customWidth="1"/>
    <col min="13851" max="14090" width="6.3046875" style="260"/>
    <col min="14091" max="14091" width="43.53515625" style="260" customWidth="1"/>
    <col min="14092" max="14092" width="7.53515625" style="260" customWidth="1"/>
    <col min="14093" max="14094" width="8.3828125" style="260" customWidth="1"/>
    <col min="14095" max="14095" width="6.69140625" style="260" customWidth="1"/>
    <col min="14096" max="14097" width="7.53515625" style="260" customWidth="1"/>
    <col min="14098" max="14099" width="8.3828125" style="260" customWidth="1"/>
    <col min="14100" max="14100" width="6.69140625" style="260" customWidth="1"/>
    <col min="14101" max="14102" width="7.53515625" style="260" customWidth="1"/>
    <col min="14103" max="14104" width="8.3828125" style="260" customWidth="1"/>
    <col min="14105" max="14105" width="6.69140625" style="260" customWidth="1"/>
    <col min="14106" max="14106" width="7.53515625" style="260" customWidth="1"/>
    <col min="14107" max="14346" width="6.3046875" style="260"/>
    <col min="14347" max="14347" width="43.53515625" style="260" customWidth="1"/>
    <col min="14348" max="14348" width="7.53515625" style="260" customWidth="1"/>
    <col min="14349" max="14350" width="8.3828125" style="260" customWidth="1"/>
    <col min="14351" max="14351" width="6.69140625" style="260" customWidth="1"/>
    <col min="14352" max="14353" width="7.53515625" style="260" customWidth="1"/>
    <col min="14354" max="14355" width="8.3828125" style="260" customWidth="1"/>
    <col min="14356" max="14356" width="6.69140625" style="260" customWidth="1"/>
    <col min="14357" max="14358" width="7.53515625" style="260" customWidth="1"/>
    <col min="14359" max="14360" width="8.3828125" style="260" customWidth="1"/>
    <col min="14361" max="14361" width="6.69140625" style="260" customWidth="1"/>
    <col min="14362" max="14362" width="7.53515625" style="260" customWidth="1"/>
    <col min="14363" max="14602" width="6.3046875" style="260"/>
    <col min="14603" max="14603" width="43.53515625" style="260" customWidth="1"/>
    <col min="14604" max="14604" width="7.53515625" style="260" customWidth="1"/>
    <col min="14605" max="14606" width="8.3828125" style="260" customWidth="1"/>
    <col min="14607" max="14607" width="6.69140625" style="260" customWidth="1"/>
    <col min="14608" max="14609" width="7.53515625" style="260" customWidth="1"/>
    <col min="14610" max="14611" width="8.3828125" style="260" customWidth="1"/>
    <col min="14612" max="14612" width="6.69140625" style="260" customWidth="1"/>
    <col min="14613" max="14614" width="7.53515625" style="260" customWidth="1"/>
    <col min="14615" max="14616" width="8.3828125" style="260" customWidth="1"/>
    <col min="14617" max="14617" width="6.69140625" style="260" customWidth="1"/>
    <col min="14618" max="14618" width="7.53515625" style="260" customWidth="1"/>
    <col min="14619" max="14858" width="6.3046875" style="260"/>
    <col min="14859" max="14859" width="43.53515625" style="260" customWidth="1"/>
    <col min="14860" max="14860" width="7.53515625" style="260" customWidth="1"/>
    <col min="14861" max="14862" width="8.3828125" style="260" customWidth="1"/>
    <col min="14863" max="14863" width="6.69140625" style="260" customWidth="1"/>
    <col min="14864" max="14865" width="7.53515625" style="260" customWidth="1"/>
    <col min="14866" max="14867" width="8.3828125" style="260" customWidth="1"/>
    <col min="14868" max="14868" width="6.69140625" style="260" customWidth="1"/>
    <col min="14869" max="14870" width="7.53515625" style="260" customWidth="1"/>
    <col min="14871" max="14872" width="8.3828125" style="260" customWidth="1"/>
    <col min="14873" max="14873" width="6.69140625" style="260" customWidth="1"/>
    <col min="14874" max="14874" width="7.53515625" style="260" customWidth="1"/>
    <col min="14875" max="15114" width="6.3046875" style="260"/>
    <col min="15115" max="15115" width="43.53515625" style="260" customWidth="1"/>
    <col min="15116" max="15116" width="7.53515625" style="260" customWidth="1"/>
    <col min="15117" max="15118" width="8.3828125" style="260" customWidth="1"/>
    <col min="15119" max="15119" width="6.69140625" style="260" customWidth="1"/>
    <col min="15120" max="15121" width="7.53515625" style="260" customWidth="1"/>
    <col min="15122" max="15123" width="8.3828125" style="260" customWidth="1"/>
    <col min="15124" max="15124" width="6.69140625" style="260" customWidth="1"/>
    <col min="15125" max="15126" width="7.53515625" style="260" customWidth="1"/>
    <col min="15127" max="15128" width="8.3828125" style="260" customWidth="1"/>
    <col min="15129" max="15129" width="6.69140625" style="260" customWidth="1"/>
    <col min="15130" max="15130" width="7.53515625" style="260" customWidth="1"/>
    <col min="15131" max="15370" width="6.3046875" style="260"/>
    <col min="15371" max="15371" width="43.53515625" style="260" customWidth="1"/>
    <col min="15372" max="15372" width="7.53515625" style="260" customWidth="1"/>
    <col min="15373" max="15374" width="8.3828125" style="260" customWidth="1"/>
    <col min="15375" max="15375" width="6.69140625" style="260" customWidth="1"/>
    <col min="15376" max="15377" width="7.53515625" style="260" customWidth="1"/>
    <col min="15378" max="15379" width="8.3828125" style="260" customWidth="1"/>
    <col min="15380" max="15380" width="6.69140625" style="260" customWidth="1"/>
    <col min="15381" max="15382" width="7.53515625" style="260" customWidth="1"/>
    <col min="15383" max="15384" width="8.3828125" style="260" customWidth="1"/>
    <col min="15385" max="15385" width="6.69140625" style="260" customWidth="1"/>
    <col min="15386" max="15386" width="7.53515625" style="260" customWidth="1"/>
    <col min="15387" max="15626" width="6.3046875" style="260"/>
    <col min="15627" max="15627" width="43.53515625" style="260" customWidth="1"/>
    <col min="15628" max="15628" width="7.53515625" style="260" customWidth="1"/>
    <col min="15629" max="15630" width="8.3828125" style="260" customWidth="1"/>
    <col min="15631" max="15631" width="6.69140625" style="260" customWidth="1"/>
    <col min="15632" max="15633" width="7.53515625" style="260" customWidth="1"/>
    <col min="15634" max="15635" width="8.3828125" style="260" customWidth="1"/>
    <col min="15636" max="15636" width="6.69140625" style="260" customWidth="1"/>
    <col min="15637" max="15638" width="7.53515625" style="260" customWidth="1"/>
    <col min="15639" max="15640" width="8.3828125" style="260" customWidth="1"/>
    <col min="15641" max="15641" width="6.69140625" style="260" customWidth="1"/>
    <col min="15642" max="15642" width="7.53515625" style="260" customWidth="1"/>
    <col min="15643" max="15882" width="6.3046875" style="260"/>
    <col min="15883" max="15883" width="43.53515625" style="260" customWidth="1"/>
    <col min="15884" max="15884" width="7.53515625" style="260" customWidth="1"/>
    <col min="15885" max="15886" width="8.3828125" style="260" customWidth="1"/>
    <col min="15887" max="15887" width="6.69140625" style="260" customWidth="1"/>
    <col min="15888" max="15889" width="7.53515625" style="260" customWidth="1"/>
    <col min="15890" max="15891" width="8.3828125" style="260" customWidth="1"/>
    <col min="15892" max="15892" width="6.69140625" style="260" customWidth="1"/>
    <col min="15893" max="15894" width="7.53515625" style="260" customWidth="1"/>
    <col min="15895" max="15896" width="8.3828125" style="260" customWidth="1"/>
    <col min="15897" max="15897" width="6.69140625" style="260" customWidth="1"/>
    <col min="15898" max="15898" width="7.53515625" style="260" customWidth="1"/>
    <col min="15899" max="16138" width="6.3046875" style="260"/>
    <col min="16139" max="16139" width="43.53515625" style="260" customWidth="1"/>
    <col min="16140" max="16140" width="7.53515625" style="260" customWidth="1"/>
    <col min="16141" max="16142" width="8.3828125" style="260" customWidth="1"/>
    <col min="16143" max="16143" width="6.69140625" style="260" customWidth="1"/>
    <col min="16144" max="16145" width="7.53515625" style="260" customWidth="1"/>
    <col min="16146" max="16147" width="8.3828125" style="260" customWidth="1"/>
    <col min="16148" max="16148" width="6.69140625" style="260" customWidth="1"/>
    <col min="16149" max="16150" width="7.53515625" style="260" customWidth="1"/>
    <col min="16151" max="16152" width="8.3828125" style="260" customWidth="1"/>
    <col min="16153" max="16153" width="6.69140625" style="260" customWidth="1"/>
    <col min="16154" max="16154" width="7.53515625" style="260" customWidth="1"/>
    <col min="16155" max="16384" width="6.3046875" style="260"/>
  </cols>
  <sheetData>
    <row r="1" spans="1:25" ht="15.45" x14ac:dyDescent="0.4">
      <c r="A1" s="18" t="str">
        <f>CONCATENATE("Industry Table 6  Employment status by Industry (SIC 2007) and Gender, ",B$5,"-",V$5,", ",Info!B5)</f>
        <v>Industry Table 6  Employment status by Industry (SIC 2007) and Gender, 2015-2035, United Kingdom</v>
      </c>
    </row>
    <row r="2" spans="1:25" x14ac:dyDescent="0.35">
      <c r="A2" s="1" t="s">
        <v>531</v>
      </c>
    </row>
    <row r="4" spans="1:25" x14ac:dyDescent="0.35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35</v>
      </c>
    </row>
    <row r="5" spans="1:25" ht="14.15" x14ac:dyDescent="0.35">
      <c r="A5" s="265" t="str">
        <f>"Industry 1 : "&amp; name!B4</f>
        <v>Industry 1 : Agriculture</v>
      </c>
      <c r="B5" s="372">
        <v>2015</v>
      </c>
      <c r="C5" s="372"/>
      <c r="D5" s="372"/>
      <c r="E5" s="372"/>
      <c r="F5" s="317"/>
      <c r="G5" s="372">
        <v>2019</v>
      </c>
      <c r="H5" s="372"/>
      <c r="I5" s="372"/>
      <c r="J5" s="372"/>
      <c r="K5" s="318"/>
      <c r="L5" s="372">
        <v>2020</v>
      </c>
      <c r="M5" s="372"/>
      <c r="N5" s="372"/>
      <c r="O5" s="372"/>
      <c r="P5" s="318"/>
      <c r="Q5" s="372">
        <v>2025</v>
      </c>
      <c r="R5" s="372"/>
      <c r="S5" s="372"/>
      <c r="T5" s="372"/>
      <c r="U5" s="317"/>
      <c r="V5" s="372">
        <v>2035</v>
      </c>
      <c r="W5" s="372"/>
      <c r="X5" s="372"/>
      <c r="Y5" s="372"/>
    </row>
    <row r="6" spans="1:25" ht="12.45" x14ac:dyDescent="0.3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32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32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32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32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32</v>
      </c>
    </row>
    <row r="7" spans="1:25" ht="12.45" x14ac:dyDescent="0.3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ht="12.45" x14ac:dyDescent="0.3">
      <c r="A8" s="261" t="str">
        <f>name!A4</f>
        <v>Agriculture, etc</v>
      </c>
      <c r="C8" s="263"/>
    </row>
    <row r="9" spans="1:25" ht="12.45" x14ac:dyDescent="0.3">
      <c r="A9" s="260" t="s">
        <v>356</v>
      </c>
      <c r="B9" s="300">
        <v>32.539999999870339</v>
      </c>
      <c r="C9" s="300">
        <v>24.689000000217085</v>
      </c>
      <c r="D9" s="300">
        <v>32.809000000960161</v>
      </c>
      <c r="E9" s="300">
        <f>SUM(B9:D9)</f>
        <v>90.038000001047578</v>
      </c>
      <c r="F9" s="300"/>
      <c r="G9" s="300">
        <v>41.26099999976141</v>
      </c>
      <c r="H9" s="300">
        <v>30.164000000289988</v>
      </c>
      <c r="I9" s="300">
        <v>39.201000001141395</v>
      </c>
      <c r="J9" s="300">
        <f>SUM(G9:I9)</f>
        <v>110.62600000119279</v>
      </c>
      <c r="K9" s="300"/>
      <c r="L9" s="300">
        <v>52.759000000006274</v>
      </c>
      <c r="M9" s="300">
        <v>32.851000000087495</v>
      </c>
      <c r="N9" s="300">
        <v>33.974999999326933</v>
      </c>
      <c r="O9" s="300">
        <f>SUM(L9:N9)</f>
        <v>119.58499999942072</v>
      </c>
      <c r="P9" s="300"/>
      <c r="Q9" s="300">
        <v>54.065000001209611</v>
      </c>
      <c r="R9" s="300">
        <v>32.640000000391311</v>
      </c>
      <c r="S9" s="300">
        <v>35.419000000027992</v>
      </c>
      <c r="T9" s="300">
        <f>SUM(Q9:S9)</f>
        <v>122.12400000162891</v>
      </c>
      <c r="U9" s="300"/>
      <c r="V9" s="300">
        <v>54.253000000313094</v>
      </c>
      <c r="W9" s="300">
        <v>30.806999999868708</v>
      </c>
      <c r="X9" s="300">
        <v>36.911999999650625</v>
      </c>
      <c r="Y9" s="300">
        <f>SUM(V9:X9)</f>
        <v>121.97199999983243</v>
      </c>
    </row>
    <row r="10" spans="1:25" ht="12.45" x14ac:dyDescent="0.3">
      <c r="A10" s="260" t="s">
        <v>355</v>
      </c>
      <c r="B10" s="300">
        <v>142.29500000020798</v>
      </c>
      <c r="C10" s="300">
        <v>24.463000000087881</v>
      </c>
      <c r="D10" s="300">
        <v>130.19100000016735</v>
      </c>
      <c r="E10" s="300">
        <f t="shared" ref="E10:E11" si="0">SUM(B10:D10)</f>
        <v>296.94900000046323</v>
      </c>
      <c r="F10" s="300"/>
      <c r="G10" s="300">
        <v>121.2830000001176</v>
      </c>
      <c r="H10" s="300">
        <v>18.27800000014642</v>
      </c>
      <c r="I10" s="300">
        <v>145.71800000140988</v>
      </c>
      <c r="J10" s="300">
        <f t="shared" ref="J10:J11" si="1">SUM(G10:I10)</f>
        <v>285.27900000167392</v>
      </c>
      <c r="K10" s="300"/>
      <c r="L10" s="300">
        <v>113.85000000016049</v>
      </c>
      <c r="M10" s="300">
        <v>19.54099999993467</v>
      </c>
      <c r="N10" s="300">
        <v>119.02599999747864</v>
      </c>
      <c r="O10" s="300">
        <f t="shared" ref="O10:O11" si="2">SUM(L10:N10)</f>
        <v>252.41699999757381</v>
      </c>
      <c r="P10" s="300"/>
      <c r="Q10" s="300">
        <v>120.50500000077304</v>
      </c>
      <c r="R10" s="300">
        <v>20.121999999956277</v>
      </c>
      <c r="S10" s="300">
        <v>118.41999999489774</v>
      </c>
      <c r="T10" s="300">
        <f t="shared" ref="T10:T11" si="3">SUM(Q10:S10)</f>
        <v>259.04699999562706</v>
      </c>
      <c r="U10" s="300"/>
      <c r="V10" s="300">
        <v>130.33800000083346</v>
      </c>
      <c r="W10" s="300">
        <v>20.643000000134414</v>
      </c>
      <c r="X10" s="300">
        <v>112.22499999630027</v>
      </c>
      <c r="Y10" s="300">
        <f t="shared" ref="Y10:Y11" si="4">SUM(V10:X10)</f>
        <v>263.20599999726812</v>
      </c>
    </row>
    <row r="11" spans="1:25" ht="12.45" x14ac:dyDescent="0.3">
      <c r="A11" s="264" t="s">
        <v>354</v>
      </c>
      <c r="B11" s="301">
        <f>SUM(B9:B10)</f>
        <v>174.83500000007831</v>
      </c>
      <c r="C11" s="301">
        <f t="shared" ref="C11:D11" si="5">SUM(C9:C10)</f>
        <v>49.152000000304966</v>
      </c>
      <c r="D11" s="301">
        <f t="shared" si="5"/>
        <v>163.00000000112752</v>
      </c>
      <c r="E11" s="301">
        <f t="shared" si="0"/>
        <v>386.98700000151075</v>
      </c>
      <c r="F11" s="301"/>
      <c r="G11" s="301">
        <f>SUM(G9:G10)</f>
        <v>162.54399999987902</v>
      </c>
      <c r="H11" s="301">
        <f t="shared" ref="H11" si="6">SUM(H9:H10)</f>
        <v>48.442000000436408</v>
      </c>
      <c r="I11" s="301">
        <f t="shared" ref="I11" si="7">SUM(I9:I10)</f>
        <v>184.91900000255129</v>
      </c>
      <c r="J11" s="301">
        <f t="shared" si="1"/>
        <v>395.9050000028667</v>
      </c>
      <c r="K11" s="301"/>
      <c r="L11" s="301">
        <f>SUM(L9:L10)</f>
        <v>166.60900000016676</v>
      </c>
      <c r="M11" s="301">
        <f t="shared" ref="M11" si="8">SUM(M9:M10)</f>
        <v>52.392000000022165</v>
      </c>
      <c r="N11" s="301">
        <f t="shared" ref="N11" si="9">SUM(N9:N10)</f>
        <v>153.00099999680558</v>
      </c>
      <c r="O11" s="301">
        <f t="shared" si="2"/>
        <v>372.00199999699453</v>
      </c>
      <c r="P11" s="301"/>
      <c r="Q11" s="301">
        <f>SUM(Q9:Q10)</f>
        <v>174.57000000198263</v>
      </c>
      <c r="R11" s="301">
        <f t="shared" ref="R11" si="10">SUM(R9:R10)</f>
        <v>52.762000000347584</v>
      </c>
      <c r="S11" s="301">
        <f t="shared" ref="S11" si="11">SUM(S9:S10)</f>
        <v>153.83899999492573</v>
      </c>
      <c r="T11" s="301">
        <f t="shared" si="3"/>
        <v>381.17099999725599</v>
      </c>
      <c r="U11" s="301"/>
      <c r="V11" s="301">
        <f>SUM(V9:V10)</f>
        <v>184.59100000114654</v>
      </c>
      <c r="W11" s="301">
        <f t="shared" ref="W11" si="12">SUM(W9:W10)</f>
        <v>51.450000000003122</v>
      </c>
      <c r="X11" s="301">
        <f t="shared" ref="X11" si="13">SUM(X9:X10)</f>
        <v>149.1369999959509</v>
      </c>
      <c r="Y11" s="301">
        <f t="shared" si="4"/>
        <v>385.17799999710053</v>
      </c>
    </row>
    <row r="13" spans="1:25" x14ac:dyDescent="0.35">
      <c r="A13" s="261"/>
    </row>
    <row r="14" spans="1:25" ht="12.45" x14ac:dyDescent="0.3">
      <c r="C14" s="263"/>
    </row>
    <row r="15" spans="1:25" ht="14.15" x14ac:dyDescent="0.35">
      <c r="A15" s="265" t="str">
        <f>"Industry 2 : "&amp; name!B5</f>
        <v>Industry 2 : Mining and quarrying</v>
      </c>
      <c r="B15" s="372">
        <f>$B$5</f>
        <v>2015</v>
      </c>
      <c r="C15" s="372"/>
      <c r="D15" s="372"/>
      <c r="E15" s="372"/>
      <c r="F15" s="320"/>
      <c r="G15" s="372">
        <f>$G$5</f>
        <v>2019</v>
      </c>
      <c r="H15" s="372"/>
      <c r="I15" s="372"/>
      <c r="J15" s="372"/>
      <c r="K15" s="320"/>
      <c r="L15" s="372">
        <f>$L$5</f>
        <v>2020</v>
      </c>
      <c r="M15" s="372"/>
      <c r="N15" s="372"/>
      <c r="O15" s="372"/>
      <c r="P15" s="318"/>
      <c r="Q15" s="372">
        <f>$Q$5</f>
        <v>2025</v>
      </c>
      <c r="R15" s="372"/>
      <c r="S15" s="372"/>
      <c r="T15" s="372"/>
      <c r="U15" s="320"/>
      <c r="V15" s="372">
        <f>$V$5</f>
        <v>2035</v>
      </c>
      <c r="W15" s="372"/>
      <c r="X15" s="372"/>
      <c r="Y15" s="372"/>
    </row>
    <row r="16" spans="1:25" ht="12.45" x14ac:dyDescent="0.3">
      <c r="A16" s="264"/>
      <c r="B16" s="268" t="str">
        <f>$B$6</f>
        <v>FT</v>
      </c>
      <c r="C16" s="268" t="str">
        <f>$C$6</f>
        <v>PT</v>
      </c>
      <c r="D16" s="268" t="str">
        <f>$D$6</f>
        <v>SE</v>
      </c>
      <c r="E16" s="268" t="str">
        <f>$E$6</f>
        <v>Total</v>
      </c>
      <c r="F16" s="268"/>
      <c r="G16" s="268" t="str">
        <f>$B$6</f>
        <v>FT</v>
      </c>
      <c r="H16" s="268" t="str">
        <f>$C$6</f>
        <v>PT</v>
      </c>
      <c r="I16" s="268" t="str">
        <f>$D$6</f>
        <v>SE</v>
      </c>
      <c r="J16" s="268" t="str">
        <f>$E$6</f>
        <v>Total</v>
      </c>
      <c r="K16" s="268"/>
      <c r="L16" s="268" t="str">
        <f>$L$6</f>
        <v>FT</v>
      </c>
      <c r="M16" s="268" t="str">
        <f>$M$6</f>
        <v>PT</v>
      </c>
      <c r="N16" s="268" t="str">
        <f>$N$6</f>
        <v>SE</v>
      </c>
      <c r="O16" s="268" t="str">
        <f>$O$6</f>
        <v>Total</v>
      </c>
      <c r="P16" s="268"/>
      <c r="Q16" s="268" t="str">
        <f>$L$6</f>
        <v>FT</v>
      </c>
      <c r="R16" s="268" t="str">
        <f>$M$6</f>
        <v>PT</v>
      </c>
      <c r="S16" s="268" t="str">
        <f>$N$6</f>
        <v>SE</v>
      </c>
      <c r="T16" s="268" t="str">
        <f>$O$6</f>
        <v>Total</v>
      </c>
      <c r="U16" s="268"/>
      <c r="V16" s="268" t="str">
        <f>$V$6</f>
        <v>FT</v>
      </c>
      <c r="W16" s="268" t="str">
        <f>$W$6</f>
        <v>PT</v>
      </c>
      <c r="X16" s="268" t="str">
        <f>$X$6</f>
        <v>SE</v>
      </c>
      <c r="Y16" s="268" t="str">
        <f>$Y$6</f>
        <v>Total</v>
      </c>
    </row>
    <row r="17" spans="1:25" ht="12.45" x14ac:dyDescent="0.3"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  <c r="V17" s="319"/>
      <c r="W17" s="319"/>
      <c r="X17" s="319"/>
      <c r="Y17" s="319"/>
    </row>
    <row r="18" spans="1:25" ht="12.45" x14ac:dyDescent="0.3">
      <c r="A18" s="261" t="str">
        <f>name!A5</f>
        <v>Coal, oil &amp; gas; Mining &amp; related</v>
      </c>
      <c r="C18" s="263"/>
    </row>
    <row r="19" spans="1:25" ht="12.45" x14ac:dyDescent="0.3">
      <c r="A19" s="260" t="s">
        <v>356</v>
      </c>
      <c r="B19" s="300">
        <v>8.4089999999318668</v>
      </c>
      <c r="C19" s="300">
        <v>1.5899999999977141</v>
      </c>
      <c r="D19" s="300">
        <v>1.9810000000130186</v>
      </c>
      <c r="E19" s="300">
        <f>SUM(B19:D19)</f>
        <v>11.979999999942599</v>
      </c>
      <c r="F19" s="300"/>
      <c r="G19" s="300">
        <v>7.3409999999387585</v>
      </c>
      <c r="H19" s="300">
        <v>1.7990000000086361</v>
      </c>
      <c r="I19" s="300">
        <v>1.2400000000088585</v>
      </c>
      <c r="J19" s="300">
        <f>SUM(G19:I19)</f>
        <v>10.379999999956254</v>
      </c>
      <c r="K19" s="300"/>
      <c r="L19" s="300">
        <v>7.3079999999373291</v>
      </c>
      <c r="M19" s="300">
        <v>1.69100000001512</v>
      </c>
      <c r="N19" s="300">
        <v>2.1660000000100879</v>
      </c>
      <c r="O19" s="300">
        <f>SUM(L19:N19)</f>
        <v>11.164999999962538</v>
      </c>
      <c r="P19" s="300"/>
      <c r="Q19" s="300">
        <v>6.3400000000514796</v>
      </c>
      <c r="R19" s="300">
        <v>1.4970000000113584</v>
      </c>
      <c r="S19" s="300">
        <v>1.9310000000258492</v>
      </c>
      <c r="T19" s="300">
        <f>SUM(Q19:S19)</f>
        <v>9.7680000000886871</v>
      </c>
      <c r="U19" s="300"/>
      <c r="V19" s="300">
        <v>5.3409999999980613</v>
      </c>
      <c r="W19" s="300">
        <v>1.3630000000253228</v>
      </c>
      <c r="X19" s="300">
        <v>1.6700000000534116</v>
      </c>
      <c r="Y19" s="300">
        <f>SUM(V19:X19)</f>
        <v>8.374000000076796</v>
      </c>
    </row>
    <row r="20" spans="1:25" ht="12.45" x14ac:dyDescent="0.3">
      <c r="A20" s="260" t="s">
        <v>355</v>
      </c>
      <c r="B20" s="300">
        <v>51.653999999693013</v>
      </c>
      <c r="C20" s="300">
        <v>1.3460000000013317</v>
      </c>
      <c r="D20" s="300">
        <v>9.020999999981461</v>
      </c>
      <c r="E20" s="300">
        <f t="shared" ref="E20:E21" si="14">SUM(B20:D20)</f>
        <v>62.020999999675809</v>
      </c>
      <c r="F20" s="300"/>
      <c r="G20" s="300">
        <v>43.960999999901333</v>
      </c>
      <c r="H20" s="300">
        <v>1.8919999999969386</v>
      </c>
      <c r="I20" s="300">
        <v>4.7610000000259856</v>
      </c>
      <c r="J20" s="300">
        <f t="shared" ref="J20:J21" si="15">SUM(G20:I20)</f>
        <v>50.61399999992426</v>
      </c>
      <c r="K20" s="300"/>
      <c r="L20" s="300">
        <v>44.688999999983118</v>
      </c>
      <c r="M20" s="300">
        <v>1.3100000000023866</v>
      </c>
      <c r="N20" s="300">
        <v>4.8259999999598113</v>
      </c>
      <c r="O20" s="300">
        <f t="shared" ref="O20:O21" si="16">SUM(L20:N20)</f>
        <v>50.824999999945319</v>
      </c>
      <c r="P20" s="300"/>
      <c r="Q20" s="300">
        <v>38.869000000094083</v>
      </c>
      <c r="R20" s="300">
        <v>1.1730000000044345</v>
      </c>
      <c r="S20" s="300">
        <v>4.2849999999647705</v>
      </c>
      <c r="T20" s="300">
        <f t="shared" ref="T20:T21" si="17">SUM(Q20:S20)</f>
        <v>44.327000000063286</v>
      </c>
      <c r="U20" s="300"/>
      <c r="V20" s="300">
        <v>33.82100000009671</v>
      </c>
      <c r="W20" s="300">
        <v>1.0580000000061036</v>
      </c>
      <c r="X20" s="300">
        <v>3.6449999999915699</v>
      </c>
      <c r="Y20" s="300">
        <f t="shared" ref="Y20:Y21" si="18">SUM(V20:X20)</f>
        <v>38.524000000094382</v>
      </c>
    </row>
    <row r="21" spans="1:25" ht="12.45" x14ac:dyDescent="0.3">
      <c r="A21" s="264" t="s">
        <v>354</v>
      </c>
      <c r="B21" s="301">
        <f>SUM(B19:B20)</f>
        <v>60.062999999624878</v>
      </c>
      <c r="C21" s="301">
        <f t="shared" ref="C21" si="19">SUM(C19:C20)</f>
        <v>2.935999999999046</v>
      </c>
      <c r="D21" s="301">
        <f t="shared" ref="D21" si="20">SUM(D19:D20)</f>
        <v>11.00199999999448</v>
      </c>
      <c r="E21" s="301">
        <f t="shared" si="14"/>
        <v>74.000999999618401</v>
      </c>
      <c r="F21" s="301"/>
      <c r="G21" s="301">
        <f>SUM(G19:G20)</f>
        <v>51.301999999840092</v>
      </c>
      <c r="H21" s="301">
        <f t="shared" ref="H21" si="21">SUM(H19:H20)</f>
        <v>3.6910000000055749</v>
      </c>
      <c r="I21" s="301">
        <f t="shared" ref="I21" si="22">SUM(I19:I20)</f>
        <v>6.0010000000348445</v>
      </c>
      <c r="J21" s="301">
        <f t="shared" si="15"/>
        <v>60.993999999880508</v>
      </c>
      <c r="K21" s="301"/>
      <c r="L21" s="301">
        <f>SUM(L19:L20)</f>
        <v>51.996999999920448</v>
      </c>
      <c r="M21" s="301">
        <f t="shared" ref="M21" si="23">SUM(M19:M20)</f>
        <v>3.0010000000175063</v>
      </c>
      <c r="N21" s="301">
        <f t="shared" ref="N21" si="24">SUM(N19:N20)</f>
        <v>6.9919999999698987</v>
      </c>
      <c r="O21" s="301">
        <f t="shared" si="16"/>
        <v>61.989999999907852</v>
      </c>
      <c r="P21" s="301"/>
      <c r="Q21" s="301">
        <f>SUM(Q19:Q20)</f>
        <v>45.209000000145565</v>
      </c>
      <c r="R21" s="301">
        <f t="shared" ref="R21" si="25">SUM(R19:R20)</f>
        <v>2.6700000000157926</v>
      </c>
      <c r="S21" s="301">
        <f t="shared" ref="S21" si="26">SUM(S19:S20)</f>
        <v>6.2159999999906201</v>
      </c>
      <c r="T21" s="301">
        <f t="shared" si="17"/>
        <v>54.095000000151977</v>
      </c>
      <c r="U21" s="301"/>
      <c r="V21" s="301">
        <f>SUM(V19:V20)</f>
        <v>39.162000000094771</v>
      </c>
      <c r="W21" s="301">
        <f t="shared" ref="W21" si="27">SUM(W19:W20)</f>
        <v>2.4210000000314267</v>
      </c>
      <c r="X21" s="301">
        <f t="shared" ref="X21" si="28">SUM(X19:X20)</f>
        <v>5.3150000000449813</v>
      </c>
      <c r="Y21" s="301">
        <f t="shared" si="18"/>
        <v>46.89800000017118</v>
      </c>
    </row>
    <row r="22" spans="1:25" x14ac:dyDescent="0.35">
      <c r="A22" s="262"/>
    </row>
    <row r="23" spans="1:25" x14ac:dyDescent="0.35">
      <c r="A23" s="262"/>
    </row>
    <row r="24" spans="1:25" x14ac:dyDescent="0.35">
      <c r="A24" s="262"/>
    </row>
    <row r="25" spans="1:25" ht="14.15" x14ac:dyDescent="0.35">
      <c r="A25" s="265" t="str">
        <f>"Industry 3 : "&amp; name!B6</f>
        <v>Industry 3 : Food drink and tobacco</v>
      </c>
      <c r="B25" s="372">
        <f>$B$5</f>
        <v>2015</v>
      </c>
      <c r="C25" s="372"/>
      <c r="D25" s="372"/>
      <c r="E25" s="372"/>
      <c r="F25" s="320"/>
      <c r="G25" s="372">
        <f>$G$5</f>
        <v>2019</v>
      </c>
      <c r="H25" s="372"/>
      <c r="I25" s="372"/>
      <c r="J25" s="372"/>
      <c r="K25" s="320"/>
      <c r="L25" s="372">
        <f>$L$5</f>
        <v>2020</v>
      </c>
      <c r="M25" s="372"/>
      <c r="N25" s="372"/>
      <c r="O25" s="372"/>
      <c r="P25" s="318"/>
      <c r="Q25" s="372">
        <f>$Q$5</f>
        <v>2025</v>
      </c>
      <c r="R25" s="372"/>
      <c r="S25" s="372"/>
      <c r="T25" s="372"/>
      <c r="U25" s="320"/>
      <c r="V25" s="372">
        <f>$V$5</f>
        <v>2035</v>
      </c>
      <c r="W25" s="372"/>
      <c r="X25" s="372"/>
      <c r="Y25" s="372"/>
    </row>
    <row r="26" spans="1:25" ht="12.45" x14ac:dyDescent="0.3">
      <c r="A26" s="264"/>
      <c r="B26" s="268" t="str">
        <f>$B$6</f>
        <v>FT</v>
      </c>
      <c r="C26" s="268" t="str">
        <f>$C$6</f>
        <v>PT</v>
      </c>
      <c r="D26" s="268" t="str">
        <f>$D$6</f>
        <v>SE</v>
      </c>
      <c r="E26" s="268" t="str">
        <f>$E$6</f>
        <v>Total</v>
      </c>
      <c r="F26" s="268"/>
      <c r="G26" s="268" t="str">
        <f>$B$6</f>
        <v>FT</v>
      </c>
      <c r="H26" s="268" t="str">
        <f>$C$6</f>
        <v>PT</v>
      </c>
      <c r="I26" s="268" t="str">
        <f>$D$6</f>
        <v>SE</v>
      </c>
      <c r="J26" s="268" t="str">
        <f>$E$6</f>
        <v>Total</v>
      </c>
      <c r="K26" s="268"/>
      <c r="L26" s="268" t="str">
        <f>$L$6</f>
        <v>FT</v>
      </c>
      <c r="M26" s="268" t="str">
        <f>$M$6</f>
        <v>PT</v>
      </c>
      <c r="N26" s="268" t="str">
        <f>$N$6</f>
        <v>SE</v>
      </c>
      <c r="O26" s="268" t="str">
        <f>$O$6</f>
        <v>Total</v>
      </c>
      <c r="P26" s="268"/>
      <c r="Q26" s="268" t="str">
        <f>$L$6</f>
        <v>FT</v>
      </c>
      <c r="R26" s="268" t="str">
        <f>$M$6</f>
        <v>PT</v>
      </c>
      <c r="S26" s="268" t="str">
        <f>$N$6</f>
        <v>SE</v>
      </c>
      <c r="T26" s="268" t="str">
        <f>$O$6</f>
        <v>Total</v>
      </c>
      <c r="U26" s="268"/>
      <c r="V26" s="268" t="str">
        <f>$V$6</f>
        <v>FT</v>
      </c>
      <c r="W26" s="268" t="str">
        <f>$W$6</f>
        <v>PT</v>
      </c>
      <c r="X26" s="268" t="str">
        <f>$X$6</f>
        <v>SE</v>
      </c>
      <c r="Y26" s="268" t="str">
        <f>$Y$6</f>
        <v>Total</v>
      </c>
    </row>
    <row r="27" spans="1:25" ht="12.45" x14ac:dyDescent="0.3"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</row>
    <row r="28" spans="1:25" ht="12.45" x14ac:dyDescent="0.3">
      <c r="A28" s="261" t="str">
        <f>name!A6</f>
        <v>Food products</v>
      </c>
      <c r="C28" s="263"/>
    </row>
    <row r="29" spans="1:25" ht="12.45" x14ac:dyDescent="0.3">
      <c r="A29" s="260" t="s">
        <v>356</v>
      </c>
      <c r="B29" s="300">
        <v>98.961999999919669</v>
      </c>
      <c r="C29" s="300">
        <v>31.002000000867891</v>
      </c>
      <c r="D29" s="300">
        <v>8.3710000001852958</v>
      </c>
      <c r="E29" s="300">
        <f>SUM(B29:D29)</f>
        <v>138.33500000097285</v>
      </c>
      <c r="F29" s="300"/>
      <c r="G29" s="300">
        <v>110.90599999866052</v>
      </c>
      <c r="H29" s="300">
        <v>29.931000000655001</v>
      </c>
      <c r="I29" s="300">
        <v>8.9440000001681348</v>
      </c>
      <c r="J29" s="300">
        <f>SUM(G29:I29)</f>
        <v>149.78099999948364</v>
      </c>
      <c r="K29" s="300"/>
      <c r="L29" s="300">
        <v>109.82299999958501</v>
      </c>
      <c r="M29" s="300">
        <v>28.977000000730246</v>
      </c>
      <c r="N29" s="300">
        <v>8.2379999998561466</v>
      </c>
      <c r="O29" s="300">
        <f>SUM(L29:N29)</f>
        <v>147.03800000017142</v>
      </c>
      <c r="P29" s="300"/>
      <c r="Q29" s="300">
        <v>115.10700000326686</v>
      </c>
      <c r="R29" s="300">
        <v>29.481000001164091</v>
      </c>
      <c r="S29" s="300">
        <v>8.4239999999967168</v>
      </c>
      <c r="T29" s="300">
        <f>SUM(Q29:S29)</f>
        <v>153.01200000442768</v>
      </c>
      <c r="U29" s="300"/>
      <c r="V29" s="300">
        <v>119.11199999950438</v>
      </c>
      <c r="W29" s="300">
        <v>28.814999999793418</v>
      </c>
      <c r="X29" s="300">
        <v>8.2730000000178538</v>
      </c>
      <c r="Y29" s="300">
        <f>SUM(V29:X29)</f>
        <v>156.19999999931565</v>
      </c>
    </row>
    <row r="30" spans="1:25" ht="12.45" x14ac:dyDescent="0.3">
      <c r="A30" s="260" t="s">
        <v>355</v>
      </c>
      <c r="B30" s="300">
        <v>224.48900000066254</v>
      </c>
      <c r="C30" s="300">
        <v>14.88900000013756</v>
      </c>
      <c r="D30" s="300">
        <v>8.5759999999892358</v>
      </c>
      <c r="E30" s="300">
        <f t="shared" ref="E30:E31" si="29">SUM(B30:D30)</f>
        <v>247.95400000078934</v>
      </c>
      <c r="F30" s="300"/>
      <c r="G30" s="300">
        <v>234.57600000081197</v>
      </c>
      <c r="H30" s="300">
        <v>16.968000000133227</v>
      </c>
      <c r="I30" s="300">
        <v>3.9670000000258732</v>
      </c>
      <c r="J30" s="300">
        <f t="shared" ref="J30:J31" si="30">SUM(G30:I30)</f>
        <v>255.51100000097108</v>
      </c>
      <c r="K30" s="300"/>
      <c r="L30" s="300">
        <v>234.31900000008409</v>
      </c>
      <c r="M30" s="300">
        <v>17.020999999881962</v>
      </c>
      <c r="N30" s="300">
        <v>4.9759999999643227</v>
      </c>
      <c r="O30" s="300">
        <f t="shared" ref="O30:O31" si="31">SUM(L30:N30)</f>
        <v>256.31599999993034</v>
      </c>
      <c r="P30" s="300"/>
      <c r="Q30" s="300">
        <v>234.43500000107437</v>
      </c>
      <c r="R30" s="300">
        <v>17.381999999946146</v>
      </c>
      <c r="S30" s="300">
        <v>5.1339999999468597</v>
      </c>
      <c r="T30" s="300">
        <f t="shared" ref="T30:T31" si="32">SUM(Q30:S30)</f>
        <v>256.95100000096738</v>
      </c>
      <c r="U30" s="300"/>
      <c r="V30" s="300">
        <v>222.46500000118508</v>
      </c>
      <c r="W30" s="300">
        <v>17.164999999942555</v>
      </c>
      <c r="X30" s="300">
        <v>5.1029999999631777</v>
      </c>
      <c r="Y30" s="300">
        <f t="shared" ref="Y30:Y31" si="33">SUM(V30:X30)</f>
        <v>244.7330000010908</v>
      </c>
    </row>
    <row r="31" spans="1:25" ht="12.45" x14ac:dyDescent="0.3">
      <c r="A31" s="260" t="s">
        <v>354</v>
      </c>
      <c r="B31" s="300">
        <f>SUM(B29:B30)</f>
        <v>323.45100000058221</v>
      </c>
      <c r="C31" s="300">
        <f t="shared" ref="C31" si="34">SUM(C29:C30)</f>
        <v>45.891000001005452</v>
      </c>
      <c r="D31" s="300">
        <f t="shared" ref="D31" si="35">SUM(D29:D30)</f>
        <v>16.947000000174533</v>
      </c>
      <c r="E31" s="300">
        <f t="shared" si="29"/>
        <v>386.28900000176219</v>
      </c>
      <c r="F31" s="300"/>
      <c r="G31" s="300">
        <f>SUM(G29:G30)</f>
        <v>345.48199999947246</v>
      </c>
      <c r="H31" s="300">
        <f t="shared" ref="H31" si="36">SUM(H29:H30)</f>
        <v>46.899000000788227</v>
      </c>
      <c r="I31" s="300">
        <f t="shared" ref="I31" si="37">SUM(I29:I30)</f>
        <v>12.911000000194008</v>
      </c>
      <c r="J31" s="300">
        <f t="shared" si="30"/>
        <v>405.29200000045472</v>
      </c>
      <c r="K31" s="300"/>
      <c r="L31" s="300">
        <f>SUM(L29:L30)</f>
        <v>344.14199999966911</v>
      </c>
      <c r="M31" s="300">
        <f t="shared" ref="M31" si="38">SUM(M29:M30)</f>
        <v>45.998000000612208</v>
      </c>
      <c r="N31" s="300">
        <f t="shared" ref="N31" si="39">SUM(N29:N30)</f>
        <v>13.213999999820469</v>
      </c>
      <c r="O31" s="300">
        <f t="shared" si="31"/>
        <v>403.35400000010179</v>
      </c>
      <c r="P31" s="300"/>
      <c r="Q31" s="300">
        <f>SUM(Q29:Q30)</f>
        <v>349.54200000434122</v>
      </c>
      <c r="R31" s="300">
        <f t="shared" ref="R31" si="40">SUM(R29:R30)</f>
        <v>46.863000001110237</v>
      </c>
      <c r="S31" s="300">
        <f t="shared" ref="S31" si="41">SUM(S29:S30)</f>
        <v>13.557999999943576</v>
      </c>
      <c r="T31" s="300">
        <f t="shared" si="32"/>
        <v>409.96300000539509</v>
      </c>
      <c r="U31" s="300"/>
      <c r="V31" s="300">
        <f>SUM(V29:V30)</f>
        <v>341.57700000068945</v>
      </c>
      <c r="W31" s="300">
        <f t="shared" ref="W31" si="42">SUM(W29:W30)</f>
        <v>45.979999999735973</v>
      </c>
      <c r="X31" s="300">
        <f t="shared" ref="X31" si="43">SUM(X29:X30)</f>
        <v>13.375999999981032</v>
      </c>
      <c r="Y31" s="300">
        <f t="shared" si="33"/>
        <v>400.93300000040648</v>
      </c>
    </row>
    <row r="32" spans="1:25" ht="12.45" x14ac:dyDescent="0.3"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  <c r="V32" s="319"/>
      <c r="W32" s="319"/>
      <c r="X32" s="319"/>
      <c r="Y32" s="319"/>
    </row>
    <row r="33" spans="1:25" ht="12.45" x14ac:dyDescent="0.3">
      <c r="A33" s="261" t="str">
        <f>name!A7</f>
        <v>Beverages and tobacco</v>
      </c>
      <c r="C33" s="263"/>
    </row>
    <row r="34" spans="1:25" ht="12.45" x14ac:dyDescent="0.3">
      <c r="A34" s="260" t="s">
        <v>356</v>
      </c>
      <c r="B34" s="300">
        <v>9.2379999999363775</v>
      </c>
      <c r="C34" s="300">
        <v>3.7300000000323346</v>
      </c>
      <c r="D34" s="300">
        <v>0.93900000000998507</v>
      </c>
      <c r="E34" s="300">
        <f>SUM(B34:D34)</f>
        <v>13.906999999978696</v>
      </c>
      <c r="F34" s="300"/>
      <c r="G34" s="300">
        <v>11.033999999915707</v>
      </c>
      <c r="H34" s="300">
        <v>5.0520000000573679</v>
      </c>
      <c r="I34" s="300">
        <v>0.39100000000494162</v>
      </c>
      <c r="J34" s="300">
        <f>SUM(G34:I34)</f>
        <v>16.476999999978016</v>
      </c>
      <c r="K34" s="300"/>
      <c r="L34" s="300">
        <v>10.990999999946645</v>
      </c>
      <c r="M34" s="300">
        <v>4.9680000000346434</v>
      </c>
      <c r="N34" s="300">
        <v>1.0759999999938854</v>
      </c>
      <c r="O34" s="300">
        <f>SUM(L34:N34)</f>
        <v>17.034999999975174</v>
      </c>
      <c r="P34" s="300"/>
      <c r="Q34" s="300">
        <v>11.362000000224603</v>
      </c>
      <c r="R34" s="300">
        <v>4.9920000000736788</v>
      </c>
      <c r="S34" s="300">
        <v>1.1080000000017138</v>
      </c>
      <c r="T34" s="300">
        <f>SUM(Q34:S34)</f>
        <v>17.462000000299994</v>
      </c>
      <c r="U34" s="300"/>
      <c r="V34" s="300">
        <v>11.462000000001179</v>
      </c>
      <c r="W34" s="300">
        <v>4.772999999971165</v>
      </c>
      <c r="X34" s="300">
        <v>1.1009999999965983</v>
      </c>
      <c r="Y34" s="300">
        <f>SUM(V34:X34)</f>
        <v>17.335999999968944</v>
      </c>
    </row>
    <row r="35" spans="1:25" ht="12.45" x14ac:dyDescent="0.3">
      <c r="A35" s="260" t="s">
        <v>355</v>
      </c>
      <c r="B35" s="300">
        <v>24.391000000050294</v>
      </c>
      <c r="C35" s="300">
        <v>1.1050000000042923</v>
      </c>
      <c r="D35" s="300">
        <v>1.1139999999916843</v>
      </c>
      <c r="E35" s="300">
        <f t="shared" ref="E35:E36" si="44">SUM(B35:D35)</f>
        <v>26.61000000004627</v>
      </c>
      <c r="F35" s="300"/>
      <c r="G35" s="300">
        <v>28.301000000027091</v>
      </c>
      <c r="H35" s="300">
        <v>2.0240000000020149</v>
      </c>
      <c r="I35" s="300">
        <v>0.61800000000077371</v>
      </c>
      <c r="J35" s="300">
        <f t="shared" ref="J35:J36" si="45">SUM(G35:I35)</f>
        <v>30.94300000002988</v>
      </c>
      <c r="K35" s="300"/>
      <c r="L35" s="300">
        <v>28.240999999844433</v>
      </c>
      <c r="M35" s="300">
        <v>2.0149999999873285</v>
      </c>
      <c r="N35" s="300">
        <v>1.6170000000058629</v>
      </c>
      <c r="O35" s="300">
        <f t="shared" ref="O35:O36" si="46">SUM(L35:N35)</f>
        <v>31.872999999837624</v>
      </c>
      <c r="P35" s="300"/>
      <c r="Q35" s="300">
        <v>28.275000000019151</v>
      </c>
      <c r="R35" s="300">
        <v>2.0399999999945369</v>
      </c>
      <c r="S35" s="300">
        <v>1.6440000000127126</v>
      </c>
      <c r="T35" s="300">
        <f t="shared" ref="T35:T36" si="47">SUM(Q35:S35)</f>
        <v>31.959000000026403</v>
      </c>
      <c r="U35" s="300"/>
      <c r="V35" s="300">
        <v>26.852000000004569</v>
      </c>
      <c r="W35" s="300">
        <v>1.981999999991608</v>
      </c>
      <c r="X35" s="300">
        <v>1.7830000000089616</v>
      </c>
      <c r="Y35" s="300">
        <f t="shared" ref="Y35:Y36" si="48">SUM(V35:X35)</f>
        <v>30.617000000005138</v>
      </c>
    </row>
    <row r="36" spans="1:25" ht="12.45" x14ac:dyDescent="0.3">
      <c r="A36" s="260" t="s">
        <v>354</v>
      </c>
      <c r="B36" s="300">
        <f>SUM(B34:B35)</f>
        <v>33.628999999986675</v>
      </c>
      <c r="C36" s="300">
        <f t="shared" ref="C36" si="49">SUM(C34:C35)</f>
        <v>4.8350000000366267</v>
      </c>
      <c r="D36" s="300">
        <f t="shared" ref="D36" si="50">SUM(D34:D35)</f>
        <v>2.0530000000016693</v>
      </c>
      <c r="E36" s="300">
        <f t="shared" si="44"/>
        <v>40.517000000024971</v>
      </c>
      <c r="F36" s="300"/>
      <c r="G36" s="300">
        <f>SUM(G34:G35)</f>
        <v>39.334999999942795</v>
      </c>
      <c r="H36" s="300">
        <f t="shared" ref="H36" si="51">SUM(H34:H35)</f>
        <v>7.0760000000593823</v>
      </c>
      <c r="I36" s="300">
        <f t="shared" ref="I36" si="52">SUM(I34:I35)</f>
        <v>1.0090000000057153</v>
      </c>
      <c r="J36" s="300">
        <f t="shared" si="45"/>
        <v>47.420000000007889</v>
      </c>
      <c r="K36" s="300"/>
      <c r="L36" s="300">
        <f>SUM(L34:L35)</f>
        <v>39.231999999791078</v>
      </c>
      <c r="M36" s="300">
        <f t="shared" ref="M36" si="53">SUM(M34:M35)</f>
        <v>6.9830000000219723</v>
      </c>
      <c r="N36" s="300">
        <f t="shared" ref="N36" si="54">SUM(N34:N35)</f>
        <v>2.6929999999997483</v>
      </c>
      <c r="O36" s="300">
        <f t="shared" si="46"/>
        <v>48.907999999812802</v>
      </c>
      <c r="P36" s="300"/>
      <c r="Q36" s="300">
        <f>SUM(Q34:Q35)</f>
        <v>39.637000000243752</v>
      </c>
      <c r="R36" s="300">
        <f t="shared" ref="R36" si="55">SUM(R34:R35)</f>
        <v>7.0320000000682157</v>
      </c>
      <c r="S36" s="300">
        <f t="shared" ref="S36" si="56">SUM(S34:S35)</f>
        <v>2.7520000000144265</v>
      </c>
      <c r="T36" s="300">
        <f t="shared" si="47"/>
        <v>49.421000000326394</v>
      </c>
      <c r="U36" s="300"/>
      <c r="V36" s="300">
        <f>SUM(V34:V35)</f>
        <v>38.314000000005748</v>
      </c>
      <c r="W36" s="300">
        <f t="shared" ref="W36" si="57">SUM(W34:W35)</f>
        <v>6.7549999999627728</v>
      </c>
      <c r="X36" s="300">
        <f t="shared" ref="X36" si="58">SUM(X34:X35)</f>
        <v>2.8840000000055599</v>
      </c>
      <c r="Y36" s="300">
        <f t="shared" si="48"/>
        <v>47.952999999974075</v>
      </c>
    </row>
    <row r="37" spans="1:25" ht="12.45" x14ac:dyDescent="0.3">
      <c r="C37" s="263"/>
    </row>
    <row r="38" spans="1:25" x14ac:dyDescent="0.35">
      <c r="A38" s="261" t="s">
        <v>372</v>
      </c>
    </row>
    <row r="39" spans="1:25" ht="12.45" x14ac:dyDescent="0.3">
      <c r="A39" s="260" t="s">
        <v>356</v>
      </c>
      <c r="B39" s="300">
        <f>SUM(B29,B34)</f>
        <v>108.19999999985605</v>
      </c>
      <c r="C39" s="300">
        <f t="shared" ref="C39:D40" si="59">SUM(C29,C34)</f>
        <v>34.732000000900229</v>
      </c>
      <c r="D39" s="300">
        <f t="shared" si="59"/>
        <v>9.3100000001952807</v>
      </c>
      <c r="E39" s="300">
        <f>SUM(B39:D39)</f>
        <v>152.24200000095155</v>
      </c>
      <c r="F39" s="300"/>
      <c r="G39" s="300">
        <f>SUM(G29,G34)</f>
        <v>121.93999999857623</v>
      </c>
      <c r="H39" s="300">
        <f t="shared" ref="H39:I39" si="60">SUM(H29,H34)</f>
        <v>34.983000000712366</v>
      </c>
      <c r="I39" s="300">
        <f t="shared" si="60"/>
        <v>9.3350000001730766</v>
      </c>
      <c r="J39" s="300">
        <f>SUM(G39:I39)</f>
        <v>166.25799999946167</v>
      </c>
      <c r="K39" s="300"/>
      <c r="L39" s="300">
        <f>SUM(L29,L34)</f>
        <v>120.81399999953166</v>
      </c>
      <c r="M39" s="300">
        <f t="shared" ref="M39:N39" si="61">SUM(M29,M34)</f>
        <v>33.945000000764892</v>
      </c>
      <c r="N39" s="300">
        <f t="shared" si="61"/>
        <v>9.3139999998500329</v>
      </c>
      <c r="O39" s="300">
        <f>SUM(L39:N39)</f>
        <v>164.07300000014661</v>
      </c>
      <c r="P39" s="300"/>
      <c r="Q39" s="300">
        <f>SUM(Q29,Q34)</f>
        <v>126.46900000349146</v>
      </c>
      <c r="R39" s="300">
        <f t="shared" ref="R39:S39" si="62">SUM(R29,R34)</f>
        <v>34.473000001237772</v>
      </c>
      <c r="S39" s="300">
        <f t="shared" si="62"/>
        <v>9.5319999999984297</v>
      </c>
      <c r="T39" s="300">
        <f>SUM(Q39:S39)</f>
        <v>170.47400000472766</v>
      </c>
      <c r="U39" s="300"/>
      <c r="V39" s="300">
        <f>SUM(V29,V34)</f>
        <v>130.57399999950556</v>
      </c>
      <c r="W39" s="300">
        <f t="shared" ref="W39:X39" si="63">SUM(W29,W34)</f>
        <v>33.587999999764584</v>
      </c>
      <c r="X39" s="300">
        <f t="shared" si="63"/>
        <v>9.3740000000144512</v>
      </c>
      <c r="Y39" s="300">
        <f>SUM(V39:X39)</f>
        <v>173.5359999992846</v>
      </c>
    </row>
    <row r="40" spans="1:25" ht="12.45" x14ac:dyDescent="0.3">
      <c r="A40" s="260" t="s">
        <v>355</v>
      </c>
      <c r="B40" s="300">
        <f>SUM(B30,B35)</f>
        <v>248.88000000071284</v>
      </c>
      <c r="C40" s="300">
        <f t="shared" si="59"/>
        <v>15.994000000141853</v>
      </c>
      <c r="D40" s="300">
        <f t="shared" si="59"/>
        <v>9.6899999999809197</v>
      </c>
      <c r="E40" s="300">
        <f t="shared" ref="E40:E41" si="64">SUM(B40:D40)</f>
        <v>274.56400000083562</v>
      </c>
      <c r="F40" s="300"/>
      <c r="G40" s="300">
        <f>SUM(G30,G35)</f>
        <v>262.87700000083908</v>
      </c>
      <c r="H40" s="300">
        <f t="shared" ref="H40:I40" si="65">SUM(H30,H35)</f>
        <v>18.992000000135242</v>
      </c>
      <c r="I40" s="300">
        <f t="shared" si="65"/>
        <v>4.5850000000266471</v>
      </c>
      <c r="J40" s="300">
        <f t="shared" ref="J40:J41" si="66">SUM(G40:I40)</f>
        <v>286.45400000100096</v>
      </c>
      <c r="K40" s="300"/>
      <c r="L40" s="300">
        <f>SUM(L30,L35)</f>
        <v>262.55999999992855</v>
      </c>
      <c r="M40" s="300">
        <f t="shared" ref="M40:N40" si="67">SUM(M30,M35)</f>
        <v>19.03599999986929</v>
      </c>
      <c r="N40" s="300">
        <f t="shared" si="67"/>
        <v>6.5929999999701856</v>
      </c>
      <c r="O40" s="300">
        <f t="shared" ref="O40:O41" si="68">SUM(L40:N40)</f>
        <v>288.18899999976804</v>
      </c>
      <c r="P40" s="300"/>
      <c r="Q40" s="300">
        <f>SUM(Q30,Q35)</f>
        <v>262.71000000109353</v>
      </c>
      <c r="R40" s="300">
        <f t="shared" ref="R40:S40" si="69">SUM(R30,R35)</f>
        <v>19.421999999940681</v>
      </c>
      <c r="S40" s="300">
        <f t="shared" si="69"/>
        <v>6.7779999999595724</v>
      </c>
      <c r="T40" s="300">
        <f t="shared" ref="T40:T41" si="70">SUM(Q40:S40)</f>
        <v>288.91000000099376</v>
      </c>
      <c r="U40" s="300"/>
      <c r="V40" s="300">
        <f>SUM(V30,V35)</f>
        <v>249.31700000118965</v>
      </c>
      <c r="W40" s="300">
        <f t="shared" ref="W40:X40" si="71">SUM(W30,W35)</f>
        <v>19.146999999934163</v>
      </c>
      <c r="X40" s="300">
        <f t="shared" si="71"/>
        <v>6.8859999999721389</v>
      </c>
      <c r="Y40" s="300">
        <f t="shared" ref="Y40:Y41" si="72">SUM(V40:X40)</f>
        <v>275.35000000109591</v>
      </c>
    </row>
    <row r="41" spans="1:25" ht="12.45" x14ac:dyDescent="0.3">
      <c r="A41" s="264" t="s">
        <v>354</v>
      </c>
      <c r="B41" s="301">
        <f>SUM(B39:B40)</f>
        <v>357.08000000056887</v>
      </c>
      <c r="C41" s="301">
        <f t="shared" ref="C41" si="73">SUM(C39:C40)</f>
        <v>50.726000001042081</v>
      </c>
      <c r="D41" s="301">
        <f t="shared" ref="D41" si="74">SUM(D39:D40)</f>
        <v>19.0000000001762</v>
      </c>
      <c r="E41" s="301">
        <f t="shared" si="64"/>
        <v>426.8060000017872</v>
      </c>
      <c r="F41" s="301"/>
      <c r="G41" s="301">
        <f>SUM(G39:G40)</f>
        <v>384.81699999941532</v>
      </c>
      <c r="H41" s="301">
        <f t="shared" ref="H41" si="75">SUM(H39:H40)</f>
        <v>53.975000000847608</v>
      </c>
      <c r="I41" s="301">
        <f t="shared" ref="I41" si="76">SUM(I39:I40)</f>
        <v>13.920000000199725</v>
      </c>
      <c r="J41" s="301">
        <f t="shared" si="66"/>
        <v>452.71200000046264</v>
      </c>
      <c r="K41" s="301"/>
      <c r="L41" s="301">
        <f>SUM(L39:L40)</f>
        <v>383.37399999946024</v>
      </c>
      <c r="M41" s="301">
        <f t="shared" ref="M41" si="77">SUM(M39:M40)</f>
        <v>52.981000000634182</v>
      </c>
      <c r="N41" s="301">
        <f t="shared" ref="N41" si="78">SUM(N39:N40)</f>
        <v>15.906999999820219</v>
      </c>
      <c r="O41" s="301">
        <f t="shared" si="68"/>
        <v>452.26199999991468</v>
      </c>
      <c r="P41" s="301"/>
      <c r="Q41" s="301">
        <f>SUM(Q39:Q40)</f>
        <v>389.17900000458496</v>
      </c>
      <c r="R41" s="301">
        <f t="shared" ref="R41" si="79">SUM(R39:R40)</f>
        <v>53.895000001178452</v>
      </c>
      <c r="S41" s="301">
        <f t="shared" ref="S41" si="80">SUM(S39:S40)</f>
        <v>16.309999999958002</v>
      </c>
      <c r="T41" s="301">
        <f t="shared" si="70"/>
        <v>459.38400000572142</v>
      </c>
      <c r="U41" s="301"/>
      <c r="V41" s="301">
        <f>SUM(V39:V40)</f>
        <v>379.89100000069521</v>
      </c>
      <c r="W41" s="301">
        <f t="shared" ref="W41" si="81">SUM(W39:W40)</f>
        <v>52.734999999698744</v>
      </c>
      <c r="X41" s="301">
        <f t="shared" ref="X41" si="82">SUM(X39:X40)</f>
        <v>16.25999999998659</v>
      </c>
      <c r="Y41" s="301">
        <f t="shared" si="72"/>
        <v>448.88600000038053</v>
      </c>
    </row>
    <row r="45" spans="1:25" ht="14.15" x14ac:dyDescent="0.35">
      <c r="A45" s="265" t="str">
        <f>"Industry 4 : "&amp; name!B7</f>
        <v>Industry 4 : Engineering</v>
      </c>
      <c r="B45" s="372">
        <f>$B$5</f>
        <v>2015</v>
      </c>
      <c r="C45" s="372"/>
      <c r="D45" s="372"/>
      <c r="E45" s="372"/>
      <c r="F45" s="320"/>
      <c r="G45" s="372">
        <f>$G$5</f>
        <v>2019</v>
      </c>
      <c r="H45" s="372"/>
      <c r="I45" s="372"/>
      <c r="J45" s="372"/>
      <c r="K45" s="320"/>
      <c r="L45" s="372">
        <f>$L$5</f>
        <v>2020</v>
      </c>
      <c r="M45" s="372"/>
      <c r="N45" s="372"/>
      <c r="O45" s="372"/>
      <c r="P45" s="318"/>
      <c r="Q45" s="372">
        <f>$Q$5</f>
        <v>2025</v>
      </c>
      <c r="R45" s="372"/>
      <c r="S45" s="372"/>
      <c r="T45" s="372"/>
      <c r="U45" s="320"/>
      <c r="V45" s="372">
        <f>$V$5</f>
        <v>2035</v>
      </c>
      <c r="W45" s="372"/>
      <c r="X45" s="372"/>
      <c r="Y45" s="372"/>
    </row>
    <row r="46" spans="1:25" ht="12.45" x14ac:dyDescent="0.3">
      <c r="A46" s="264"/>
      <c r="B46" s="268" t="str">
        <f>$B$6</f>
        <v>FT</v>
      </c>
      <c r="C46" s="268" t="str">
        <f>$C$6</f>
        <v>PT</v>
      </c>
      <c r="D46" s="268" t="str">
        <f>$D$6</f>
        <v>SE</v>
      </c>
      <c r="E46" s="268" t="str">
        <f>$E$6</f>
        <v>Total</v>
      </c>
      <c r="F46" s="268"/>
      <c r="G46" s="268" t="str">
        <f>$B$6</f>
        <v>FT</v>
      </c>
      <c r="H46" s="268" t="str">
        <f>$C$6</f>
        <v>PT</v>
      </c>
      <c r="I46" s="268" t="str">
        <f>$D$6</f>
        <v>SE</v>
      </c>
      <c r="J46" s="268" t="str">
        <f>$E$6</f>
        <v>Total</v>
      </c>
      <c r="K46" s="268"/>
      <c r="L46" s="268" t="str">
        <f>$L$6</f>
        <v>FT</v>
      </c>
      <c r="M46" s="268" t="str">
        <f>$M$6</f>
        <v>PT</v>
      </c>
      <c r="N46" s="268" t="str">
        <f>$N$6</f>
        <v>SE</v>
      </c>
      <c r="O46" s="268" t="str">
        <f>$O$6</f>
        <v>Total</v>
      </c>
      <c r="P46" s="268"/>
      <c r="Q46" s="268" t="str">
        <f>$L$6</f>
        <v>FT</v>
      </c>
      <c r="R46" s="268" t="str">
        <f>$M$6</f>
        <v>PT</v>
      </c>
      <c r="S46" s="268" t="str">
        <f>$N$6</f>
        <v>SE</v>
      </c>
      <c r="T46" s="268" t="str">
        <f>$O$6</f>
        <v>Total</v>
      </c>
      <c r="U46" s="268"/>
      <c r="V46" s="268" t="str">
        <f>$V$6</f>
        <v>FT</v>
      </c>
      <c r="W46" s="268" t="str">
        <f>$W$6</f>
        <v>PT</v>
      </c>
      <c r="X46" s="268" t="str">
        <f>$X$6</f>
        <v>SE</v>
      </c>
      <c r="Y46" s="268" t="str">
        <f>$Y$6</f>
        <v>Total</v>
      </c>
    </row>
    <row r="47" spans="1:25" ht="12.45" x14ac:dyDescent="0.3"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19"/>
      <c r="S47" s="319"/>
      <c r="T47" s="319"/>
      <c r="U47" s="319"/>
      <c r="V47" s="319"/>
      <c r="W47" s="319"/>
      <c r="X47" s="319"/>
      <c r="Y47" s="319"/>
    </row>
    <row r="48" spans="1:25" ht="12.45" x14ac:dyDescent="0.3">
      <c r="A48" s="261" t="str">
        <f>name!A19</f>
        <v>Computer, etc</v>
      </c>
      <c r="C48" s="263"/>
    </row>
    <row r="49" spans="1:25" ht="12.45" x14ac:dyDescent="0.3">
      <c r="A49" s="260" t="s">
        <v>356</v>
      </c>
      <c r="B49" s="300">
        <v>24.988999999835094</v>
      </c>
      <c r="C49" s="300">
        <v>5.9970000000956656</v>
      </c>
      <c r="D49" s="300">
        <v>1.2010000000077408</v>
      </c>
      <c r="E49" s="300">
        <f>SUM(B49:D49)</f>
        <v>32.1869999999385</v>
      </c>
      <c r="F49" s="300"/>
      <c r="G49" s="300">
        <v>23.988999999649156</v>
      </c>
      <c r="H49" s="300">
        <v>4.9980000000743914</v>
      </c>
      <c r="I49" s="300">
        <v>1.138000000003061</v>
      </c>
      <c r="J49" s="300">
        <f>SUM(G49:I49)</f>
        <v>30.124999999726608</v>
      </c>
      <c r="K49" s="300"/>
      <c r="L49" s="300">
        <v>28.023999999755073</v>
      </c>
      <c r="M49" s="300">
        <v>5.0020000000584641</v>
      </c>
      <c r="N49" s="300">
        <v>1.9879999999769944</v>
      </c>
      <c r="O49" s="300">
        <f>SUM(L49:N49)</f>
        <v>35.013999999790528</v>
      </c>
      <c r="P49" s="300"/>
      <c r="Q49" s="300">
        <v>28.322000000455436</v>
      </c>
      <c r="R49" s="300">
        <v>5.0530000001172954</v>
      </c>
      <c r="S49" s="300">
        <v>2.1139999999938262</v>
      </c>
      <c r="T49" s="300">
        <f>SUM(Q49:S49)</f>
        <v>35.489000000566563</v>
      </c>
      <c r="U49" s="300"/>
      <c r="V49" s="300">
        <v>22.430000000036326</v>
      </c>
      <c r="W49" s="300">
        <v>3.9889999999898551</v>
      </c>
      <c r="X49" s="300">
        <v>1.8619999999942167</v>
      </c>
      <c r="Y49" s="300">
        <f>SUM(V49:X49)</f>
        <v>28.281000000020398</v>
      </c>
    </row>
    <row r="50" spans="1:25" ht="12.45" x14ac:dyDescent="0.3">
      <c r="A50" s="260" t="s">
        <v>355</v>
      </c>
      <c r="B50" s="300">
        <v>79.010999999654473</v>
      </c>
      <c r="C50" s="300">
        <v>3.9499999999961117</v>
      </c>
      <c r="D50" s="300">
        <v>4.8000000000725125</v>
      </c>
      <c r="E50" s="300">
        <f t="shared" ref="E50:E51" si="83">SUM(B50:D50)</f>
        <v>87.760999999723097</v>
      </c>
      <c r="F50" s="300"/>
      <c r="G50" s="300">
        <v>83.961999999803012</v>
      </c>
      <c r="H50" s="300">
        <v>2.998999999999366</v>
      </c>
      <c r="I50" s="300">
        <v>6.8180000000089827</v>
      </c>
      <c r="J50" s="300">
        <f t="shared" ref="J50:J51" si="84">SUM(G50:I50)</f>
        <v>93.778999999811361</v>
      </c>
      <c r="K50" s="300"/>
      <c r="L50" s="300">
        <v>85.113999999830654</v>
      </c>
      <c r="M50" s="300">
        <v>3.9579999999852671</v>
      </c>
      <c r="N50" s="300">
        <v>3.9810000000438124</v>
      </c>
      <c r="O50" s="300">
        <f t="shared" ref="O50:O51" si="85">SUM(L50:N50)</f>
        <v>93.052999999859722</v>
      </c>
      <c r="P50" s="300"/>
      <c r="Q50" s="300">
        <v>91.019000000018735</v>
      </c>
      <c r="R50" s="300">
        <v>4.2179999999909388</v>
      </c>
      <c r="S50" s="300">
        <v>4.3010000001140583</v>
      </c>
      <c r="T50" s="300">
        <f t="shared" ref="T50:T51" si="86">SUM(Q50:S50)</f>
        <v>99.538000000123731</v>
      </c>
      <c r="U50" s="300"/>
      <c r="V50" s="300">
        <v>81.120000000069254</v>
      </c>
      <c r="W50" s="300">
        <v>3.7379999999841007</v>
      </c>
      <c r="X50" s="300">
        <v>3.9100000000764612</v>
      </c>
      <c r="Y50" s="300">
        <f t="shared" ref="Y50:Y51" si="87">SUM(V50:X50)</f>
        <v>88.768000000129817</v>
      </c>
    </row>
    <row r="51" spans="1:25" ht="12.45" x14ac:dyDescent="0.3">
      <c r="A51" s="260" t="s">
        <v>354</v>
      </c>
      <c r="B51" s="300">
        <f>SUM(B49:B50)</f>
        <v>103.99999999948957</v>
      </c>
      <c r="C51" s="300">
        <f t="shared" ref="C51" si="88">SUM(C49:C50)</f>
        <v>9.9470000000917764</v>
      </c>
      <c r="D51" s="300">
        <f t="shared" ref="D51" si="89">SUM(D49:D50)</f>
        <v>6.0010000000802535</v>
      </c>
      <c r="E51" s="300">
        <f t="shared" si="83"/>
        <v>119.9479999996616</v>
      </c>
      <c r="F51" s="300"/>
      <c r="G51" s="300">
        <f>SUM(G49:G50)</f>
        <v>107.95099999945216</v>
      </c>
      <c r="H51" s="300">
        <f t="shared" ref="H51" si="90">SUM(H49:H50)</f>
        <v>7.9970000000737578</v>
      </c>
      <c r="I51" s="300">
        <f t="shared" ref="I51" si="91">SUM(I49:I50)</f>
        <v>7.9560000000120432</v>
      </c>
      <c r="J51" s="300">
        <f t="shared" si="84"/>
        <v>123.90399999953796</v>
      </c>
      <c r="K51" s="300"/>
      <c r="L51" s="300">
        <f>SUM(L49:L50)</f>
        <v>113.13799999958573</v>
      </c>
      <c r="M51" s="300">
        <f t="shared" ref="M51" si="92">SUM(M49:M50)</f>
        <v>8.9600000000437312</v>
      </c>
      <c r="N51" s="300">
        <f t="shared" ref="N51" si="93">SUM(N49:N50)</f>
        <v>5.9690000000208068</v>
      </c>
      <c r="O51" s="300">
        <f t="shared" si="85"/>
        <v>128.06699999965028</v>
      </c>
      <c r="P51" s="300"/>
      <c r="Q51" s="300">
        <f>SUM(Q49:Q50)</f>
        <v>119.34100000047417</v>
      </c>
      <c r="R51" s="300">
        <f t="shared" ref="R51" si="94">SUM(R49:R50)</f>
        <v>9.2710000001082342</v>
      </c>
      <c r="S51" s="300">
        <f t="shared" ref="S51" si="95">SUM(S49:S50)</f>
        <v>6.4150000001078844</v>
      </c>
      <c r="T51" s="300">
        <f t="shared" si="86"/>
        <v>135.02700000069029</v>
      </c>
      <c r="U51" s="300"/>
      <c r="V51" s="300">
        <f>SUM(V49:V50)</f>
        <v>103.55000000010558</v>
      </c>
      <c r="W51" s="300">
        <f t="shared" ref="W51" si="96">SUM(W49:W50)</f>
        <v>7.7269999999739554</v>
      </c>
      <c r="X51" s="300">
        <f t="shared" ref="X51" si="97">SUM(X49:X50)</f>
        <v>5.7720000000706779</v>
      </c>
      <c r="Y51" s="300">
        <f t="shared" si="87"/>
        <v>117.04900000015022</v>
      </c>
    </row>
    <row r="52" spans="1:25" ht="12.45" x14ac:dyDescent="0.3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ht="12.45" x14ac:dyDescent="0.3">
      <c r="A53" s="261" t="str">
        <f>name!A20</f>
        <v>Electrical equipment</v>
      </c>
      <c r="C53" s="263"/>
    </row>
    <row r="54" spans="1:25" ht="12.45" x14ac:dyDescent="0.3">
      <c r="A54" s="260" t="s">
        <v>356</v>
      </c>
      <c r="B54" s="300">
        <v>18.594999999901571</v>
      </c>
      <c r="C54" s="300">
        <v>4.1320000000360757</v>
      </c>
      <c r="D54" s="300">
        <v>1.0000000000128004</v>
      </c>
      <c r="E54" s="300">
        <f>SUM(B54:D54)</f>
        <v>23.726999999950447</v>
      </c>
      <c r="F54" s="300"/>
      <c r="G54" s="300">
        <v>15.992999999777473</v>
      </c>
      <c r="H54" s="300">
        <v>4.9960000000519837</v>
      </c>
      <c r="I54" s="300">
        <v>1.9900000000206775</v>
      </c>
      <c r="J54" s="300">
        <f>SUM(G54:I54)</f>
        <v>22.978999999850135</v>
      </c>
      <c r="K54" s="300"/>
      <c r="L54" s="300">
        <v>15.01099999986198</v>
      </c>
      <c r="M54" s="300">
        <v>4.0030000000370238</v>
      </c>
      <c r="N54" s="300">
        <v>2.9829999999750871</v>
      </c>
      <c r="O54" s="300">
        <f>SUM(L54:N54)</f>
        <v>21.996999999874092</v>
      </c>
      <c r="P54" s="300"/>
      <c r="Q54" s="300">
        <v>15.192000000270205</v>
      </c>
      <c r="R54" s="300">
        <v>4.1330000000552554</v>
      </c>
      <c r="S54" s="300">
        <v>3.0179999999966864</v>
      </c>
      <c r="T54" s="300">
        <f>SUM(Q54:S54)</f>
        <v>22.343000000322146</v>
      </c>
      <c r="U54" s="300"/>
      <c r="V54" s="300">
        <v>15.377000000016089</v>
      </c>
      <c r="W54" s="300">
        <v>4.3309999999738276</v>
      </c>
      <c r="X54" s="300">
        <v>3.0499999999859253</v>
      </c>
      <c r="Y54" s="300">
        <f>SUM(V54:X54)</f>
        <v>22.757999999975841</v>
      </c>
    </row>
    <row r="55" spans="1:25" ht="12.45" x14ac:dyDescent="0.3">
      <c r="A55" s="260" t="s">
        <v>355</v>
      </c>
      <c r="B55" s="300">
        <v>62.253999999818326</v>
      </c>
      <c r="C55" s="300">
        <v>1.9750000000007168</v>
      </c>
      <c r="D55" s="300">
        <v>1.9989999999955541</v>
      </c>
      <c r="E55" s="300">
        <f t="shared" ref="E55:E56" si="98">SUM(B55:D55)</f>
        <v>66.227999999814585</v>
      </c>
      <c r="F55" s="300"/>
      <c r="G55" s="300">
        <v>51.975999999931034</v>
      </c>
      <c r="H55" s="300">
        <v>1.9989999999956503</v>
      </c>
      <c r="I55" s="300">
        <v>4.9710000000400969</v>
      </c>
      <c r="J55" s="300">
        <f t="shared" ref="J55:J56" si="99">SUM(G55:I55)</f>
        <v>58.94599999996678</v>
      </c>
      <c r="K55" s="300"/>
      <c r="L55" s="300">
        <v>47.037999999932453</v>
      </c>
      <c r="M55" s="300">
        <v>3.0019999999884024</v>
      </c>
      <c r="N55" s="300">
        <v>0.99499999999556754</v>
      </c>
      <c r="O55" s="300">
        <f t="shared" ref="O55:O56" si="100">SUM(L55:N55)</f>
        <v>51.034999999916423</v>
      </c>
      <c r="P55" s="300"/>
      <c r="Q55" s="300">
        <v>45.371000000093616</v>
      </c>
      <c r="R55" s="300">
        <v>3.0359999999887881</v>
      </c>
      <c r="S55" s="300">
        <v>1.1729999999836027</v>
      </c>
      <c r="T55" s="300">
        <f t="shared" ref="T55:T56" si="101">SUM(Q55:S55)</f>
        <v>49.580000000066008</v>
      </c>
      <c r="U55" s="300"/>
      <c r="V55" s="300">
        <v>41.76100000012822</v>
      </c>
      <c r="W55" s="300">
        <v>3.0729999999814255</v>
      </c>
      <c r="X55" s="300">
        <v>1.4929999999882184</v>
      </c>
      <c r="Y55" s="300">
        <f t="shared" ref="Y55:Y56" si="102">SUM(V55:X55)</f>
        <v>46.327000000097868</v>
      </c>
    </row>
    <row r="56" spans="1:25" ht="12.45" x14ac:dyDescent="0.3">
      <c r="A56" s="260" t="s">
        <v>354</v>
      </c>
      <c r="B56" s="300">
        <f>SUM(B54:B55)</f>
        <v>80.848999999719894</v>
      </c>
      <c r="C56" s="300">
        <f t="shared" ref="C56" si="103">SUM(C54:C55)</f>
        <v>6.107000000036793</v>
      </c>
      <c r="D56" s="300">
        <f t="shared" ref="D56" si="104">SUM(D54:D55)</f>
        <v>2.9990000000083548</v>
      </c>
      <c r="E56" s="300">
        <f t="shared" si="98"/>
        <v>89.954999999765036</v>
      </c>
      <c r="F56" s="300"/>
      <c r="G56" s="300">
        <f>SUM(G54:G55)</f>
        <v>67.968999999708501</v>
      </c>
      <c r="H56" s="300">
        <f t="shared" ref="H56" si="105">SUM(H54:H55)</f>
        <v>6.995000000047634</v>
      </c>
      <c r="I56" s="300">
        <f t="shared" ref="I56" si="106">SUM(I54:I55)</f>
        <v>6.9610000000607748</v>
      </c>
      <c r="J56" s="300">
        <f t="shared" si="99"/>
        <v>81.924999999816919</v>
      </c>
      <c r="K56" s="300"/>
      <c r="L56" s="300">
        <f>SUM(L54:L55)</f>
        <v>62.048999999794432</v>
      </c>
      <c r="M56" s="300">
        <f t="shared" ref="M56" si="107">SUM(M54:M55)</f>
        <v>7.0050000000254258</v>
      </c>
      <c r="N56" s="300">
        <f t="shared" ref="N56" si="108">SUM(N54:N55)</f>
        <v>3.9779999999706548</v>
      </c>
      <c r="O56" s="300">
        <f t="shared" si="100"/>
        <v>73.031999999790514</v>
      </c>
      <c r="P56" s="300"/>
      <c r="Q56" s="300">
        <f>SUM(Q54:Q55)</f>
        <v>60.563000000363822</v>
      </c>
      <c r="R56" s="300">
        <f t="shared" ref="R56" si="109">SUM(R54:R55)</f>
        <v>7.1690000000440435</v>
      </c>
      <c r="S56" s="300">
        <f t="shared" ref="S56" si="110">SUM(S54:S55)</f>
        <v>4.1909999999802894</v>
      </c>
      <c r="T56" s="300">
        <f t="shared" si="101"/>
        <v>71.923000000388157</v>
      </c>
      <c r="U56" s="300"/>
      <c r="V56" s="300">
        <f>SUM(V54:V55)</f>
        <v>57.138000000144309</v>
      </c>
      <c r="W56" s="300">
        <f t="shared" ref="W56" si="111">SUM(W54:W55)</f>
        <v>7.4039999999552535</v>
      </c>
      <c r="X56" s="300">
        <f t="shared" ref="X56" si="112">SUM(X54:X55)</f>
        <v>4.5429999999741435</v>
      </c>
      <c r="Y56" s="300">
        <f t="shared" si="102"/>
        <v>69.085000000073705</v>
      </c>
    </row>
    <row r="57" spans="1:25" ht="12.45" x14ac:dyDescent="0.3"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19"/>
      <c r="R57" s="319"/>
      <c r="S57" s="319"/>
      <c r="T57" s="319"/>
      <c r="U57" s="319"/>
      <c r="V57" s="319"/>
      <c r="W57" s="319"/>
      <c r="X57" s="319"/>
      <c r="Y57" s="319"/>
    </row>
    <row r="58" spans="1:25" ht="12.45" x14ac:dyDescent="0.3">
      <c r="A58" s="261" t="str">
        <f>name!A21</f>
        <v>Machinery n.e.c.</v>
      </c>
      <c r="C58" s="263"/>
    </row>
    <row r="59" spans="1:25" ht="12.45" x14ac:dyDescent="0.3">
      <c r="A59" s="260" t="s">
        <v>356</v>
      </c>
      <c r="B59" s="300">
        <v>22.990999999870393</v>
      </c>
      <c r="C59" s="300">
        <v>5.9970000000606216</v>
      </c>
      <c r="D59" s="300">
        <v>2.0000000000201203</v>
      </c>
      <c r="E59" s="300">
        <f>SUM(B59:D59)</f>
        <v>30.987999999951132</v>
      </c>
      <c r="F59" s="300"/>
      <c r="G59" s="300">
        <v>25.127999999687557</v>
      </c>
      <c r="H59" s="300">
        <v>6.0310000000368307</v>
      </c>
      <c r="I59" s="300">
        <v>4.9710000000512675</v>
      </c>
      <c r="J59" s="300">
        <f>SUM(G59:I59)</f>
        <v>36.129999999775656</v>
      </c>
      <c r="K59" s="300"/>
      <c r="L59" s="300">
        <v>26.019999999798475</v>
      </c>
      <c r="M59" s="300">
        <v>7.00500000004378</v>
      </c>
      <c r="N59" s="300">
        <v>2.6829999999677936</v>
      </c>
      <c r="O59" s="300">
        <f>SUM(L59:N59)</f>
        <v>35.707999999810049</v>
      </c>
      <c r="P59" s="300"/>
      <c r="Q59" s="300">
        <v>26.199000000506633</v>
      </c>
      <c r="R59" s="300">
        <v>7.0770000000680149</v>
      </c>
      <c r="S59" s="300">
        <v>2.7759999999956322</v>
      </c>
      <c r="T59" s="300">
        <f>SUM(Q59:S59)</f>
        <v>36.052000000570281</v>
      </c>
      <c r="U59" s="300"/>
      <c r="V59" s="300">
        <v>22.416000000029594</v>
      </c>
      <c r="W59" s="300">
        <v>6.0959999999619763</v>
      </c>
      <c r="X59" s="300">
        <v>2.5019999999875386</v>
      </c>
      <c r="Y59" s="300">
        <f>SUM(V59:X59)</f>
        <v>31.013999999979109</v>
      </c>
    </row>
    <row r="60" spans="1:25" ht="12.45" x14ac:dyDescent="0.3">
      <c r="A60" s="260" t="s">
        <v>355</v>
      </c>
      <c r="B60" s="300">
        <v>141.95199999950552</v>
      </c>
      <c r="C60" s="300">
        <v>2.9780000000014626</v>
      </c>
      <c r="D60" s="300">
        <v>8.9999999999867093</v>
      </c>
      <c r="E60" s="300">
        <f t="shared" ref="E60:E61" si="113">SUM(B60:D60)</f>
        <v>153.92999999949367</v>
      </c>
      <c r="F60" s="300"/>
      <c r="G60" s="300">
        <v>145.74199999969602</v>
      </c>
      <c r="H60" s="300">
        <v>3.0169999999970005</v>
      </c>
      <c r="I60" s="300">
        <v>11.93200000011554</v>
      </c>
      <c r="J60" s="300">
        <f t="shared" ref="J60:J61" si="114">SUM(G60:I60)</f>
        <v>160.69099999980858</v>
      </c>
      <c r="K60" s="300"/>
      <c r="L60" s="300">
        <v>137.1399999996849</v>
      </c>
      <c r="M60" s="300">
        <v>3.9749999999998868</v>
      </c>
      <c r="N60" s="300">
        <v>6.2639999999796423</v>
      </c>
      <c r="O60" s="300">
        <f t="shared" ref="O60:O61" si="115">SUM(L60:N60)</f>
        <v>147.37899999966442</v>
      </c>
      <c r="P60" s="300"/>
      <c r="Q60" s="300">
        <v>139.73300000015979</v>
      </c>
      <c r="R60" s="300">
        <v>4.1980000000025779</v>
      </c>
      <c r="S60" s="300">
        <v>6.4809999999092893</v>
      </c>
      <c r="T60" s="300">
        <f t="shared" ref="T60:T61" si="116">SUM(Q60:S60)</f>
        <v>150.41200000007166</v>
      </c>
      <c r="U60" s="300"/>
      <c r="V60" s="300">
        <v>122.49600000021753</v>
      </c>
      <c r="W60" s="300">
        <v>3.9399999999988351</v>
      </c>
      <c r="X60" s="300">
        <v>5.8529999999583504</v>
      </c>
      <c r="Y60" s="300">
        <f t="shared" ref="Y60:Y61" si="117">SUM(V60:X60)</f>
        <v>132.28900000017472</v>
      </c>
    </row>
    <row r="61" spans="1:25" ht="12.45" x14ac:dyDescent="0.3">
      <c r="A61" s="260" t="s">
        <v>354</v>
      </c>
      <c r="B61" s="300">
        <f>SUM(B59:B60)</f>
        <v>164.9429999993759</v>
      </c>
      <c r="C61" s="300">
        <f t="shared" ref="C61" si="118">SUM(C59:C60)</f>
        <v>8.9750000000620851</v>
      </c>
      <c r="D61" s="300">
        <f t="shared" ref="D61" si="119">SUM(D59:D60)</f>
        <v>11.00000000000683</v>
      </c>
      <c r="E61" s="300">
        <f t="shared" si="113"/>
        <v>184.91799999944482</v>
      </c>
      <c r="F61" s="300"/>
      <c r="G61" s="300">
        <f>SUM(G59:G60)</f>
        <v>170.86999999938357</v>
      </c>
      <c r="H61" s="300">
        <f t="shared" ref="H61" si="120">SUM(H59:H60)</f>
        <v>9.0480000000338308</v>
      </c>
      <c r="I61" s="300">
        <f t="shared" ref="I61" si="121">SUM(I59:I60)</f>
        <v>16.903000000166806</v>
      </c>
      <c r="J61" s="300">
        <f t="shared" si="114"/>
        <v>196.82099999958419</v>
      </c>
      <c r="K61" s="300"/>
      <c r="L61" s="300">
        <f>SUM(L59:L60)</f>
        <v>163.15999999948338</v>
      </c>
      <c r="M61" s="300">
        <f t="shared" ref="M61" si="122">SUM(M59:M60)</f>
        <v>10.980000000043667</v>
      </c>
      <c r="N61" s="300">
        <f t="shared" ref="N61" si="123">SUM(N59:N60)</f>
        <v>8.9469999999474368</v>
      </c>
      <c r="O61" s="300">
        <f t="shared" si="115"/>
        <v>183.08699999947447</v>
      </c>
      <c r="P61" s="300"/>
      <c r="Q61" s="300">
        <f>SUM(Q59:Q60)</f>
        <v>165.93200000066642</v>
      </c>
      <c r="R61" s="300">
        <f t="shared" ref="R61" si="124">SUM(R59:R60)</f>
        <v>11.275000000070593</v>
      </c>
      <c r="S61" s="300">
        <f t="shared" ref="S61" si="125">SUM(S59:S60)</f>
        <v>9.2569999999049219</v>
      </c>
      <c r="T61" s="300">
        <f t="shared" si="116"/>
        <v>186.46400000064196</v>
      </c>
      <c r="U61" s="300"/>
      <c r="V61" s="300">
        <f>SUM(V59:V60)</f>
        <v>144.91200000024713</v>
      </c>
      <c r="W61" s="300">
        <f t="shared" ref="W61" si="126">SUM(W59:W60)</f>
        <v>10.035999999960811</v>
      </c>
      <c r="X61" s="300">
        <f t="shared" ref="X61" si="127">SUM(X59:X60)</f>
        <v>8.354999999945889</v>
      </c>
      <c r="Y61" s="300">
        <f t="shared" si="117"/>
        <v>163.30300000015382</v>
      </c>
    </row>
    <row r="62" spans="1:25" ht="12.45" x14ac:dyDescent="0.3">
      <c r="C62" s="263"/>
    </row>
    <row r="63" spans="1:25" x14ac:dyDescent="0.35">
      <c r="A63" s="261" t="s">
        <v>371</v>
      </c>
    </row>
    <row r="64" spans="1:25" ht="12.45" x14ac:dyDescent="0.3">
      <c r="A64" s="260" t="s">
        <v>356</v>
      </c>
      <c r="B64" s="300">
        <f>SUM(B49,B54,B59)</f>
        <v>66.574999999607058</v>
      </c>
      <c r="C64" s="300">
        <f t="shared" ref="C64:D65" si="128">SUM(C49,C54,C59)</f>
        <v>16.126000000192363</v>
      </c>
      <c r="D64" s="300">
        <f t="shared" si="128"/>
        <v>4.2010000000406613</v>
      </c>
      <c r="E64" s="300">
        <f>SUM(B64:D64)</f>
        <v>86.901999999840086</v>
      </c>
      <c r="F64" s="300"/>
      <c r="G64" s="300">
        <f>SUM(G49,G54,G59)</f>
        <v>65.10999999911418</v>
      </c>
      <c r="H64" s="300">
        <f t="shared" ref="H64:I64" si="129">SUM(H49,H54,H59)</f>
        <v>16.025000000163207</v>
      </c>
      <c r="I64" s="300">
        <f t="shared" si="129"/>
        <v>8.0990000000750051</v>
      </c>
      <c r="J64" s="300">
        <f>SUM(G64:I64)</f>
        <v>89.233999999352392</v>
      </c>
      <c r="K64" s="300"/>
      <c r="L64" s="300">
        <f>SUM(L49,L54,L59)</f>
        <v>69.054999999415529</v>
      </c>
      <c r="M64" s="300">
        <f t="shared" ref="M64:N64" si="130">SUM(M49,M54,M59)</f>
        <v>16.010000000139268</v>
      </c>
      <c r="N64" s="300">
        <f t="shared" si="130"/>
        <v>7.6539999999198747</v>
      </c>
      <c r="O64" s="300">
        <f>SUM(L64:N64)</f>
        <v>92.718999999474676</v>
      </c>
      <c r="P64" s="300"/>
      <c r="Q64" s="300">
        <f>SUM(Q49,Q54,Q59)</f>
        <v>69.713000001232274</v>
      </c>
      <c r="R64" s="300">
        <f t="shared" ref="R64:S64" si="131">SUM(R49,R54,R59)</f>
        <v>16.263000000240567</v>
      </c>
      <c r="S64" s="300">
        <f t="shared" si="131"/>
        <v>7.9079999999861439</v>
      </c>
      <c r="T64" s="300">
        <f>SUM(Q64:S64)</f>
        <v>93.884000001458986</v>
      </c>
      <c r="U64" s="300"/>
      <c r="V64" s="300">
        <f>SUM(V49,V54,V59)</f>
        <v>60.22300000008201</v>
      </c>
      <c r="W64" s="300">
        <f t="shared" ref="W64:X64" si="132">SUM(W49,W54,W59)</f>
        <v>14.41599999992566</v>
      </c>
      <c r="X64" s="300">
        <f t="shared" si="132"/>
        <v>7.4139999999676807</v>
      </c>
      <c r="Y64" s="300">
        <f>SUM(V64:X64)</f>
        <v>82.052999999975356</v>
      </c>
    </row>
    <row r="65" spans="1:25" ht="12.45" x14ac:dyDescent="0.3">
      <c r="A65" s="260" t="s">
        <v>355</v>
      </c>
      <c r="B65" s="300">
        <f>SUM(B50,B55,B60)</f>
        <v>283.21699999897828</v>
      </c>
      <c r="C65" s="300">
        <f t="shared" si="128"/>
        <v>8.9029999999982898</v>
      </c>
      <c r="D65" s="300">
        <f t="shared" si="128"/>
        <v>15.799000000054775</v>
      </c>
      <c r="E65" s="300">
        <f t="shared" ref="E65:E66" si="133">SUM(B65:D65)</f>
        <v>307.91899999903137</v>
      </c>
      <c r="F65" s="300"/>
      <c r="G65" s="300">
        <f>SUM(G50,G55,G60)</f>
        <v>281.67999999943004</v>
      </c>
      <c r="H65" s="300">
        <f t="shared" ref="H65:I65" si="134">SUM(H50,H55,H60)</f>
        <v>8.0149999999920176</v>
      </c>
      <c r="I65" s="300">
        <f t="shared" si="134"/>
        <v>23.721000000164619</v>
      </c>
      <c r="J65" s="300">
        <f t="shared" ref="J65:J66" si="135">SUM(G65:I65)</f>
        <v>313.41599999958669</v>
      </c>
      <c r="K65" s="300"/>
      <c r="L65" s="300">
        <f>SUM(L50,L55,L60)</f>
        <v>269.29199999944802</v>
      </c>
      <c r="M65" s="300">
        <f t="shared" ref="M65:N65" si="136">SUM(M50,M55,M60)</f>
        <v>10.934999999973556</v>
      </c>
      <c r="N65" s="300">
        <f t="shared" si="136"/>
        <v>11.240000000019023</v>
      </c>
      <c r="O65" s="300">
        <f t="shared" ref="O65:O66" si="137">SUM(L65:N65)</f>
        <v>291.46699999944065</v>
      </c>
      <c r="P65" s="300"/>
      <c r="Q65" s="300">
        <f>SUM(Q50,Q55,Q60)</f>
        <v>276.12300000027216</v>
      </c>
      <c r="R65" s="300">
        <f t="shared" ref="R65:S65" si="138">SUM(R50,R55,R60)</f>
        <v>11.451999999982306</v>
      </c>
      <c r="S65" s="300">
        <f t="shared" si="138"/>
        <v>11.955000000006951</v>
      </c>
      <c r="T65" s="300">
        <f t="shared" ref="T65:T66" si="139">SUM(Q65:S65)</f>
        <v>299.53000000026145</v>
      </c>
      <c r="U65" s="300"/>
      <c r="V65" s="300">
        <f>SUM(V50,V55,V60)</f>
        <v>245.37700000041502</v>
      </c>
      <c r="W65" s="300">
        <f t="shared" ref="W65:X65" si="140">SUM(W50,W55,W60)</f>
        <v>10.75099999996436</v>
      </c>
      <c r="X65" s="300">
        <f t="shared" si="140"/>
        <v>11.256000000023029</v>
      </c>
      <c r="Y65" s="300">
        <f t="shared" ref="Y65:Y66" si="141">SUM(V65:X65)</f>
        <v>267.38400000040241</v>
      </c>
    </row>
    <row r="66" spans="1:25" ht="12.45" x14ac:dyDescent="0.3">
      <c r="A66" s="264" t="s">
        <v>354</v>
      </c>
      <c r="B66" s="301">
        <f>SUM(B64:B65)</f>
        <v>349.79199999858531</v>
      </c>
      <c r="C66" s="301">
        <f t="shared" ref="C66" si="142">SUM(C64:C65)</f>
        <v>25.029000000190653</v>
      </c>
      <c r="D66" s="301">
        <f t="shared" ref="D66" si="143">SUM(D64:D65)</f>
        <v>20.000000000095437</v>
      </c>
      <c r="E66" s="301">
        <f t="shared" si="133"/>
        <v>394.8209999988714</v>
      </c>
      <c r="F66" s="301"/>
      <c r="G66" s="301">
        <f>SUM(G64:G65)</f>
        <v>346.7899999985442</v>
      </c>
      <c r="H66" s="301">
        <f t="shared" ref="H66" si="144">SUM(H64:H65)</f>
        <v>24.040000000155224</v>
      </c>
      <c r="I66" s="301">
        <f t="shared" ref="I66" si="145">SUM(I64:I65)</f>
        <v>31.820000000239624</v>
      </c>
      <c r="J66" s="301">
        <f t="shared" si="135"/>
        <v>402.64999999893905</v>
      </c>
      <c r="K66" s="301"/>
      <c r="L66" s="301">
        <f>SUM(L64:L65)</f>
        <v>338.34699999886357</v>
      </c>
      <c r="M66" s="301">
        <f t="shared" ref="M66" si="146">SUM(M64:M65)</f>
        <v>26.945000000112824</v>
      </c>
      <c r="N66" s="301">
        <f t="shared" ref="N66" si="147">SUM(N64:N65)</f>
        <v>18.893999999938899</v>
      </c>
      <c r="O66" s="301">
        <f t="shared" si="137"/>
        <v>384.18599999891529</v>
      </c>
      <c r="P66" s="301"/>
      <c r="Q66" s="301">
        <f>SUM(Q64:Q65)</f>
        <v>345.83600000150443</v>
      </c>
      <c r="R66" s="301">
        <f t="shared" ref="R66" si="148">SUM(R64:R65)</f>
        <v>27.715000000222872</v>
      </c>
      <c r="S66" s="301">
        <f t="shared" ref="S66" si="149">SUM(S64:S65)</f>
        <v>19.862999999993093</v>
      </c>
      <c r="T66" s="301">
        <f t="shared" si="139"/>
        <v>393.41400000172041</v>
      </c>
      <c r="U66" s="301"/>
      <c r="V66" s="301">
        <f>SUM(V64:V65)</f>
        <v>305.60000000049706</v>
      </c>
      <c r="W66" s="301">
        <f t="shared" ref="W66" si="150">SUM(W64:W65)</f>
        <v>25.16699999989002</v>
      </c>
      <c r="X66" s="301">
        <f t="shared" ref="X66" si="151">SUM(X64:X65)</f>
        <v>18.669999999990708</v>
      </c>
      <c r="Y66" s="301">
        <f t="shared" si="141"/>
        <v>349.43700000037779</v>
      </c>
    </row>
    <row r="67" spans="1:25" ht="12.45" x14ac:dyDescent="0.3">
      <c r="C67" s="263"/>
    </row>
    <row r="68" spans="1:25" ht="12.45" x14ac:dyDescent="0.3">
      <c r="C68" s="263"/>
    </row>
    <row r="69" spans="1:25" x14ac:dyDescent="0.35">
      <c r="A69" s="261"/>
    </row>
    <row r="70" spans="1:25" ht="14.15" x14ac:dyDescent="0.35">
      <c r="A70" s="265" t="str">
        <f>"Industry 5 : "&amp; name!B8</f>
        <v>Industry 5 : Rest of manufacturing</v>
      </c>
      <c r="B70" s="372">
        <f>$B$5</f>
        <v>2015</v>
      </c>
      <c r="C70" s="372"/>
      <c r="D70" s="372"/>
      <c r="E70" s="372"/>
      <c r="F70" s="320"/>
      <c r="G70" s="372">
        <f>$G$5</f>
        <v>2019</v>
      </c>
      <c r="H70" s="372"/>
      <c r="I70" s="372"/>
      <c r="J70" s="372"/>
      <c r="K70" s="320"/>
      <c r="L70" s="372">
        <f>$L$5</f>
        <v>2020</v>
      </c>
      <c r="M70" s="372"/>
      <c r="N70" s="372"/>
      <c r="O70" s="372"/>
      <c r="P70" s="318"/>
      <c r="Q70" s="372">
        <f>$Q$5</f>
        <v>2025</v>
      </c>
      <c r="R70" s="372"/>
      <c r="S70" s="372"/>
      <c r="T70" s="372"/>
      <c r="U70" s="320"/>
      <c r="V70" s="372">
        <f>$V$5</f>
        <v>2035</v>
      </c>
      <c r="W70" s="372"/>
      <c r="X70" s="372"/>
      <c r="Y70" s="372"/>
    </row>
    <row r="71" spans="1:25" ht="12.45" x14ac:dyDescent="0.3">
      <c r="A71" s="264"/>
      <c r="B71" s="268" t="str">
        <f>$B$6</f>
        <v>FT</v>
      </c>
      <c r="C71" s="268" t="str">
        <f>$C$6</f>
        <v>PT</v>
      </c>
      <c r="D71" s="268" t="str">
        <f>$D$6</f>
        <v>SE</v>
      </c>
      <c r="E71" s="268" t="str">
        <f>$E$6</f>
        <v>Total</v>
      </c>
      <c r="F71" s="268"/>
      <c r="G71" s="268" t="str">
        <f>$B$6</f>
        <v>FT</v>
      </c>
      <c r="H71" s="268" t="str">
        <f>$C$6</f>
        <v>PT</v>
      </c>
      <c r="I71" s="268" t="str">
        <f>$D$6</f>
        <v>SE</v>
      </c>
      <c r="J71" s="268" t="str">
        <f>$E$6</f>
        <v>Total</v>
      </c>
      <c r="K71" s="268"/>
      <c r="L71" s="268" t="str">
        <f>$L$6</f>
        <v>FT</v>
      </c>
      <c r="M71" s="268" t="str">
        <f>$M$6</f>
        <v>PT</v>
      </c>
      <c r="N71" s="268" t="str">
        <f>$N$6</f>
        <v>SE</v>
      </c>
      <c r="O71" s="268" t="str">
        <f>$O$6</f>
        <v>Total</v>
      </c>
      <c r="P71" s="268"/>
      <c r="Q71" s="268" t="str">
        <f>$L$6</f>
        <v>FT</v>
      </c>
      <c r="R71" s="268" t="str">
        <f>$M$6</f>
        <v>PT</v>
      </c>
      <c r="S71" s="268" t="str">
        <f>$N$6</f>
        <v>SE</v>
      </c>
      <c r="T71" s="268" t="str">
        <f>$O$6</f>
        <v>Total</v>
      </c>
      <c r="U71" s="268"/>
      <c r="V71" s="268" t="str">
        <f>$V$6</f>
        <v>FT</v>
      </c>
      <c r="W71" s="268" t="str">
        <f>$W$6</f>
        <v>PT</v>
      </c>
      <c r="X71" s="268" t="str">
        <f>$X$6</f>
        <v>SE</v>
      </c>
      <c r="Y71" s="268" t="str">
        <f>$Y$6</f>
        <v>Total</v>
      </c>
    </row>
    <row r="72" spans="1:25" ht="12.45" x14ac:dyDescent="0.3">
      <c r="C72" s="319"/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19"/>
      <c r="R72" s="319"/>
      <c r="S72" s="319"/>
      <c r="T72" s="319"/>
      <c r="U72" s="319"/>
      <c r="V72" s="319"/>
      <c r="W72" s="319"/>
      <c r="X72" s="319"/>
      <c r="Y72" s="319"/>
    </row>
    <row r="73" spans="1:25" ht="12.45" x14ac:dyDescent="0.3">
      <c r="A73" s="261" t="str">
        <f>name!A8</f>
        <v>Textiles</v>
      </c>
      <c r="C73" s="263"/>
    </row>
    <row r="74" spans="1:25" ht="12.45" x14ac:dyDescent="0.3">
      <c r="A74" s="260" t="s">
        <v>356</v>
      </c>
      <c r="B74" s="300">
        <v>10.984999999962827</v>
      </c>
      <c r="C74" s="300">
        <v>4.8540000001271197</v>
      </c>
      <c r="D74" s="300">
        <v>7.0430000001177566</v>
      </c>
      <c r="E74" s="300">
        <f>SUM(B74:D74)</f>
        <v>22.882000000207704</v>
      </c>
      <c r="F74" s="300"/>
      <c r="G74" s="300">
        <v>13.188999999803496</v>
      </c>
      <c r="H74" s="300">
        <v>5.9120000000866968</v>
      </c>
      <c r="I74" s="300">
        <v>9.218000000123169</v>
      </c>
      <c r="J74" s="300">
        <f>SUM(G74:I74)</f>
        <v>28.319000000013361</v>
      </c>
      <c r="K74" s="300"/>
      <c r="L74" s="300">
        <v>13.050999999929934</v>
      </c>
      <c r="M74" s="300">
        <v>6.3610000001437577</v>
      </c>
      <c r="N74" s="300">
        <v>10.246999999925187</v>
      </c>
      <c r="O74" s="300">
        <f>SUM(L74:N74)</f>
        <v>29.658999999998876</v>
      </c>
      <c r="P74" s="300"/>
      <c r="Q74" s="300">
        <v>11.600000000324131</v>
      </c>
      <c r="R74" s="300">
        <v>5.4890000001853743</v>
      </c>
      <c r="S74" s="300">
        <v>8.927000000048217</v>
      </c>
      <c r="T74" s="300">
        <f>SUM(Q74:S74)</f>
        <v>26.016000000557725</v>
      </c>
      <c r="U74" s="300"/>
      <c r="V74" s="300">
        <v>10.069999999979618</v>
      </c>
      <c r="W74" s="300">
        <v>4.7399999999883118</v>
      </c>
      <c r="X74" s="300">
        <v>7.5620000000801513</v>
      </c>
      <c r="Y74" s="300">
        <f>SUM(V74:X74)</f>
        <v>22.372000000048082</v>
      </c>
    </row>
    <row r="75" spans="1:25" ht="12.45" x14ac:dyDescent="0.3">
      <c r="A75" s="260" t="s">
        <v>355</v>
      </c>
      <c r="B75" s="300">
        <v>27.503999999980842</v>
      </c>
      <c r="C75" s="300">
        <v>1.4780000000194506</v>
      </c>
      <c r="D75" s="300">
        <v>5.7760000000252836</v>
      </c>
      <c r="E75" s="300">
        <f t="shared" ref="E75:E76" si="152">SUM(B75:D75)</f>
        <v>34.758000000025575</v>
      </c>
      <c r="F75" s="300"/>
      <c r="G75" s="300">
        <v>31.285000000018918</v>
      </c>
      <c r="H75" s="300">
        <v>1.7620000000094584</v>
      </c>
      <c r="I75" s="300">
        <v>3.8020000000285803</v>
      </c>
      <c r="J75" s="300">
        <f t="shared" ref="J75:J76" si="153">SUM(G75:I75)</f>
        <v>36.849000000056954</v>
      </c>
      <c r="K75" s="300"/>
      <c r="L75" s="300">
        <v>30.971999999964353</v>
      </c>
      <c r="M75" s="300">
        <v>3.8030000000002726</v>
      </c>
      <c r="N75" s="300">
        <v>3.7800000000101082</v>
      </c>
      <c r="O75" s="300">
        <f t="shared" ref="O75:O76" si="154">SUM(L75:N75)</f>
        <v>38.554999999974733</v>
      </c>
      <c r="P75" s="300"/>
      <c r="Q75" s="300">
        <v>27.686000000093671</v>
      </c>
      <c r="R75" s="300">
        <v>3.2859999999985581</v>
      </c>
      <c r="S75" s="300">
        <v>3.3400000000156234</v>
      </c>
      <c r="T75" s="300">
        <f t="shared" ref="T75:T76" si="155">SUM(Q75:S75)</f>
        <v>34.312000000107851</v>
      </c>
      <c r="U75" s="300"/>
      <c r="V75" s="300">
        <v>23.572000000084174</v>
      </c>
      <c r="W75" s="300">
        <v>2.8860000000011294</v>
      </c>
      <c r="X75" s="300">
        <v>2.7500000000100293</v>
      </c>
      <c r="Y75" s="300">
        <f t="shared" ref="Y75:Y76" si="156">SUM(V75:X75)</f>
        <v>29.208000000095332</v>
      </c>
    </row>
    <row r="76" spans="1:25" ht="12.45" x14ac:dyDescent="0.3">
      <c r="A76" s="260" t="s">
        <v>354</v>
      </c>
      <c r="B76" s="300">
        <f>SUM(B74:B75)</f>
        <v>38.488999999943672</v>
      </c>
      <c r="C76" s="300">
        <f t="shared" ref="C76" si="157">SUM(C74:C75)</f>
        <v>6.3320000001465706</v>
      </c>
      <c r="D76" s="300">
        <f t="shared" ref="D76" si="158">SUM(D74:D75)</f>
        <v>12.81900000014304</v>
      </c>
      <c r="E76" s="300">
        <f t="shared" si="152"/>
        <v>57.640000000233286</v>
      </c>
      <c r="F76" s="300"/>
      <c r="G76" s="300">
        <f>SUM(G74:G75)</f>
        <v>44.473999999822411</v>
      </c>
      <c r="H76" s="300">
        <f t="shared" ref="H76" si="159">SUM(H74:H75)</f>
        <v>7.6740000000961555</v>
      </c>
      <c r="I76" s="300">
        <f t="shared" ref="I76" si="160">SUM(I74:I75)</f>
        <v>13.02000000015175</v>
      </c>
      <c r="J76" s="300">
        <f t="shared" si="153"/>
        <v>65.168000000070322</v>
      </c>
      <c r="K76" s="300"/>
      <c r="L76" s="300">
        <f>SUM(L74:L75)</f>
        <v>44.022999999894289</v>
      </c>
      <c r="M76" s="300">
        <f t="shared" ref="M76" si="161">SUM(M74:M75)</f>
        <v>10.16400000014403</v>
      </c>
      <c r="N76" s="300">
        <f t="shared" ref="N76" si="162">SUM(N74:N75)</f>
        <v>14.026999999935295</v>
      </c>
      <c r="O76" s="300">
        <f t="shared" si="154"/>
        <v>68.213999999973609</v>
      </c>
      <c r="P76" s="300"/>
      <c r="Q76" s="300">
        <f>SUM(Q74:Q75)</f>
        <v>39.2860000004178</v>
      </c>
      <c r="R76" s="300">
        <f t="shared" ref="R76" si="163">SUM(R74:R75)</f>
        <v>8.7750000001839332</v>
      </c>
      <c r="S76" s="300">
        <f t="shared" ref="S76" si="164">SUM(S74:S75)</f>
        <v>12.26700000006384</v>
      </c>
      <c r="T76" s="300">
        <f t="shared" si="155"/>
        <v>60.328000000665575</v>
      </c>
      <c r="U76" s="300"/>
      <c r="V76" s="300">
        <f>SUM(V74:V75)</f>
        <v>33.642000000063788</v>
      </c>
      <c r="W76" s="300">
        <f t="shared" ref="W76" si="165">SUM(W74:W75)</f>
        <v>7.6259999999894408</v>
      </c>
      <c r="X76" s="300">
        <f t="shared" ref="X76" si="166">SUM(X74:X75)</f>
        <v>10.31200000009018</v>
      </c>
      <c r="Y76" s="300">
        <f t="shared" si="156"/>
        <v>51.580000000143407</v>
      </c>
    </row>
    <row r="77" spans="1:25" ht="12.45" x14ac:dyDescent="0.3"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319"/>
      <c r="S77" s="319"/>
      <c r="T77" s="319"/>
      <c r="U77" s="319"/>
      <c r="V77" s="319"/>
      <c r="W77" s="319"/>
      <c r="X77" s="319"/>
      <c r="Y77" s="319"/>
    </row>
    <row r="78" spans="1:25" ht="12.45" x14ac:dyDescent="0.3">
      <c r="A78" s="261" t="str">
        <f>name!A9</f>
        <v>Wearing apparel; Leather, etc</v>
      </c>
      <c r="C78" s="263"/>
    </row>
    <row r="79" spans="1:25" ht="12.45" x14ac:dyDescent="0.3">
      <c r="A79" s="260" t="s">
        <v>356</v>
      </c>
      <c r="B79" s="300">
        <v>21.99999999994191</v>
      </c>
      <c r="C79" s="300">
        <v>7.1390000002020386</v>
      </c>
      <c r="D79" s="300">
        <v>5.9820000001049198</v>
      </c>
      <c r="E79" s="300">
        <f>SUM(B79:D79)</f>
        <v>35.12100000024887</v>
      </c>
      <c r="F79" s="300"/>
      <c r="G79" s="300">
        <v>19.987999999926231</v>
      </c>
      <c r="H79" s="300">
        <v>5.4900000000734481</v>
      </c>
      <c r="I79" s="300">
        <v>6.9210000001274903</v>
      </c>
      <c r="J79" s="300">
        <f>SUM(G79:I79)</f>
        <v>32.399000000127167</v>
      </c>
      <c r="K79" s="300"/>
      <c r="L79" s="300">
        <v>19.737999999949398</v>
      </c>
      <c r="M79" s="300">
        <v>5.8870000001753136</v>
      </c>
      <c r="N79" s="300">
        <v>7.242999999849097</v>
      </c>
      <c r="O79" s="300">
        <f>SUM(L79:N79)</f>
        <v>32.867999999973804</v>
      </c>
      <c r="P79" s="300"/>
      <c r="Q79" s="300">
        <v>17.563000000087879</v>
      </c>
      <c r="R79" s="300">
        <v>5.0640000001404237</v>
      </c>
      <c r="S79" s="300">
        <v>6.3019999999857239</v>
      </c>
      <c r="T79" s="300">
        <f>SUM(Q79:S79)</f>
        <v>28.929000000214028</v>
      </c>
      <c r="U79" s="300"/>
      <c r="V79" s="300">
        <v>15.253000000064912</v>
      </c>
      <c r="W79" s="300">
        <v>4.3329999999565727</v>
      </c>
      <c r="X79" s="300">
        <v>5.3400000000651309</v>
      </c>
      <c r="Y79" s="300">
        <f>SUM(V79:X79)</f>
        <v>24.926000000086617</v>
      </c>
    </row>
    <row r="80" spans="1:25" ht="12.45" x14ac:dyDescent="0.3">
      <c r="A80" s="260" t="s">
        <v>355</v>
      </c>
      <c r="B80" s="300">
        <v>15.073000000067442</v>
      </c>
      <c r="C80" s="300">
        <v>2.9230000000796248</v>
      </c>
      <c r="D80" s="300">
        <v>3.1950000000234144</v>
      </c>
      <c r="E80" s="300">
        <f t="shared" ref="E80:E81" si="167">SUM(B80:D80)</f>
        <v>21.191000000170483</v>
      </c>
      <c r="F80" s="300"/>
      <c r="G80" s="300">
        <v>13.658000000046608</v>
      </c>
      <c r="H80" s="300">
        <v>1.6740000000249597</v>
      </c>
      <c r="I80" s="300">
        <v>1.9350000000200509</v>
      </c>
      <c r="J80" s="300">
        <f t="shared" ref="J80:J81" si="168">SUM(G80:I80)</f>
        <v>17.267000000091617</v>
      </c>
      <c r="K80" s="300"/>
      <c r="L80" s="300">
        <v>13.558000000007464</v>
      </c>
      <c r="M80" s="300">
        <v>3.7080000000150126</v>
      </c>
      <c r="N80" s="300">
        <v>4.5839999999958643</v>
      </c>
      <c r="O80" s="300">
        <f t="shared" ref="O80:O81" si="169">SUM(L80:N80)</f>
        <v>21.850000000018341</v>
      </c>
      <c r="P80" s="300"/>
      <c r="Q80" s="300">
        <v>12.113000000046924</v>
      </c>
      <c r="R80" s="300">
        <v>3.1950000000065639</v>
      </c>
      <c r="S80" s="300">
        <v>4.2029999999834002</v>
      </c>
      <c r="T80" s="300">
        <f t="shared" ref="T80:T81" si="170">SUM(Q80:S80)</f>
        <v>19.511000000036887</v>
      </c>
      <c r="U80" s="300"/>
      <c r="V80" s="300">
        <v>10.321000000049317</v>
      </c>
      <c r="W80" s="300">
        <v>2.7960000000076928</v>
      </c>
      <c r="X80" s="300">
        <v>3.7129999999952288</v>
      </c>
      <c r="Y80" s="300">
        <f t="shared" ref="Y80:Y81" si="171">SUM(V80:X80)</f>
        <v>16.830000000052237</v>
      </c>
    </row>
    <row r="81" spans="1:25" ht="12.45" x14ac:dyDescent="0.3">
      <c r="A81" s="260" t="s">
        <v>354</v>
      </c>
      <c r="B81" s="300">
        <f>SUM(B79:B80)</f>
        <v>37.073000000009351</v>
      </c>
      <c r="C81" s="300">
        <f t="shared" ref="C81" si="172">SUM(C79:C80)</f>
        <v>10.062000000281664</v>
      </c>
      <c r="D81" s="300">
        <f t="shared" ref="D81" si="173">SUM(D79:D80)</f>
        <v>9.1770000001283343</v>
      </c>
      <c r="E81" s="300">
        <f t="shared" si="167"/>
        <v>56.312000000419346</v>
      </c>
      <c r="F81" s="300"/>
      <c r="G81" s="300">
        <f>SUM(G79:G80)</f>
        <v>33.645999999972837</v>
      </c>
      <c r="H81" s="300">
        <f t="shared" ref="H81" si="174">SUM(H79:H80)</f>
        <v>7.1640000000984081</v>
      </c>
      <c r="I81" s="300">
        <f t="shared" ref="I81" si="175">SUM(I79:I80)</f>
        <v>8.8560000001475405</v>
      </c>
      <c r="J81" s="300">
        <f t="shared" si="168"/>
        <v>49.66600000021878</v>
      </c>
      <c r="K81" s="300"/>
      <c r="L81" s="300">
        <f>SUM(L79:L80)</f>
        <v>33.295999999956862</v>
      </c>
      <c r="M81" s="300">
        <f t="shared" ref="M81" si="176">SUM(M79:M80)</f>
        <v>9.5950000001903266</v>
      </c>
      <c r="N81" s="300">
        <f t="shared" ref="N81" si="177">SUM(N79:N80)</f>
        <v>11.826999999844961</v>
      </c>
      <c r="O81" s="300">
        <f t="shared" si="169"/>
        <v>54.717999999992145</v>
      </c>
      <c r="P81" s="300"/>
      <c r="Q81" s="300">
        <f>SUM(Q79:Q80)</f>
        <v>29.676000000134803</v>
      </c>
      <c r="R81" s="300">
        <f t="shared" ref="R81" si="178">SUM(R79:R80)</f>
        <v>8.2590000001469868</v>
      </c>
      <c r="S81" s="300">
        <f t="shared" ref="S81" si="179">SUM(S79:S80)</f>
        <v>10.504999999969124</v>
      </c>
      <c r="T81" s="300">
        <f t="shared" si="170"/>
        <v>48.440000000250912</v>
      </c>
      <c r="U81" s="300"/>
      <c r="V81" s="300">
        <f>SUM(V79:V80)</f>
        <v>25.574000000114228</v>
      </c>
      <c r="W81" s="300">
        <f t="shared" ref="W81" si="180">SUM(W79:W80)</f>
        <v>7.1289999999642655</v>
      </c>
      <c r="X81" s="300">
        <f t="shared" ref="X81" si="181">SUM(X79:X80)</f>
        <v>9.0530000000603597</v>
      </c>
      <c r="Y81" s="300">
        <f t="shared" si="171"/>
        <v>41.756000000138854</v>
      </c>
    </row>
    <row r="82" spans="1:25" ht="12.45" x14ac:dyDescent="0.3">
      <c r="C82" s="319"/>
      <c r="D82" s="319"/>
      <c r="E82" s="319"/>
      <c r="F82" s="319"/>
      <c r="G82" s="319"/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319"/>
      <c r="S82" s="319"/>
      <c r="T82" s="319"/>
      <c r="U82" s="319"/>
      <c r="V82" s="319"/>
      <c r="W82" s="319"/>
      <c r="X82" s="319"/>
      <c r="Y82" s="319"/>
    </row>
    <row r="83" spans="1:25" ht="12.45" x14ac:dyDescent="0.3">
      <c r="A83" s="261" t="str">
        <f>name!A10</f>
        <v xml:space="preserve">Wood and cork </v>
      </c>
      <c r="C83" s="263"/>
    </row>
    <row r="84" spans="1:25" ht="12.45" x14ac:dyDescent="0.3">
      <c r="A84" s="260" t="s">
        <v>356</v>
      </c>
      <c r="B84" s="300">
        <v>8.231999999937587</v>
      </c>
      <c r="C84" s="300">
        <v>5.8830000000705143</v>
      </c>
      <c r="D84" s="300">
        <v>0.55200000001477256</v>
      </c>
      <c r="E84" s="300">
        <f>SUM(B84:D84)</f>
        <v>14.667000000022874</v>
      </c>
      <c r="F84" s="300"/>
      <c r="G84" s="300">
        <v>10.716999999878832</v>
      </c>
      <c r="H84" s="300">
        <v>6.4960000000424376</v>
      </c>
      <c r="I84" s="300">
        <v>1.9780000000559586</v>
      </c>
      <c r="J84" s="300">
        <f>SUM(G84:I84)</f>
        <v>19.19099999997723</v>
      </c>
      <c r="K84" s="300"/>
      <c r="L84" s="300">
        <v>10.671999999922139</v>
      </c>
      <c r="M84" s="300">
        <v>4.0400000000329745</v>
      </c>
      <c r="N84" s="300">
        <v>0.61399999999204602</v>
      </c>
      <c r="O84" s="300">
        <f>SUM(L84:N84)</f>
        <v>15.325999999947161</v>
      </c>
      <c r="P84" s="300"/>
      <c r="Q84" s="300">
        <v>10.863000000129102</v>
      </c>
      <c r="R84" s="300">
        <v>4.0790000000662854</v>
      </c>
      <c r="S84" s="300">
        <v>0.64000000000529023</v>
      </c>
      <c r="T84" s="300">
        <f>SUM(Q84:S84)</f>
        <v>15.582000000200678</v>
      </c>
      <c r="U84" s="300"/>
      <c r="V84" s="300">
        <v>10.703000000045362</v>
      </c>
      <c r="W84" s="300">
        <v>4.0169999999839039</v>
      </c>
      <c r="X84" s="300">
        <v>0.68400000000479833</v>
      </c>
      <c r="Y84" s="300">
        <f>SUM(V84:X84)</f>
        <v>15.404000000034065</v>
      </c>
    </row>
    <row r="85" spans="1:25" ht="12.45" x14ac:dyDescent="0.3">
      <c r="A85" s="260" t="s">
        <v>355</v>
      </c>
      <c r="B85" s="300">
        <v>51.523000000070333</v>
      </c>
      <c r="C85" s="300">
        <v>2.3780000000305241</v>
      </c>
      <c r="D85" s="300">
        <v>11.203999999821185</v>
      </c>
      <c r="E85" s="300">
        <f t="shared" ref="E85:E86" si="182">SUM(B85:D85)</f>
        <v>65.104999999922043</v>
      </c>
      <c r="F85" s="300"/>
      <c r="G85" s="300">
        <v>56.520000000162902</v>
      </c>
      <c r="H85" s="300">
        <v>3.6060000000434078</v>
      </c>
      <c r="I85" s="300">
        <v>7.9810000000942081</v>
      </c>
      <c r="J85" s="300">
        <f t="shared" ref="J85:J86" si="183">SUM(G85:I85)</f>
        <v>68.107000000300516</v>
      </c>
      <c r="K85" s="300"/>
      <c r="L85" s="300">
        <v>54.931000000061232</v>
      </c>
      <c r="M85" s="300">
        <v>3.7510000000083021</v>
      </c>
      <c r="N85" s="300">
        <v>15.903999999719774</v>
      </c>
      <c r="O85" s="300">
        <f t="shared" ref="O85:O86" si="184">SUM(L85:N85)</f>
        <v>74.585999999789308</v>
      </c>
      <c r="P85" s="300"/>
      <c r="Q85" s="300">
        <v>54.505000000418448</v>
      </c>
      <c r="R85" s="300">
        <v>3.8330000000222095</v>
      </c>
      <c r="S85" s="300">
        <v>15.134999999270422</v>
      </c>
      <c r="T85" s="300">
        <f t="shared" ref="T85:T86" si="185">SUM(Q85:S85)</f>
        <v>73.472999999711078</v>
      </c>
      <c r="U85" s="300"/>
      <c r="V85" s="300">
        <v>51.931000000500234</v>
      </c>
      <c r="W85" s="300">
        <v>3.8170000000291622</v>
      </c>
      <c r="X85" s="300">
        <v>14.078999999519347</v>
      </c>
      <c r="Y85" s="300">
        <f t="shared" ref="Y85:Y86" si="186">SUM(V85:X85)</f>
        <v>69.827000000048741</v>
      </c>
    </row>
    <row r="86" spans="1:25" ht="12.45" x14ac:dyDescent="0.3">
      <c r="A86" s="260" t="s">
        <v>354</v>
      </c>
      <c r="B86" s="300">
        <f>SUM(B84:B85)</f>
        <v>59.755000000007918</v>
      </c>
      <c r="C86" s="300">
        <f t="shared" ref="C86" si="187">SUM(C84:C85)</f>
        <v>8.2610000001010384</v>
      </c>
      <c r="D86" s="300">
        <f t="shared" ref="D86" si="188">SUM(D84:D85)</f>
        <v>11.755999999835957</v>
      </c>
      <c r="E86" s="300">
        <f t="shared" si="182"/>
        <v>79.77199999994491</v>
      </c>
      <c r="F86" s="300"/>
      <c r="G86" s="300">
        <f>SUM(G84:G85)</f>
        <v>67.237000000041732</v>
      </c>
      <c r="H86" s="300">
        <f t="shared" ref="H86" si="189">SUM(H84:H85)</f>
        <v>10.102000000085845</v>
      </c>
      <c r="I86" s="300">
        <f t="shared" ref="I86" si="190">SUM(I84:I85)</f>
        <v>9.9590000001501657</v>
      </c>
      <c r="J86" s="300">
        <f t="shared" si="183"/>
        <v>87.298000000277753</v>
      </c>
      <c r="K86" s="300"/>
      <c r="L86" s="300">
        <f>SUM(L84:L85)</f>
        <v>65.602999999983368</v>
      </c>
      <c r="M86" s="300">
        <f t="shared" ref="M86" si="191">SUM(M84:M85)</f>
        <v>7.7910000000412767</v>
      </c>
      <c r="N86" s="300">
        <f t="shared" ref="N86" si="192">SUM(N84:N85)</f>
        <v>16.517999999711819</v>
      </c>
      <c r="O86" s="300">
        <f t="shared" si="184"/>
        <v>89.911999999736466</v>
      </c>
      <c r="P86" s="300"/>
      <c r="Q86" s="300">
        <f>SUM(Q84:Q85)</f>
        <v>65.368000000547553</v>
      </c>
      <c r="R86" s="300">
        <f t="shared" ref="R86" si="193">SUM(R84:R85)</f>
        <v>7.9120000000884954</v>
      </c>
      <c r="S86" s="300">
        <f t="shared" ref="S86" si="194">SUM(S84:S85)</f>
        <v>15.774999999275712</v>
      </c>
      <c r="T86" s="300">
        <f t="shared" si="185"/>
        <v>89.054999999911757</v>
      </c>
      <c r="U86" s="300"/>
      <c r="V86" s="300">
        <f>SUM(V84:V85)</f>
        <v>62.634000000545598</v>
      </c>
      <c r="W86" s="300">
        <f t="shared" ref="W86" si="195">SUM(W84:W85)</f>
        <v>7.8340000000130665</v>
      </c>
      <c r="X86" s="300">
        <f t="shared" ref="X86" si="196">SUM(X84:X85)</f>
        <v>14.762999999524146</v>
      </c>
      <c r="Y86" s="300">
        <f t="shared" si="186"/>
        <v>85.231000000082801</v>
      </c>
    </row>
    <row r="87" spans="1:25" ht="12.45" x14ac:dyDescent="0.3">
      <c r="C87" s="319"/>
      <c r="D87" s="319"/>
      <c r="E87" s="319"/>
      <c r="F87" s="319"/>
      <c r="G87" s="319"/>
      <c r="H87" s="319"/>
      <c r="I87" s="319"/>
      <c r="J87" s="319"/>
      <c r="K87" s="319"/>
      <c r="L87" s="319"/>
      <c r="M87" s="319"/>
      <c r="N87" s="319"/>
      <c r="O87" s="319"/>
      <c r="P87" s="319"/>
      <c r="Q87" s="319"/>
      <c r="R87" s="319"/>
      <c r="S87" s="319"/>
      <c r="T87" s="319"/>
      <c r="U87" s="319"/>
      <c r="V87" s="319"/>
      <c r="W87" s="319"/>
      <c r="X87" s="319"/>
      <c r="Y87" s="319"/>
    </row>
    <row r="88" spans="1:25" ht="12.45" x14ac:dyDescent="0.3">
      <c r="A88" s="261" t="str">
        <f>name!A11</f>
        <v>Paper, etc</v>
      </c>
      <c r="C88" s="263"/>
    </row>
    <row r="89" spans="1:25" ht="12.45" x14ac:dyDescent="0.3">
      <c r="A89" s="260" t="s">
        <v>356</v>
      </c>
      <c r="B89" s="300">
        <v>6.216999999967002</v>
      </c>
      <c r="C89" s="300">
        <v>2.8970000000648835</v>
      </c>
      <c r="D89" s="300">
        <v>0.7560000000076621</v>
      </c>
      <c r="E89" s="300">
        <f>SUM(B89:D89)</f>
        <v>9.870000000039548</v>
      </c>
      <c r="F89" s="300"/>
      <c r="G89" s="300">
        <v>6.4749999998966397</v>
      </c>
      <c r="H89" s="300">
        <v>1.5360000000023182</v>
      </c>
      <c r="I89" s="300">
        <v>1.0040000000088161</v>
      </c>
      <c r="J89" s="300">
        <f>SUM(G89:I89)</f>
        <v>9.0149999999077739</v>
      </c>
      <c r="K89" s="300"/>
      <c r="L89" s="300">
        <v>6.3429999999379287</v>
      </c>
      <c r="M89" s="300">
        <v>0.96300000000936559</v>
      </c>
      <c r="N89" s="300">
        <v>0.68999999999087402</v>
      </c>
      <c r="O89" s="300">
        <f>SUM(L89:N89)</f>
        <v>7.995999999938169</v>
      </c>
      <c r="P89" s="300"/>
      <c r="Q89" s="300">
        <v>6.3750000001217719</v>
      </c>
      <c r="R89" s="300">
        <v>0.95100000001168727</v>
      </c>
      <c r="S89" s="300">
        <v>0.71399999999358388</v>
      </c>
      <c r="T89" s="300">
        <f>SUM(Q89:S89)</f>
        <v>8.0400000001270424</v>
      </c>
      <c r="U89" s="300"/>
      <c r="V89" s="300">
        <v>6.1919999999928983</v>
      </c>
      <c r="W89" s="300">
        <v>0.91899999999163262</v>
      </c>
      <c r="X89" s="300">
        <v>0.7589999999996494</v>
      </c>
      <c r="Y89" s="300">
        <f>SUM(V89:X89)</f>
        <v>7.8699999999841808</v>
      </c>
    </row>
    <row r="90" spans="1:25" ht="12.45" x14ac:dyDescent="0.3">
      <c r="A90" s="260" t="s">
        <v>355</v>
      </c>
      <c r="B90" s="300">
        <v>46.196999999997743</v>
      </c>
      <c r="C90" s="300">
        <v>1.6140000000143369</v>
      </c>
      <c r="D90" s="300">
        <v>8.4860000000981408</v>
      </c>
      <c r="E90" s="300">
        <f t="shared" ref="E90:E91" si="197">SUM(B90:D90)</f>
        <v>56.297000000110216</v>
      </c>
      <c r="F90" s="300"/>
      <c r="G90" s="300">
        <v>43.280000000029531</v>
      </c>
      <c r="H90" s="300">
        <v>2.3090000000199811</v>
      </c>
      <c r="I90" s="300">
        <v>4.9440000000322488</v>
      </c>
      <c r="J90" s="300">
        <f t="shared" ref="J90:J91" si="198">SUM(G90:I90)</f>
        <v>50.533000000081756</v>
      </c>
      <c r="K90" s="300"/>
      <c r="L90" s="300">
        <v>42.148000000084771</v>
      </c>
      <c r="M90" s="300">
        <v>2.2540000000056306</v>
      </c>
      <c r="N90" s="300">
        <v>0.69300000000651174</v>
      </c>
      <c r="O90" s="300">
        <f t="shared" ref="O90:O91" si="199">SUM(L90:N90)</f>
        <v>45.095000000096917</v>
      </c>
      <c r="P90" s="300"/>
      <c r="Q90" s="300">
        <v>41.521000000250126</v>
      </c>
      <c r="R90" s="300">
        <v>2.2810000000090391</v>
      </c>
      <c r="S90" s="300">
        <v>0.764000000017516</v>
      </c>
      <c r="T90" s="300">
        <f t="shared" ref="T90:T91" si="200">SUM(Q90:S90)</f>
        <v>44.566000000276681</v>
      </c>
      <c r="U90" s="300"/>
      <c r="V90" s="300">
        <v>39.3720000002142</v>
      </c>
      <c r="W90" s="300">
        <v>2.2570000000125785</v>
      </c>
      <c r="X90" s="300">
        <v>0.81900000001549755</v>
      </c>
      <c r="Y90" s="300">
        <f t="shared" ref="Y90:Y91" si="201">SUM(V90:X90)</f>
        <v>42.448000000242281</v>
      </c>
    </row>
    <row r="91" spans="1:25" ht="12.45" x14ac:dyDescent="0.3">
      <c r="A91" s="260" t="s">
        <v>354</v>
      </c>
      <c r="B91" s="300">
        <f>SUM(B89:B90)</f>
        <v>52.413999999964744</v>
      </c>
      <c r="C91" s="300">
        <f t="shared" ref="C91" si="202">SUM(C89:C90)</f>
        <v>4.5110000000792203</v>
      </c>
      <c r="D91" s="300">
        <f t="shared" ref="D91" si="203">SUM(D89:D90)</f>
        <v>9.2420000001058025</v>
      </c>
      <c r="E91" s="300">
        <f t="shared" si="197"/>
        <v>66.16700000014977</v>
      </c>
      <c r="F91" s="300"/>
      <c r="G91" s="300">
        <f>SUM(G89:G90)</f>
        <v>49.75499999992617</v>
      </c>
      <c r="H91" s="300">
        <f t="shared" ref="H91" si="204">SUM(H89:H90)</f>
        <v>3.8450000000222992</v>
      </c>
      <c r="I91" s="300">
        <f t="shared" ref="I91" si="205">SUM(I89:I90)</f>
        <v>5.9480000000410644</v>
      </c>
      <c r="J91" s="300">
        <f t="shared" si="198"/>
        <v>59.547999999989528</v>
      </c>
      <c r="K91" s="300"/>
      <c r="L91" s="300">
        <f>SUM(L89:L90)</f>
        <v>48.491000000022701</v>
      </c>
      <c r="M91" s="300">
        <f t="shared" ref="M91" si="206">SUM(M89:M90)</f>
        <v>3.2170000000149961</v>
      </c>
      <c r="N91" s="300">
        <f t="shared" ref="N91" si="207">SUM(N89:N90)</f>
        <v>1.3829999999973857</v>
      </c>
      <c r="O91" s="300">
        <f t="shared" si="199"/>
        <v>53.091000000035088</v>
      </c>
      <c r="P91" s="300"/>
      <c r="Q91" s="300">
        <f>SUM(Q89:Q90)</f>
        <v>47.896000000371899</v>
      </c>
      <c r="R91" s="300">
        <f t="shared" ref="R91" si="208">SUM(R89:R90)</f>
        <v>3.2320000000207263</v>
      </c>
      <c r="S91" s="300">
        <f t="shared" ref="S91" si="209">SUM(S89:S90)</f>
        <v>1.4780000000110998</v>
      </c>
      <c r="T91" s="300">
        <f t="shared" si="200"/>
        <v>52.606000000403725</v>
      </c>
      <c r="U91" s="300"/>
      <c r="V91" s="300">
        <f>SUM(V89:V90)</f>
        <v>45.564000000207102</v>
      </c>
      <c r="W91" s="300">
        <f t="shared" ref="W91" si="210">SUM(W89:W90)</f>
        <v>3.176000000004211</v>
      </c>
      <c r="X91" s="300">
        <f t="shared" ref="X91" si="211">SUM(X89:X90)</f>
        <v>1.5780000000151468</v>
      </c>
      <c r="Y91" s="300">
        <f t="shared" si="201"/>
        <v>50.318000000226455</v>
      </c>
    </row>
    <row r="92" spans="1:25" ht="12.45" x14ac:dyDescent="0.3">
      <c r="C92" s="319"/>
      <c r="D92" s="319"/>
      <c r="E92" s="319"/>
      <c r="F92" s="319"/>
      <c r="G92" s="319"/>
      <c r="H92" s="319"/>
      <c r="I92" s="319"/>
      <c r="J92" s="319"/>
      <c r="K92" s="319"/>
      <c r="L92" s="319"/>
      <c r="M92" s="319"/>
      <c r="N92" s="319"/>
      <c r="O92" s="319"/>
      <c r="P92" s="319"/>
      <c r="Q92" s="319"/>
      <c r="R92" s="319"/>
      <c r="S92" s="319"/>
      <c r="T92" s="319"/>
      <c r="U92" s="319"/>
      <c r="V92" s="319"/>
      <c r="W92" s="319"/>
      <c r="X92" s="319"/>
      <c r="Y92" s="319"/>
    </row>
    <row r="93" spans="1:25" ht="12.45" x14ac:dyDescent="0.3">
      <c r="A93" s="261" t="str">
        <f>name!A12</f>
        <v>Printing and recording</v>
      </c>
      <c r="C93" s="263"/>
    </row>
    <row r="94" spans="1:25" ht="12.45" x14ac:dyDescent="0.3">
      <c r="A94" s="260" t="s">
        <v>356</v>
      </c>
      <c r="B94" s="300">
        <v>24.211999999760764</v>
      </c>
      <c r="C94" s="300">
        <v>10.087000000137502</v>
      </c>
      <c r="D94" s="300">
        <v>5.0020000000588158</v>
      </c>
      <c r="E94" s="300">
        <f>SUM(B94:D94)</f>
        <v>39.300999999957078</v>
      </c>
      <c r="F94" s="300"/>
      <c r="G94" s="300">
        <v>19.435999999692044</v>
      </c>
      <c r="H94" s="300">
        <v>10.230000000086566</v>
      </c>
      <c r="I94" s="300">
        <v>0.4020000000026005</v>
      </c>
      <c r="J94" s="300">
        <f>SUM(G94:I94)</f>
        <v>30.067999999781211</v>
      </c>
      <c r="K94" s="300"/>
      <c r="L94" s="300">
        <v>18.013999999830382</v>
      </c>
      <c r="M94" s="300">
        <v>8.0070000000881887</v>
      </c>
      <c r="N94" s="300">
        <v>2.9819999999469036</v>
      </c>
      <c r="O94" s="300">
        <f>SUM(L94:N94)</f>
        <v>29.002999999865477</v>
      </c>
      <c r="P94" s="300"/>
      <c r="Q94" s="300">
        <v>17.089000000366312</v>
      </c>
      <c r="R94" s="300">
        <v>7.6230000000762672</v>
      </c>
      <c r="S94" s="300">
        <v>2.7839999999639842</v>
      </c>
      <c r="T94" s="300">
        <f>SUM(Q94:S94)</f>
        <v>27.496000000406564</v>
      </c>
      <c r="U94" s="300"/>
      <c r="V94" s="300">
        <v>15.160000000045844</v>
      </c>
      <c r="W94" s="300">
        <v>6.8059999999658052</v>
      </c>
      <c r="X94" s="300">
        <v>2.3940000000074568</v>
      </c>
      <c r="Y94" s="300">
        <f>SUM(V94:X94)</f>
        <v>24.360000000019106</v>
      </c>
    </row>
    <row r="95" spans="1:25" ht="12.45" x14ac:dyDescent="0.3">
      <c r="A95" s="260" t="s">
        <v>355</v>
      </c>
      <c r="B95" s="300">
        <v>71.629999999758738</v>
      </c>
      <c r="C95" s="300">
        <v>2.0180000000185823</v>
      </c>
      <c r="D95" s="300">
        <v>10.999000000218851</v>
      </c>
      <c r="E95" s="300">
        <f t="shared" ref="E95:E96" si="212">SUM(B95:D95)</f>
        <v>84.646999999996183</v>
      </c>
      <c r="F95" s="300"/>
      <c r="G95" s="300">
        <v>56.366999999872917</v>
      </c>
      <c r="H95" s="300">
        <v>6.9220000000522379</v>
      </c>
      <c r="I95" s="300">
        <v>3.5750000000144806</v>
      </c>
      <c r="J95" s="300">
        <f t="shared" ref="J95:J96" si="213">SUM(G95:I95)</f>
        <v>66.863999999939637</v>
      </c>
      <c r="K95" s="300"/>
      <c r="L95" s="300">
        <v>52.042999999924724</v>
      </c>
      <c r="M95" s="300">
        <v>7.005000000023121</v>
      </c>
      <c r="N95" s="300">
        <v>3.9780000000934397</v>
      </c>
      <c r="O95" s="300">
        <f t="shared" ref="O95:O96" si="214">SUM(L95:N95)</f>
        <v>63.026000000041286</v>
      </c>
      <c r="P95" s="300"/>
      <c r="Q95" s="300">
        <v>47.656000000090195</v>
      </c>
      <c r="R95" s="300">
        <v>6.6280000000058452</v>
      </c>
      <c r="S95" s="300">
        <v>3.8000000001980747</v>
      </c>
      <c r="T95" s="300">
        <f t="shared" ref="T95:T96" si="215">SUM(Q95:S95)</f>
        <v>58.084000000294118</v>
      </c>
      <c r="U95" s="300"/>
      <c r="V95" s="300">
        <v>39.408000000064952</v>
      </c>
      <c r="W95" s="300">
        <v>5.8570000000073472</v>
      </c>
      <c r="X95" s="300">
        <v>3.4150000001320144</v>
      </c>
      <c r="Y95" s="300">
        <f t="shared" ref="Y95:Y96" si="216">SUM(V95:X95)</f>
        <v>48.680000000204316</v>
      </c>
    </row>
    <row r="96" spans="1:25" ht="12.45" x14ac:dyDescent="0.3">
      <c r="A96" s="260" t="s">
        <v>354</v>
      </c>
      <c r="B96" s="300">
        <f>SUM(B94:B95)</f>
        <v>95.841999999519501</v>
      </c>
      <c r="C96" s="300">
        <f t="shared" ref="C96" si="217">SUM(C94:C95)</f>
        <v>12.105000000156085</v>
      </c>
      <c r="D96" s="300">
        <f t="shared" ref="D96" si="218">SUM(D94:D95)</f>
        <v>16.001000000277667</v>
      </c>
      <c r="E96" s="300">
        <f t="shared" si="212"/>
        <v>123.94799999995325</v>
      </c>
      <c r="F96" s="300"/>
      <c r="G96" s="300">
        <f>SUM(G94:G95)</f>
        <v>75.80299999956496</v>
      </c>
      <c r="H96" s="300">
        <f t="shared" ref="H96" si="219">SUM(H94:H95)</f>
        <v>17.152000000138806</v>
      </c>
      <c r="I96" s="300">
        <f t="shared" ref="I96" si="220">SUM(I94:I95)</f>
        <v>3.9770000000170809</v>
      </c>
      <c r="J96" s="300">
        <f t="shared" si="213"/>
        <v>96.931999999720858</v>
      </c>
      <c r="K96" s="300"/>
      <c r="L96" s="300">
        <f>SUM(L94:L95)</f>
        <v>70.056999999755107</v>
      </c>
      <c r="M96" s="300">
        <f t="shared" ref="M96" si="221">SUM(M94:M95)</f>
        <v>15.012000000111311</v>
      </c>
      <c r="N96" s="300">
        <f t="shared" ref="N96" si="222">SUM(N94:N95)</f>
        <v>6.9600000000403437</v>
      </c>
      <c r="O96" s="300">
        <f t="shared" si="214"/>
        <v>92.028999999906759</v>
      </c>
      <c r="P96" s="300"/>
      <c r="Q96" s="300">
        <f>SUM(Q94:Q95)</f>
        <v>64.745000000456514</v>
      </c>
      <c r="R96" s="300">
        <f t="shared" ref="R96" si="223">SUM(R94:R95)</f>
        <v>14.251000000082112</v>
      </c>
      <c r="S96" s="300">
        <f t="shared" ref="S96" si="224">SUM(S94:S95)</f>
        <v>6.5840000001620584</v>
      </c>
      <c r="T96" s="300">
        <f t="shared" si="215"/>
        <v>85.580000000700693</v>
      </c>
      <c r="U96" s="300"/>
      <c r="V96" s="300">
        <f>SUM(V94:V95)</f>
        <v>54.5680000001108</v>
      </c>
      <c r="W96" s="300">
        <f t="shared" ref="W96" si="225">SUM(W94:W95)</f>
        <v>12.662999999973152</v>
      </c>
      <c r="X96" s="300">
        <f t="shared" ref="X96" si="226">SUM(X94:X95)</f>
        <v>5.8090000001394717</v>
      </c>
      <c r="Y96" s="300">
        <f t="shared" si="216"/>
        <v>73.040000000223429</v>
      </c>
    </row>
    <row r="97" spans="1:25" x14ac:dyDescent="0.35">
      <c r="A97" s="262"/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ht="12.45" x14ac:dyDescent="0.3">
      <c r="A98" s="261" t="str">
        <f>name!A13</f>
        <v>Coke and petroleum; Chemicals, etc</v>
      </c>
      <c r="C98" s="263"/>
    </row>
    <row r="99" spans="1:25" ht="12.45" x14ac:dyDescent="0.3">
      <c r="A99" s="260" t="s">
        <v>356</v>
      </c>
      <c r="B99" s="300">
        <v>22.677999999809906</v>
      </c>
      <c r="C99" s="300">
        <v>4.308000000093589</v>
      </c>
      <c r="D99" s="300">
        <v>1.4990000000038595</v>
      </c>
      <c r="E99" s="300">
        <f>SUM(B99:D99)</f>
        <v>28.484999999907355</v>
      </c>
      <c r="F99" s="300"/>
      <c r="G99" s="300">
        <v>24.368999999605023</v>
      </c>
      <c r="H99" s="300">
        <v>4.6180000000620236</v>
      </c>
      <c r="I99" s="300">
        <v>3.6690000000502945</v>
      </c>
      <c r="J99" s="300">
        <f>SUM(G99:I99)</f>
        <v>32.655999999717345</v>
      </c>
      <c r="K99" s="300"/>
      <c r="L99" s="300">
        <v>24.411999999700434</v>
      </c>
      <c r="M99" s="300">
        <v>5.3210000000858271</v>
      </c>
      <c r="N99" s="300">
        <v>3.2919999999876426</v>
      </c>
      <c r="O99" s="300">
        <f>SUM(L99:N99)</f>
        <v>33.024999999773904</v>
      </c>
      <c r="P99" s="300"/>
      <c r="Q99" s="300">
        <v>23.868000000472936</v>
      </c>
      <c r="R99" s="300">
        <v>5.1900000001606834</v>
      </c>
      <c r="S99" s="300">
        <v>3.1380000000239683</v>
      </c>
      <c r="T99" s="300">
        <f>SUM(Q99:S99)</f>
        <v>32.196000000657591</v>
      </c>
      <c r="U99" s="300"/>
      <c r="V99" s="300">
        <v>23.192000000009827</v>
      </c>
      <c r="W99" s="300">
        <v>5.0219999999909257</v>
      </c>
      <c r="X99" s="300">
        <v>2.9250000000110616</v>
      </c>
      <c r="Y99" s="300">
        <f>SUM(V99:X99)</f>
        <v>31.139000000011812</v>
      </c>
    </row>
    <row r="100" spans="1:25" ht="12.45" x14ac:dyDescent="0.3">
      <c r="A100" s="260" t="s">
        <v>355</v>
      </c>
      <c r="B100" s="300">
        <v>71.545999999712322</v>
      </c>
      <c r="C100" s="300">
        <v>1.4180000000090021</v>
      </c>
      <c r="D100" s="300">
        <v>4.500000000044726</v>
      </c>
      <c r="E100" s="300">
        <f t="shared" ref="E100:E101" si="227">SUM(B100:D100)</f>
        <v>77.463999999766045</v>
      </c>
      <c r="F100" s="300"/>
      <c r="G100" s="300">
        <v>74.527999999794375</v>
      </c>
      <c r="H100" s="300">
        <v>1.4360000000077329</v>
      </c>
      <c r="I100" s="300">
        <v>7.268000000050872</v>
      </c>
      <c r="J100" s="300">
        <f t="shared" ref="J100:J101" si="228">SUM(G100:I100)</f>
        <v>83.231999999852988</v>
      </c>
      <c r="K100" s="300"/>
      <c r="L100" s="300">
        <v>71.948999999739954</v>
      </c>
      <c r="M100" s="300">
        <v>2.4050000000067699</v>
      </c>
      <c r="N100" s="300">
        <v>5.6580000000445407</v>
      </c>
      <c r="O100" s="300">
        <f t="shared" ref="O100:O101" si="229">SUM(L100:N100)</f>
        <v>80.011999999791257</v>
      </c>
      <c r="P100" s="300"/>
      <c r="Q100" s="300">
        <v>67.484999999957139</v>
      </c>
      <c r="R100" s="300">
        <v>2.3140000000060237</v>
      </c>
      <c r="S100" s="300">
        <v>5.3770000000861913</v>
      </c>
      <c r="T100" s="300">
        <f t="shared" ref="T100:T101" si="230">SUM(Q100:S100)</f>
        <v>75.176000000049356</v>
      </c>
      <c r="U100" s="300"/>
      <c r="V100" s="300">
        <v>60.817999999888016</v>
      </c>
      <c r="W100" s="300">
        <v>2.2370000000122401</v>
      </c>
      <c r="X100" s="300">
        <v>5.0160000000497709</v>
      </c>
      <c r="Y100" s="300">
        <f t="shared" ref="Y100:Y101" si="231">SUM(V100:X100)</f>
        <v>68.070999999950018</v>
      </c>
    </row>
    <row r="101" spans="1:25" ht="12.45" x14ac:dyDescent="0.3">
      <c r="A101" s="260" t="s">
        <v>354</v>
      </c>
      <c r="B101" s="300">
        <f>SUM(B99:B100)</f>
        <v>94.223999999522221</v>
      </c>
      <c r="C101" s="300">
        <f t="shared" ref="C101" si="232">SUM(C99:C100)</f>
        <v>5.7260000001025908</v>
      </c>
      <c r="D101" s="300">
        <f t="shared" ref="D101" si="233">SUM(D99:D100)</f>
        <v>5.9990000000485857</v>
      </c>
      <c r="E101" s="300">
        <f t="shared" si="227"/>
        <v>105.94899999967339</v>
      </c>
      <c r="F101" s="300"/>
      <c r="G101" s="300">
        <f>SUM(G99:G100)</f>
        <v>98.896999999399398</v>
      </c>
      <c r="H101" s="300">
        <f t="shared" ref="H101" si="234">SUM(H99:H100)</f>
        <v>6.054000000069756</v>
      </c>
      <c r="I101" s="300">
        <f t="shared" ref="I101" si="235">SUM(I99:I100)</f>
        <v>10.937000000101166</v>
      </c>
      <c r="J101" s="300">
        <f t="shared" si="228"/>
        <v>115.88799999957033</v>
      </c>
      <c r="K101" s="300"/>
      <c r="L101" s="300">
        <f>SUM(L99:L100)</f>
        <v>96.360999999440395</v>
      </c>
      <c r="M101" s="300">
        <f t="shared" ref="M101" si="236">SUM(M99:M100)</f>
        <v>7.726000000092597</v>
      </c>
      <c r="N101" s="300">
        <f t="shared" ref="N101" si="237">SUM(N99:N100)</f>
        <v>8.9500000000321833</v>
      </c>
      <c r="O101" s="300">
        <f t="shared" si="229"/>
        <v>113.03699999956518</v>
      </c>
      <c r="P101" s="300"/>
      <c r="Q101" s="300">
        <f>SUM(Q99:Q100)</f>
        <v>91.353000000430072</v>
      </c>
      <c r="R101" s="300">
        <f t="shared" ref="R101" si="238">SUM(R99:R100)</f>
        <v>7.5040000001667071</v>
      </c>
      <c r="S101" s="300">
        <f t="shared" ref="S101" si="239">SUM(S99:S100)</f>
        <v>8.5150000001101596</v>
      </c>
      <c r="T101" s="300">
        <f t="shared" si="230"/>
        <v>107.37200000070695</v>
      </c>
      <c r="U101" s="300"/>
      <c r="V101" s="300">
        <f>SUM(V99:V100)</f>
        <v>84.009999999897843</v>
      </c>
      <c r="W101" s="300">
        <f t="shared" ref="W101" si="240">SUM(W99:W100)</f>
        <v>7.2590000000031658</v>
      </c>
      <c r="X101" s="300">
        <f t="shared" ref="X101" si="241">SUM(X99:X100)</f>
        <v>7.9410000000608321</v>
      </c>
      <c r="Y101" s="300">
        <f t="shared" si="231"/>
        <v>99.209999999961838</v>
      </c>
    </row>
    <row r="102" spans="1:25" ht="12.45" x14ac:dyDescent="0.3">
      <c r="C102" s="319"/>
      <c r="D102" s="319"/>
      <c r="E102" s="319"/>
      <c r="F102" s="319"/>
      <c r="G102" s="319"/>
      <c r="H102" s="319"/>
      <c r="I102" s="319"/>
      <c r="J102" s="319"/>
      <c r="K102" s="319"/>
      <c r="L102" s="319"/>
      <c r="M102" s="319"/>
      <c r="N102" s="319"/>
      <c r="O102" s="319"/>
      <c r="P102" s="319"/>
      <c r="Q102" s="319"/>
      <c r="R102" s="319"/>
      <c r="S102" s="319"/>
      <c r="T102" s="319"/>
      <c r="U102" s="319"/>
      <c r="V102" s="319"/>
      <c r="W102" s="319"/>
      <c r="X102" s="319"/>
      <c r="Y102" s="319"/>
    </row>
    <row r="103" spans="1:25" ht="12.45" x14ac:dyDescent="0.3">
      <c r="A103" s="261" t="str">
        <f>name!A14</f>
        <v>Pharmaceuticals</v>
      </c>
      <c r="C103" s="263"/>
    </row>
    <row r="104" spans="1:25" ht="12.45" x14ac:dyDescent="0.3">
      <c r="A104" s="260" t="s">
        <v>356</v>
      </c>
      <c r="B104" s="300">
        <v>12.993999999883281</v>
      </c>
      <c r="C104" s="300">
        <v>1.998000000012885</v>
      </c>
      <c r="D104" s="300">
        <v>2.0000000000376694</v>
      </c>
      <c r="E104" s="300">
        <f>SUM(B104:D104)</f>
        <v>16.991999999933835</v>
      </c>
      <c r="F104" s="300"/>
      <c r="G104" s="300">
        <v>15.991999999823872</v>
      </c>
      <c r="H104" s="300">
        <v>1.9990000000054837</v>
      </c>
      <c r="I104" s="300">
        <v>0.99500000001882483</v>
      </c>
      <c r="J104" s="300">
        <f>SUM(G104:I104)</f>
        <v>18.985999999848179</v>
      </c>
      <c r="K104" s="300"/>
      <c r="L104" s="300">
        <v>17.012999999883817</v>
      </c>
      <c r="M104" s="300">
        <v>2.0020000000051938</v>
      </c>
      <c r="N104" s="300">
        <v>0.9949999999947603</v>
      </c>
      <c r="O104" s="300">
        <f>SUM(L104:N104)</f>
        <v>20.009999999883771</v>
      </c>
      <c r="P104" s="300"/>
      <c r="Q104" s="300">
        <v>17.720000000152485</v>
      </c>
      <c r="R104" s="300">
        <v>2.2610000000168764</v>
      </c>
      <c r="S104" s="300">
        <v>1.1160000000101071</v>
      </c>
      <c r="T104" s="300">
        <f>SUM(Q104:S104)</f>
        <v>21.097000000179467</v>
      </c>
      <c r="U104" s="300"/>
      <c r="V104" s="300">
        <v>16.1520000000863</v>
      </c>
      <c r="W104" s="300">
        <v>2.40699999999282</v>
      </c>
      <c r="X104" s="300">
        <v>1.1740000000034523</v>
      </c>
      <c r="Y104" s="300">
        <f>SUM(V104:X104)</f>
        <v>19.733000000082573</v>
      </c>
    </row>
    <row r="105" spans="1:25" ht="12.45" x14ac:dyDescent="0.3">
      <c r="A105" s="260" t="s">
        <v>355</v>
      </c>
      <c r="B105" s="300">
        <v>22.031999999882572</v>
      </c>
      <c r="C105" s="300">
        <v>0.95900000000833563</v>
      </c>
      <c r="D105" s="300">
        <v>2.0000000000381486</v>
      </c>
      <c r="E105" s="300">
        <f t="shared" ref="E105:E106" si="242">SUM(B105:D105)</f>
        <v>24.990999999929056</v>
      </c>
      <c r="F105" s="300"/>
      <c r="G105" s="300">
        <v>25.024999999905507</v>
      </c>
      <c r="H105" s="300">
        <v>0.96200000000558439</v>
      </c>
      <c r="I105" s="300">
        <v>3.9779999999915523</v>
      </c>
      <c r="J105" s="300">
        <f t="shared" ref="J105:J106" si="243">SUM(G105:I105)</f>
        <v>29.964999999902645</v>
      </c>
      <c r="K105" s="300"/>
      <c r="L105" s="300">
        <v>26.57899999989548</v>
      </c>
      <c r="M105" s="300">
        <v>0.44100000000154826</v>
      </c>
      <c r="N105" s="300">
        <v>3.9780000000424134</v>
      </c>
      <c r="O105" s="300">
        <f t="shared" ref="O105:O106" si="244">SUM(L105:N105)</f>
        <v>30.997999999939442</v>
      </c>
      <c r="P105" s="300"/>
      <c r="Q105" s="300">
        <v>28.336999999898342</v>
      </c>
      <c r="R105" s="300">
        <v>0.53200000000189274</v>
      </c>
      <c r="S105" s="300">
        <v>4.4340000001103492</v>
      </c>
      <c r="T105" s="300">
        <f t="shared" ref="T105:T106" si="245">SUM(Q105:S105)</f>
        <v>33.303000000010584</v>
      </c>
      <c r="U105" s="300"/>
      <c r="V105" s="300">
        <v>27.11599999988653</v>
      </c>
      <c r="W105" s="300">
        <v>0.62600000000322553</v>
      </c>
      <c r="X105" s="300">
        <v>4.6110000000802271</v>
      </c>
      <c r="Y105" s="300">
        <f t="shared" ref="Y105:Y106" si="246">SUM(V105:X105)</f>
        <v>32.352999999969981</v>
      </c>
    </row>
    <row r="106" spans="1:25" ht="12.45" x14ac:dyDescent="0.3">
      <c r="A106" s="260" t="s">
        <v>354</v>
      </c>
      <c r="B106" s="300">
        <f>SUM(B104:B105)</f>
        <v>35.025999999765851</v>
      </c>
      <c r="C106" s="300">
        <f t="shared" ref="C106" si="247">SUM(C104:C105)</f>
        <v>2.9570000000212207</v>
      </c>
      <c r="D106" s="300">
        <f t="shared" ref="D106" si="248">SUM(D104:D105)</f>
        <v>4.0000000000758185</v>
      </c>
      <c r="E106" s="300">
        <f t="shared" si="242"/>
        <v>41.982999999862884</v>
      </c>
      <c r="F106" s="300"/>
      <c r="G106" s="300">
        <f>SUM(G104:G105)</f>
        <v>41.016999999729379</v>
      </c>
      <c r="H106" s="300">
        <f t="shared" ref="H106" si="249">SUM(H104:H105)</f>
        <v>2.9610000000110679</v>
      </c>
      <c r="I106" s="300">
        <f t="shared" ref="I106" si="250">SUM(I104:I105)</f>
        <v>4.9730000000103773</v>
      </c>
      <c r="J106" s="300">
        <f t="shared" si="243"/>
        <v>48.950999999750827</v>
      </c>
      <c r="K106" s="300"/>
      <c r="L106" s="300">
        <f>SUM(L104:L105)</f>
        <v>43.591999999779297</v>
      </c>
      <c r="M106" s="300">
        <f t="shared" ref="M106" si="251">SUM(M104:M105)</f>
        <v>2.4430000000067422</v>
      </c>
      <c r="N106" s="300">
        <f t="shared" ref="N106" si="252">SUM(N104:N105)</f>
        <v>4.9730000000371737</v>
      </c>
      <c r="O106" s="300">
        <f t="shared" si="244"/>
        <v>51.007999999823213</v>
      </c>
      <c r="P106" s="300"/>
      <c r="Q106" s="300">
        <f>SUM(Q104:Q105)</f>
        <v>46.057000000050827</v>
      </c>
      <c r="R106" s="300">
        <f t="shared" ref="R106" si="253">SUM(R104:R105)</f>
        <v>2.7930000000187691</v>
      </c>
      <c r="S106" s="300">
        <f t="shared" ref="S106" si="254">SUM(S104:S105)</f>
        <v>5.5500000001204564</v>
      </c>
      <c r="T106" s="300">
        <f t="shared" si="245"/>
        <v>54.400000000190055</v>
      </c>
      <c r="U106" s="300"/>
      <c r="V106" s="300">
        <f>SUM(V104:V105)</f>
        <v>43.26799999997283</v>
      </c>
      <c r="W106" s="300">
        <f t="shared" ref="W106" si="255">SUM(W104:W105)</f>
        <v>3.0329999999960453</v>
      </c>
      <c r="X106" s="300">
        <f t="shared" ref="X106" si="256">SUM(X104:X105)</f>
        <v>5.785000000083679</v>
      </c>
      <c r="Y106" s="300">
        <f t="shared" si="246"/>
        <v>52.08600000005255</v>
      </c>
    </row>
    <row r="107" spans="1:25" ht="12.45" x14ac:dyDescent="0.3">
      <c r="C107" s="319"/>
      <c r="D107" s="319"/>
      <c r="E107" s="319"/>
      <c r="F107" s="319"/>
      <c r="G107" s="319"/>
      <c r="H107" s="319"/>
      <c r="I107" s="319"/>
      <c r="J107" s="319"/>
      <c r="K107" s="319"/>
      <c r="L107" s="319"/>
      <c r="M107" s="319"/>
      <c r="N107" s="319"/>
      <c r="O107" s="319"/>
      <c r="P107" s="319"/>
      <c r="Q107" s="319"/>
      <c r="R107" s="319"/>
      <c r="S107" s="319"/>
      <c r="T107" s="319"/>
      <c r="U107" s="319"/>
      <c r="V107" s="319"/>
      <c r="W107" s="319"/>
      <c r="X107" s="319"/>
      <c r="Y107" s="319"/>
    </row>
    <row r="108" spans="1:25" ht="12.45" x14ac:dyDescent="0.3">
      <c r="A108" s="261" t="str">
        <f>name!A15</f>
        <v>Rubber and plastic</v>
      </c>
      <c r="C108" s="263"/>
    </row>
    <row r="109" spans="1:25" ht="12.45" x14ac:dyDescent="0.3">
      <c r="A109" s="260" t="s">
        <v>356</v>
      </c>
      <c r="B109" s="300">
        <v>25.79499999983517</v>
      </c>
      <c r="C109" s="300">
        <v>7.6690000001580483</v>
      </c>
      <c r="D109" s="300">
        <v>3.3740000000748238</v>
      </c>
      <c r="E109" s="300">
        <f>SUM(B109:D109)</f>
        <v>36.838000000068043</v>
      </c>
      <c r="F109" s="300"/>
      <c r="G109" s="300">
        <v>26.238999999562072</v>
      </c>
      <c r="H109" s="300">
        <v>8.7330000000486407</v>
      </c>
      <c r="I109" s="300">
        <v>0.42400000000822236</v>
      </c>
      <c r="J109" s="300">
        <f>SUM(G109:I109)</f>
        <v>35.395999999618937</v>
      </c>
      <c r="K109" s="300"/>
      <c r="L109" s="300">
        <v>29.03199999967477</v>
      </c>
      <c r="M109" s="300">
        <v>10.070000000087724</v>
      </c>
      <c r="N109" s="300">
        <v>2.0999999999840071</v>
      </c>
      <c r="O109" s="300">
        <f>SUM(L109:N109)</f>
        <v>41.201999999746505</v>
      </c>
      <c r="P109" s="300"/>
      <c r="Q109" s="300">
        <v>28.132000000704124</v>
      </c>
      <c r="R109" s="300">
        <v>10.134000000127134</v>
      </c>
      <c r="S109" s="300">
        <v>2.0530000000078501</v>
      </c>
      <c r="T109" s="300">
        <f>SUM(Q109:S109)</f>
        <v>40.319000000839104</v>
      </c>
      <c r="U109" s="300"/>
      <c r="V109" s="300">
        <v>24.216999999942693</v>
      </c>
      <c r="W109" s="300">
        <v>9.4749999998852843</v>
      </c>
      <c r="X109" s="300">
        <v>1.7690000000196655</v>
      </c>
      <c r="Y109" s="300">
        <f>SUM(V109:X109)</f>
        <v>35.460999999847644</v>
      </c>
    </row>
    <row r="110" spans="1:25" ht="12.45" x14ac:dyDescent="0.3">
      <c r="A110" s="260" t="s">
        <v>355</v>
      </c>
      <c r="B110" s="300">
        <v>129.9829999999701</v>
      </c>
      <c r="C110" s="300">
        <v>2.9090000000452636</v>
      </c>
      <c r="D110" s="300">
        <v>11.418999999955771</v>
      </c>
      <c r="E110" s="300">
        <f t="shared" ref="E110:E111" si="257">SUM(B110:D110)</f>
        <v>144.31099999997113</v>
      </c>
      <c r="F110" s="300"/>
      <c r="G110" s="300">
        <v>128.95499999996932</v>
      </c>
      <c r="H110" s="300">
        <v>3.5090000000283292</v>
      </c>
      <c r="I110" s="300">
        <v>8.6979999999864663</v>
      </c>
      <c r="J110" s="300">
        <f t="shared" ref="J110:J111" si="258">SUM(G110:I110)</f>
        <v>141.16199999998412</v>
      </c>
      <c r="K110" s="300"/>
      <c r="L110" s="300">
        <v>132.15399999989543</v>
      </c>
      <c r="M110" s="300">
        <v>5.8780000000001005</v>
      </c>
      <c r="N110" s="300">
        <v>6.944999999993593</v>
      </c>
      <c r="O110" s="300">
        <f t="shared" ref="O110:O111" si="259">SUM(L110:N110)</f>
        <v>144.97699999988913</v>
      </c>
      <c r="P110" s="300"/>
      <c r="Q110" s="300">
        <v>129.82400000031998</v>
      </c>
      <c r="R110" s="300">
        <v>5.9240000000203281</v>
      </c>
      <c r="S110" s="300">
        <v>6.9109999999881513</v>
      </c>
      <c r="T110" s="300">
        <f t="shared" ref="T110:T111" si="260">SUM(Q110:S110)</f>
        <v>142.65900000032846</v>
      </c>
      <c r="U110" s="300"/>
      <c r="V110" s="300">
        <v>115.40900000033339</v>
      </c>
      <c r="W110" s="300">
        <v>5.4880000000291487</v>
      </c>
      <c r="X110" s="300">
        <v>6.4380000000130577</v>
      </c>
      <c r="Y110" s="300">
        <f t="shared" ref="Y110:Y111" si="261">SUM(V110:X110)</f>
        <v>127.3350000003756</v>
      </c>
    </row>
    <row r="111" spans="1:25" ht="12.45" x14ac:dyDescent="0.3">
      <c r="A111" s="260" t="s">
        <v>354</v>
      </c>
      <c r="B111" s="300">
        <f>SUM(B109:B110)</f>
        <v>155.77799999980527</v>
      </c>
      <c r="C111" s="300">
        <f t="shared" ref="C111" si="262">SUM(C109:C110)</f>
        <v>10.578000000203312</v>
      </c>
      <c r="D111" s="300">
        <f t="shared" ref="D111" si="263">SUM(D109:D110)</f>
        <v>14.793000000030595</v>
      </c>
      <c r="E111" s="300">
        <f t="shared" si="257"/>
        <v>181.14900000003917</v>
      </c>
      <c r="F111" s="300"/>
      <c r="G111" s="300">
        <f>SUM(G109:G110)</f>
        <v>155.1939999995314</v>
      </c>
      <c r="H111" s="300">
        <f t="shared" ref="H111" si="264">SUM(H109:H110)</f>
        <v>12.24200000007697</v>
      </c>
      <c r="I111" s="300">
        <f t="shared" ref="I111" si="265">SUM(I109:I110)</f>
        <v>9.1219999999946886</v>
      </c>
      <c r="J111" s="300">
        <f t="shared" si="258"/>
        <v>176.55799999960308</v>
      </c>
      <c r="K111" s="300"/>
      <c r="L111" s="300">
        <f>SUM(L109:L110)</f>
        <v>161.18599999957021</v>
      </c>
      <c r="M111" s="300">
        <f t="shared" ref="M111" si="266">SUM(M109:M110)</f>
        <v>15.948000000087823</v>
      </c>
      <c r="N111" s="300">
        <f t="shared" ref="N111" si="267">SUM(N109:N110)</f>
        <v>9.0449999999776001</v>
      </c>
      <c r="O111" s="300">
        <f t="shared" si="259"/>
        <v>186.17899999963564</v>
      </c>
      <c r="P111" s="300"/>
      <c r="Q111" s="300">
        <f>SUM(Q109:Q110)</f>
        <v>157.95600000102411</v>
      </c>
      <c r="R111" s="300">
        <f t="shared" ref="R111" si="268">SUM(R109:R110)</f>
        <v>16.058000000147462</v>
      </c>
      <c r="S111" s="300">
        <f t="shared" ref="S111" si="269">SUM(S109:S110)</f>
        <v>8.9639999999960018</v>
      </c>
      <c r="T111" s="300">
        <f t="shared" si="260"/>
        <v>182.97800000116757</v>
      </c>
      <c r="U111" s="300"/>
      <c r="V111" s="300">
        <f>SUM(V109:V110)</f>
        <v>139.62600000027609</v>
      </c>
      <c r="W111" s="300">
        <f t="shared" ref="W111" si="270">SUM(W109:W110)</f>
        <v>14.962999999914434</v>
      </c>
      <c r="X111" s="300">
        <f t="shared" ref="X111" si="271">SUM(X109:X110)</f>
        <v>8.207000000032723</v>
      </c>
      <c r="Y111" s="300">
        <f t="shared" si="261"/>
        <v>162.79600000022327</v>
      </c>
    </row>
    <row r="112" spans="1:25" ht="12.45" x14ac:dyDescent="0.3">
      <c r="C112" s="319"/>
      <c r="D112" s="319"/>
      <c r="E112" s="319"/>
      <c r="F112" s="319"/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</row>
    <row r="113" spans="1:25" ht="12.45" x14ac:dyDescent="0.3">
      <c r="A113" s="261" t="str">
        <f>name!A16</f>
        <v>Other non-metallic</v>
      </c>
      <c r="C113" s="263"/>
    </row>
    <row r="114" spans="1:25" ht="12.45" x14ac:dyDescent="0.3">
      <c r="A114" s="260" t="s">
        <v>356</v>
      </c>
      <c r="B114" s="300">
        <v>11.316999999898959</v>
      </c>
      <c r="C114" s="300">
        <v>3.3650000000970772</v>
      </c>
      <c r="D114" s="300">
        <v>1.3390000000253925</v>
      </c>
      <c r="E114" s="300">
        <f>SUM(B114:D114)</f>
        <v>16.021000000021431</v>
      </c>
      <c r="F114" s="300"/>
      <c r="G114" s="300">
        <v>12.740999999838211</v>
      </c>
      <c r="H114" s="300">
        <v>3.2630000000669068</v>
      </c>
      <c r="I114" s="300">
        <v>2.977000000055126</v>
      </c>
      <c r="J114" s="300">
        <f>SUM(G114:I114)</f>
        <v>18.980999999960247</v>
      </c>
      <c r="K114" s="300"/>
      <c r="L114" s="300">
        <v>14.001999999880171</v>
      </c>
      <c r="M114" s="300">
        <v>3.9420000000851116</v>
      </c>
      <c r="N114" s="300">
        <v>0.88399999998461376</v>
      </c>
      <c r="O114" s="300">
        <f>SUM(L114:N114)</f>
        <v>18.827999999949895</v>
      </c>
      <c r="P114" s="300"/>
      <c r="Q114" s="300">
        <v>13.479000000356688</v>
      </c>
      <c r="R114" s="300">
        <v>3.936000000126965</v>
      </c>
      <c r="S114" s="300">
        <v>0.8679999999987843</v>
      </c>
      <c r="T114" s="300">
        <f>SUM(Q114:S114)</f>
        <v>18.283000000482435</v>
      </c>
      <c r="U114" s="300"/>
      <c r="V114" s="300">
        <v>11.511999999994392</v>
      </c>
      <c r="W114" s="300">
        <v>3.6579999999726724</v>
      </c>
      <c r="X114" s="300">
        <v>0.74800000000736933</v>
      </c>
      <c r="Y114" s="300">
        <f>SUM(V114:X114)</f>
        <v>15.917999999974434</v>
      </c>
    </row>
    <row r="115" spans="1:25" ht="12.45" x14ac:dyDescent="0.3">
      <c r="A115" s="260" t="s">
        <v>355</v>
      </c>
      <c r="B115" s="300">
        <v>62.744999999915933</v>
      </c>
      <c r="C115" s="300">
        <v>1.1039999999979784</v>
      </c>
      <c r="D115" s="300">
        <v>5.8659999999524723</v>
      </c>
      <c r="E115" s="300">
        <f t="shared" ref="E115:E116" si="272">SUM(B115:D115)</f>
        <v>69.714999999866393</v>
      </c>
      <c r="F115" s="300"/>
      <c r="G115" s="300">
        <v>67.953999999967763</v>
      </c>
      <c r="H115" s="300">
        <v>1.4920000000001916</v>
      </c>
      <c r="I115" s="300">
        <v>4.8030000000336015</v>
      </c>
      <c r="J115" s="300">
        <f t="shared" ref="J115:J116" si="273">SUM(G115:I115)</f>
        <v>74.249000000001558</v>
      </c>
      <c r="K115" s="300"/>
      <c r="L115" s="300">
        <v>70.010999999967495</v>
      </c>
      <c r="M115" s="300">
        <v>3.1290000000013274</v>
      </c>
      <c r="N115" s="300">
        <v>2.0029999999795485</v>
      </c>
      <c r="O115" s="300">
        <f t="shared" ref="O115:O116" si="274">SUM(L115:N115)</f>
        <v>75.142999999948373</v>
      </c>
      <c r="P115" s="300"/>
      <c r="Q115" s="300">
        <v>68.557000000081004</v>
      </c>
      <c r="R115" s="300">
        <v>3.1040000000062222</v>
      </c>
      <c r="S115" s="300">
        <v>2.2659999999416747</v>
      </c>
      <c r="T115" s="300">
        <f t="shared" ref="T115:T116" si="275">SUM(Q115:S115)</f>
        <v>73.927000000028897</v>
      </c>
      <c r="U115" s="300"/>
      <c r="V115" s="300">
        <v>60.727000000113215</v>
      </c>
      <c r="W115" s="300">
        <v>2.8370000000028321</v>
      </c>
      <c r="X115" s="300">
        <v>2.3869999999596887</v>
      </c>
      <c r="Y115" s="300">
        <f t="shared" ref="Y115:Y116" si="276">SUM(V115:X115)</f>
        <v>65.951000000075737</v>
      </c>
    </row>
    <row r="116" spans="1:25" ht="12.45" x14ac:dyDescent="0.3">
      <c r="A116" s="260" t="s">
        <v>354</v>
      </c>
      <c r="B116" s="300">
        <f>SUM(B114:B115)</f>
        <v>74.061999999814887</v>
      </c>
      <c r="C116" s="300">
        <f t="shared" ref="C116" si="277">SUM(C114:C115)</f>
        <v>4.4690000000950558</v>
      </c>
      <c r="D116" s="300">
        <f t="shared" ref="D116" si="278">SUM(D114:D115)</f>
        <v>7.2049999999778649</v>
      </c>
      <c r="E116" s="300">
        <f t="shared" si="272"/>
        <v>85.73599999988781</v>
      </c>
      <c r="F116" s="300"/>
      <c r="G116" s="300">
        <f>SUM(G114:G115)</f>
        <v>80.694999999805972</v>
      </c>
      <c r="H116" s="300">
        <f t="shared" ref="H116" si="279">SUM(H114:H115)</f>
        <v>4.7550000000670982</v>
      </c>
      <c r="I116" s="300">
        <f t="shared" ref="I116" si="280">SUM(I114:I115)</f>
        <v>7.7800000000887275</v>
      </c>
      <c r="J116" s="300">
        <f t="shared" si="273"/>
        <v>93.229999999961805</v>
      </c>
      <c r="K116" s="300"/>
      <c r="L116" s="300">
        <f>SUM(L114:L115)</f>
        <v>84.012999999847665</v>
      </c>
      <c r="M116" s="300">
        <f t="shared" ref="M116" si="281">SUM(M114:M115)</f>
        <v>7.071000000086439</v>
      </c>
      <c r="N116" s="300">
        <f t="shared" ref="N116" si="282">SUM(N114:N115)</f>
        <v>2.8869999999641625</v>
      </c>
      <c r="O116" s="300">
        <f t="shared" si="274"/>
        <v>93.970999999898268</v>
      </c>
      <c r="P116" s="300"/>
      <c r="Q116" s="300">
        <f>SUM(Q114:Q115)</f>
        <v>82.036000000437696</v>
      </c>
      <c r="R116" s="300">
        <f t="shared" ref="R116" si="283">SUM(R114:R115)</f>
        <v>7.0400000001331868</v>
      </c>
      <c r="S116" s="300">
        <f t="shared" ref="S116" si="284">SUM(S114:S115)</f>
        <v>3.1339999999404591</v>
      </c>
      <c r="T116" s="300">
        <f t="shared" si="275"/>
        <v>92.210000000511343</v>
      </c>
      <c r="U116" s="300"/>
      <c r="V116" s="300">
        <f>SUM(V114:V115)</f>
        <v>72.239000000107609</v>
      </c>
      <c r="W116" s="300">
        <f t="shared" ref="W116" si="285">SUM(W114:W115)</f>
        <v>6.494999999975505</v>
      </c>
      <c r="X116" s="300">
        <f t="shared" ref="X116" si="286">SUM(X114:X115)</f>
        <v>3.1349999999670581</v>
      </c>
      <c r="Y116" s="300">
        <f t="shared" si="276"/>
        <v>81.869000000050178</v>
      </c>
    </row>
    <row r="117" spans="1:25" ht="12.45" x14ac:dyDescent="0.3">
      <c r="C117" s="319"/>
      <c r="D117" s="319"/>
      <c r="E117" s="319"/>
      <c r="F117" s="319"/>
      <c r="G117" s="319"/>
      <c r="H117" s="319"/>
      <c r="I117" s="319"/>
      <c r="J117" s="319"/>
      <c r="K117" s="319"/>
      <c r="L117" s="319"/>
      <c r="M117" s="319"/>
      <c r="N117" s="319"/>
      <c r="O117" s="319"/>
      <c r="P117" s="319"/>
      <c r="Q117" s="319"/>
      <c r="R117" s="319"/>
      <c r="S117" s="319"/>
      <c r="T117" s="319"/>
      <c r="U117" s="319"/>
      <c r="V117" s="319"/>
      <c r="W117" s="319"/>
      <c r="X117" s="319"/>
      <c r="Y117" s="319"/>
    </row>
    <row r="118" spans="1:25" ht="12.45" x14ac:dyDescent="0.3">
      <c r="A118" s="261" t="str">
        <f>name!A17</f>
        <v>Basic metals</v>
      </c>
      <c r="C118" s="263"/>
    </row>
    <row r="119" spans="1:25" ht="12.45" x14ac:dyDescent="0.3">
      <c r="A119" s="260" t="s">
        <v>356</v>
      </c>
      <c r="B119" s="300">
        <v>4.9379999999670616</v>
      </c>
      <c r="C119" s="300">
        <v>1.3100000000223728</v>
      </c>
      <c r="D119" s="300">
        <v>0.13799999999822177</v>
      </c>
      <c r="E119" s="300">
        <f>SUM(B119:D119)</f>
        <v>6.3859999999876562</v>
      </c>
      <c r="F119" s="300"/>
      <c r="G119" s="300">
        <v>4.9229999999508651</v>
      </c>
      <c r="H119" s="300">
        <v>1.2160000000102205</v>
      </c>
      <c r="I119" s="300">
        <v>0.4990000000030087</v>
      </c>
      <c r="J119" s="300">
        <f>SUM(G119:I119)</f>
        <v>6.6379999999640944</v>
      </c>
      <c r="K119" s="300"/>
      <c r="L119" s="300">
        <v>4.6489999999602443</v>
      </c>
      <c r="M119" s="300">
        <v>1.2180000000084745</v>
      </c>
      <c r="N119" s="300">
        <v>0.2769999999987961</v>
      </c>
      <c r="O119" s="300">
        <f>SUM(L119:N119)</f>
        <v>6.143999999967515</v>
      </c>
      <c r="P119" s="300"/>
      <c r="Q119" s="300">
        <v>4.7030000000944012</v>
      </c>
      <c r="R119" s="300">
        <v>1.2030000000178536</v>
      </c>
      <c r="S119" s="300">
        <v>0.277999999999688</v>
      </c>
      <c r="T119" s="300">
        <f>SUM(Q119:S119)</f>
        <v>6.1840000001119426</v>
      </c>
      <c r="U119" s="300"/>
      <c r="V119" s="300">
        <v>4.4060000000056361</v>
      </c>
      <c r="W119" s="300">
        <v>1.0809999999908155</v>
      </c>
      <c r="X119" s="300">
        <v>0.26100000000272094</v>
      </c>
      <c r="Y119" s="300">
        <f>SUM(V119:X119)</f>
        <v>5.7479999999991724</v>
      </c>
    </row>
    <row r="120" spans="1:25" ht="12.45" x14ac:dyDescent="0.3">
      <c r="A120" s="260" t="s">
        <v>355</v>
      </c>
      <c r="B120" s="300">
        <v>57.019999999969727</v>
      </c>
      <c r="C120" s="300">
        <v>1.4470000000114833</v>
      </c>
      <c r="D120" s="300">
        <v>2.4309999999962009</v>
      </c>
      <c r="E120" s="300">
        <f t="shared" ref="E120:E121" si="287">SUM(B120:D120)</f>
        <v>60.897999999977415</v>
      </c>
      <c r="F120" s="300"/>
      <c r="G120" s="300">
        <v>60.745999999943152</v>
      </c>
      <c r="H120" s="300">
        <v>1.5030000000065888</v>
      </c>
      <c r="I120" s="300">
        <v>3.4359999999980255</v>
      </c>
      <c r="J120" s="300">
        <f t="shared" ref="J120:J121" si="288">SUM(G120:I120)</f>
        <v>65.684999999947763</v>
      </c>
      <c r="K120" s="300"/>
      <c r="L120" s="300">
        <v>52.724999999994324</v>
      </c>
      <c r="M120" s="300">
        <v>1.8269999999995949</v>
      </c>
      <c r="N120" s="300">
        <v>0.99499999999959454</v>
      </c>
      <c r="O120" s="300">
        <f t="shared" ref="O120:O121" si="289">SUM(L120:N120)</f>
        <v>55.54699999999351</v>
      </c>
      <c r="P120" s="300"/>
      <c r="Q120" s="300">
        <v>51.520000000119857</v>
      </c>
      <c r="R120" s="300">
        <v>1.76699999999934</v>
      </c>
      <c r="S120" s="300">
        <v>1.0270000000012438</v>
      </c>
      <c r="T120" s="300">
        <f t="shared" ref="T120:T121" si="290">SUM(Q120:S120)</f>
        <v>54.314000000120444</v>
      </c>
      <c r="U120" s="300"/>
      <c r="V120" s="300">
        <v>44.930000000148155</v>
      </c>
      <c r="W120" s="300">
        <v>1.518999999999058</v>
      </c>
      <c r="X120" s="300">
        <v>0.98400000000019239</v>
      </c>
      <c r="Y120" s="300">
        <f t="shared" ref="Y120:Y121" si="291">SUM(V120:X120)</f>
        <v>47.433000000147409</v>
      </c>
    </row>
    <row r="121" spans="1:25" ht="12.45" x14ac:dyDescent="0.3">
      <c r="A121" s="260" t="s">
        <v>354</v>
      </c>
      <c r="B121" s="300">
        <f>SUM(B119:B120)</f>
        <v>61.957999999936789</v>
      </c>
      <c r="C121" s="300">
        <f t="shared" ref="C121" si="292">SUM(C119:C120)</f>
        <v>2.7570000000338561</v>
      </c>
      <c r="D121" s="300">
        <f t="shared" ref="D121" si="293">SUM(D119:D120)</f>
        <v>2.5689999999944226</v>
      </c>
      <c r="E121" s="300">
        <f t="shared" si="287"/>
        <v>67.283999999965062</v>
      </c>
      <c r="F121" s="300"/>
      <c r="G121" s="300">
        <f>SUM(G119:G120)</f>
        <v>65.668999999894012</v>
      </c>
      <c r="H121" s="300">
        <f t="shared" ref="H121" si="294">SUM(H119:H120)</f>
        <v>2.7190000000168091</v>
      </c>
      <c r="I121" s="300">
        <f t="shared" ref="I121" si="295">SUM(I119:I120)</f>
        <v>3.9350000000010343</v>
      </c>
      <c r="J121" s="300">
        <f t="shared" si="288"/>
        <v>72.322999999911858</v>
      </c>
      <c r="K121" s="300"/>
      <c r="L121" s="300">
        <f>SUM(L119:L120)</f>
        <v>57.37399999995457</v>
      </c>
      <c r="M121" s="300">
        <f t="shared" ref="M121" si="296">SUM(M119:M120)</f>
        <v>3.0450000000080695</v>
      </c>
      <c r="N121" s="300">
        <f t="shared" ref="N121" si="297">SUM(N119:N120)</f>
        <v>1.2719999999983906</v>
      </c>
      <c r="O121" s="300">
        <f t="shared" si="289"/>
        <v>61.690999999961029</v>
      </c>
      <c r="P121" s="300"/>
      <c r="Q121" s="300">
        <f>SUM(Q119:Q120)</f>
        <v>56.223000000214256</v>
      </c>
      <c r="R121" s="300">
        <f t="shared" ref="R121" si="298">SUM(R119:R120)</f>
        <v>2.9700000000171936</v>
      </c>
      <c r="S121" s="300">
        <f t="shared" ref="S121" si="299">SUM(S119:S120)</f>
        <v>1.3050000000009319</v>
      </c>
      <c r="T121" s="300">
        <f t="shared" si="290"/>
        <v>60.498000000232381</v>
      </c>
      <c r="U121" s="300"/>
      <c r="V121" s="300">
        <f>SUM(V119:V120)</f>
        <v>49.336000000153788</v>
      </c>
      <c r="W121" s="300">
        <f t="shared" ref="W121" si="300">SUM(W119:W120)</f>
        <v>2.5999999999898735</v>
      </c>
      <c r="X121" s="300">
        <f t="shared" ref="X121" si="301">SUM(X119:X120)</f>
        <v>1.2450000000029133</v>
      </c>
      <c r="Y121" s="300">
        <f t="shared" si="291"/>
        <v>53.181000000146575</v>
      </c>
    </row>
    <row r="122" spans="1:25" ht="12.45" x14ac:dyDescent="0.3">
      <c r="C122" s="319"/>
      <c r="D122" s="319"/>
      <c r="E122" s="319"/>
      <c r="F122" s="319"/>
      <c r="G122" s="319"/>
      <c r="H122" s="319"/>
      <c r="I122" s="319"/>
      <c r="J122" s="319"/>
      <c r="K122" s="319"/>
      <c r="L122" s="319"/>
      <c r="M122" s="319"/>
      <c r="N122" s="319"/>
      <c r="O122" s="319"/>
      <c r="P122" s="319"/>
      <c r="Q122" s="319"/>
      <c r="R122" s="319"/>
      <c r="S122" s="319"/>
      <c r="T122" s="319"/>
      <c r="U122" s="319"/>
      <c r="V122" s="319"/>
      <c r="W122" s="319"/>
      <c r="X122" s="319"/>
      <c r="Y122" s="319"/>
    </row>
    <row r="123" spans="1:25" ht="12.45" x14ac:dyDescent="0.3">
      <c r="A123" s="261" t="str">
        <f>name!A18</f>
        <v>Metal products</v>
      </c>
      <c r="C123" s="263"/>
    </row>
    <row r="124" spans="1:25" ht="12.45" x14ac:dyDescent="0.3">
      <c r="A124" s="260" t="s">
        <v>356</v>
      </c>
      <c r="B124" s="300">
        <v>34.939999999748487</v>
      </c>
      <c r="C124" s="300">
        <v>14.634000000211163</v>
      </c>
      <c r="D124" s="300">
        <v>1.1630000000163874</v>
      </c>
      <c r="E124" s="300">
        <f>SUM(B124:D124)</f>
        <v>50.736999999976042</v>
      </c>
      <c r="F124" s="300"/>
      <c r="G124" s="300">
        <v>31.962999999467954</v>
      </c>
      <c r="H124" s="300">
        <v>13.734000000131209</v>
      </c>
      <c r="I124" s="300">
        <v>4.1640000000313728</v>
      </c>
      <c r="J124" s="300">
        <f>SUM(G124:I124)</f>
        <v>49.860999999630536</v>
      </c>
      <c r="K124" s="300"/>
      <c r="L124" s="300">
        <v>30.055999999656333</v>
      </c>
      <c r="M124" s="300">
        <v>14.117000000156086</v>
      </c>
      <c r="N124" s="300">
        <v>2.1409999999728107</v>
      </c>
      <c r="O124" s="300">
        <f>SUM(L124:N124)</f>
        <v>46.313999999785231</v>
      </c>
      <c r="P124" s="300"/>
      <c r="Q124" s="300">
        <v>30.413000000809518</v>
      </c>
      <c r="R124" s="300">
        <v>13.934000000224913</v>
      </c>
      <c r="S124" s="300">
        <v>2.1669999999907894</v>
      </c>
      <c r="T124" s="300">
        <f>SUM(Q124:S124)</f>
        <v>46.514000001025224</v>
      </c>
      <c r="U124" s="300"/>
      <c r="V124" s="300">
        <v>28.505000000054512</v>
      </c>
      <c r="W124" s="300">
        <v>12.497999999901864</v>
      </c>
      <c r="X124" s="300">
        <v>2.0290000000054733</v>
      </c>
      <c r="Y124" s="300">
        <f>SUM(V124:X124)</f>
        <v>43.031999999961847</v>
      </c>
    </row>
    <row r="125" spans="1:25" ht="12.45" x14ac:dyDescent="0.3">
      <c r="A125" s="260" t="s">
        <v>355</v>
      </c>
      <c r="B125" s="300">
        <v>259.97399999961181</v>
      </c>
      <c r="C125" s="300">
        <v>9.5530000000651967</v>
      </c>
      <c r="D125" s="300">
        <v>12.26899999997368</v>
      </c>
      <c r="E125" s="300">
        <f t="shared" ref="E125:E126" si="302">SUM(B125:D125)</f>
        <v>281.79599999965069</v>
      </c>
      <c r="F125" s="300"/>
      <c r="G125" s="300">
        <v>245.28599999962802</v>
      </c>
      <c r="H125" s="300">
        <v>9.4590000000264247</v>
      </c>
      <c r="I125" s="300">
        <v>14.769000000197575</v>
      </c>
      <c r="J125" s="300">
        <f t="shared" ref="J125:J126" si="303">SUM(G125:I125)</f>
        <v>269.51399999985205</v>
      </c>
      <c r="K125" s="300"/>
      <c r="L125" s="300">
        <v>214.54299999954014</v>
      </c>
      <c r="M125" s="300">
        <v>11.130000000003502</v>
      </c>
      <c r="N125" s="300">
        <v>9.5119999999441696</v>
      </c>
      <c r="O125" s="300">
        <f t="shared" ref="O125:O126" si="304">SUM(L125:N125)</f>
        <v>235.18499999948781</v>
      </c>
      <c r="P125" s="300"/>
      <c r="Q125" s="300">
        <v>208.3470000003569</v>
      </c>
      <c r="R125" s="300">
        <v>10.747999999994876</v>
      </c>
      <c r="S125" s="300">
        <v>8.8439999998258312</v>
      </c>
      <c r="T125" s="300">
        <f t="shared" ref="T125:T126" si="305">SUM(Q125:S125)</f>
        <v>227.9390000001776</v>
      </c>
      <c r="U125" s="300"/>
      <c r="V125" s="300">
        <v>181.64200000039801</v>
      </c>
      <c r="W125" s="300">
        <v>9.2420000000144924</v>
      </c>
      <c r="X125" s="300">
        <v>7.0379999999283527</v>
      </c>
      <c r="Y125" s="300">
        <f t="shared" ref="Y125:Y126" si="306">SUM(V125:X125)</f>
        <v>197.92200000034086</v>
      </c>
    </row>
    <row r="126" spans="1:25" ht="12.45" x14ac:dyDescent="0.3">
      <c r="A126" s="260" t="s">
        <v>354</v>
      </c>
      <c r="B126" s="300">
        <f>SUM(B124:B125)</f>
        <v>294.91399999936027</v>
      </c>
      <c r="C126" s="300">
        <f t="shared" ref="C126" si="307">SUM(C124:C125)</f>
        <v>24.18700000027636</v>
      </c>
      <c r="D126" s="300">
        <f t="shared" ref="D126" si="308">SUM(D124:D125)</f>
        <v>13.431999999990067</v>
      </c>
      <c r="E126" s="300">
        <f t="shared" si="302"/>
        <v>332.53299999962672</v>
      </c>
      <c r="F126" s="300"/>
      <c r="G126" s="300">
        <f>SUM(G124:G125)</f>
        <v>277.24899999909599</v>
      </c>
      <c r="H126" s="300">
        <f t="shared" ref="H126" si="309">SUM(H124:H125)</f>
        <v>23.193000000157632</v>
      </c>
      <c r="I126" s="300">
        <f t="shared" ref="I126" si="310">SUM(I124:I125)</f>
        <v>18.933000000228947</v>
      </c>
      <c r="J126" s="300">
        <f t="shared" si="303"/>
        <v>319.37499999948255</v>
      </c>
      <c r="K126" s="300"/>
      <c r="L126" s="300">
        <f>SUM(L124:L125)</f>
        <v>244.59899999919648</v>
      </c>
      <c r="M126" s="300">
        <f t="shared" ref="M126" si="311">SUM(M124:M125)</f>
        <v>25.247000000159588</v>
      </c>
      <c r="N126" s="300">
        <f t="shared" ref="N126" si="312">SUM(N124:N125)</f>
        <v>11.652999999916981</v>
      </c>
      <c r="O126" s="300">
        <f t="shared" si="304"/>
        <v>281.49899999927305</v>
      </c>
      <c r="P126" s="300"/>
      <c r="Q126" s="300">
        <f>SUM(Q124:Q125)</f>
        <v>238.76000000116642</v>
      </c>
      <c r="R126" s="300">
        <f t="shared" ref="R126" si="313">SUM(R124:R125)</f>
        <v>24.682000000219787</v>
      </c>
      <c r="S126" s="300">
        <f t="shared" ref="S126" si="314">SUM(S124:S125)</f>
        <v>11.010999999816621</v>
      </c>
      <c r="T126" s="300">
        <f t="shared" si="305"/>
        <v>274.45300000120284</v>
      </c>
      <c r="U126" s="300"/>
      <c r="V126" s="300">
        <f>SUM(V124:V125)</f>
        <v>210.14700000045252</v>
      </c>
      <c r="W126" s="300">
        <f t="shared" ref="W126" si="315">SUM(W124:W125)</f>
        <v>21.739999999916357</v>
      </c>
      <c r="X126" s="300">
        <f t="shared" ref="X126" si="316">SUM(X124:X125)</f>
        <v>9.0669999999338255</v>
      </c>
      <c r="Y126" s="300">
        <f t="shared" si="306"/>
        <v>240.9540000003027</v>
      </c>
    </row>
    <row r="127" spans="1:25" ht="12.45" x14ac:dyDescent="0.3">
      <c r="C127" s="319"/>
      <c r="D127" s="319"/>
      <c r="E127" s="319"/>
      <c r="F127" s="319"/>
      <c r="G127" s="319"/>
      <c r="H127" s="319"/>
      <c r="I127" s="319"/>
      <c r="J127" s="319"/>
      <c r="K127" s="319"/>
      <c r="L127" s="319"/>
      <c r="M127" s="319"/>
      <c r="N127" s="319"/>
      <c r="O127" s="319"/>
      <c r="P127" s="319"/>
      <c r="Q127" s="319"/>
      <c r="R127" s="319"/>
      <c r="S127" s="319"/>
      <c r="T127" s="319"/>
      <c r="U127" s="319"/>
      <c r="V127" s="319"/>
      <c r="W127" s="319"/>
      <c r="X127" s="319"/>
      <c r="Y127" s="319"/>
    </row>
    <row r="128" spans="1:25" ht="12.45" x14ac:dyDescent="0.3">
      <c r="A128" s="261" t="str">
        <f>name!A22</f>
        <v>Motor vehicles, etc</v>
      </c>
      <c r="C128" s="263"/>
    </row>
    <row r="129" spans="1:25" ht="12.45" x14ac:dyDescent="0.3">
      <c r="A129" s="260" t="s">
        <v>356</v>
      </c>
      <c r="B129" s="300">
        <v>15.992999999919913</v>
      </c>
      <c r="C129" s="300">
        <v>2.9990000000430941</v>
      </c>
      <c r="D129" s="300">
        <v>0.4060000000072353</v>
      </c>
      <c r="E129" s="300">
        <f>SUM(B129:D129)</f>
        <v>19.397999999970242</v>
      </c>
      <c r="F129" s="300"/>
      <c r="G129" s="300">
        <v>21.864999999658497</v>
      </c>
      <c r="H129" s="300">
        <v>3.1240000000392407</v>
      </c>
      <c r="I129" s="300">
        <v>0.39000000000514556</v>
      </c>
      <c r="J129" s="300">
        <f>SUM(G129:I129)</f>
        <v>25.378999999702884</v>
      </c>
      <c r="K129" s="300"/>
      <c r="L129" s="300">
        <v>18.013999999807986</v>
      </c>
      <c r="M129" s="300">
        <v>3.001000000045257</v>
      </c>
      <c r="N129" s="300">
        <v>0.38799999999363027</v>
      </c>
      <c r="O129" s="300">
        <f>SUM(L129:N129)</f>
        <v>21.402999999846873</v>
      </c>
      <c r="P129" s="300"/>
      <c r="Q129" s="300">
        <v>18.437000000462838</v>
      </c>
      <c r="R129" s="300">
        <v>2.8540000000246177</v>
      </c>
      <c r="S129" s="300">
        <v>0.38799999999830176</v>
      </c>
      <c r="T129" s="300">
        <f>SUM(Q129:S129)</f>
        <v>21.679000000485761</v>
      </c>
      <c r="U129" s="300"/>
      <c r="V129" s="300">
        <v>18.11499999999813</v>
      </c>
      <c r="W129" s="300">
        <v>2.4179999999803869</v>
      </c>
      <c r="X129" s="300">
        <v>0.36099999999979004</v>
      </c>
      <c r="Y129" s="300">
        <f>SUM(V129:X129)</f>
        <v>20.893999999978309</v>
      </c>
    </row>
    <row r="130" spans="1:25" ht="12.45" x14ac:dyDescent="0.3">
      <c r="A130" s="260" t="s">
        <v>355</v>
      </c>
      <c r="B130" s="300">
        <v>130.9449999998638</v>
      </c>
      <c r="C130" s="300">
        <v>0.99100000001395883</v>
      </c>
      <c r="D130" s="300">
        <v>3.5950000000247746</v>
      </c>
      <c r="E130" s="300">
        <f t="shared" ref="E130:E131" si="317">SUM(B130:D130)</f>
        <v>135.53099999990255</v>
      </c>
      <c r="F130" s="300"/>
      <c r="G130" s="300">
        <v>139.93499999959647</v>
      </c>
      <c r="H130" s="300">
        <v>2.0000000000093237</v>
      </c>
      <c r="I130" s="300">
        <v>2.5930000000227973</v>
      </c>
      <c r="J130" s="300">
        <f t="shared" ref="J130:J131" si="318">SUM(G130:I130)</f>
        <v>144.52799999962858</v>
      </c>
      <c r="K130" s="300"/>
      <c r="L130" s="300">
        <v>123.10099999958244</v>
      </c>
      <c r="M130" s="300">
        <v>3.0029999999895445</v>
      </c>
      <c r="N130" s="300">
        <v>2.5950000000033961</v>
      </c>
      <c r="O130" s="300">
        <f t="shared" ref="O130:O131" si="319">SUM(L130:N130)</f>
        <v>128.69899999957539</v>
      </c>
      <c r="P130" s="300"/>
      <c r="Q130" s="300">
        <v>121.62099999996168</v>
      </c>
      <c r="R130" s="300">
        <v>3.019999999978682</v>
      </c>
      <c r="S130" s="300">
        <v>2.5840000000035737</v>
      </c>
      <c r="T130" s="300">
        <f t="shared" ref="T130:T131" si="320">SUM(Q130:S130)</f>
        <v>127.22499999994393</v>
      </c>
      <c r="U130" s="300"/>
      <c r="V130" s="300">
        <v>111.66600000002644</v>
      </c>
      <c r="W130" s="300">
        <v>2.8719999999822865</v>
      </c>
      <c r="X130" s="300">
        <v>2.4120000000066493</v>
      </c>
      <c r="Y130" s="300">
        <f t="shared" ref="Y130:Y131" si="321">SUM(V130:X130)</f>
        <v>116.95000000001538</v>
      </c>
    </row>
    <row r="131" spans="1:25" ht="12.45" x14ac:dyDescent="0.3">
      <c r="A131" s="260" t="s">
        <v>354</v>
      </c>
      <c r="B131" s="300">
        <f>SUM(B129:B130)</f>
        <v>146.9379999997837</v>
      </c>
      <c r="C131" s="300">
        <f t="shared" ref="C131" si="322">SUM(C129:C130)</f>
        <v>3.9900000000570528</v>
      </c>
      <c r="D131" s="300">
        <f t="shared" ref="D131" si="323">SUM(D129:D130)</f>
        <v>4.0010000000320103</v>
      </c>
      <c r="E131" s="300">
        <f t="shared" si="317"/>
        <v>154.92899999987276</v>
      </c>
      <c r="F131" s="300"/>
      <c r="G131" s="300">
        <f>SUM(G129:G130)</f>
        <v>161.79999999925496</v>
      </c>
      <c r="H131" s="300">
        <f t="shared" ref="H131" si="324">SUM(H129:H130)</f>
        <v>5.1240000000485644</v>
      </c>
      <c r="I131" s="300">
        <f t="shared" ref="I131" si="325">SUM(I129:I130)</f>
        <v>2.9830000000279426</v>
      </c>
      <c r="J131" s="300">
        <f t="shared" si="318"/>
        <v>169.90699999933148</v>
      </c>
      <c r="K131" s="300"/>
      <c r="L131" s="300">
        <f>SUM(L129:L130)</f>
        <v>141.11499999939042</v>
      </c>
      <c r="M131" s="300">
        <f t="shared" ref="M131" si="326">SUM(M129:M130)</f>
        <v>6.0040000000348019</v>
      </c>
      <c r="N131" s="300">
        <f t="shared" ref="N131" si="327">SUM(N129:N130)</f>
        <v>2.9829999999970265</v>
      </c>
      <c r="O131" s="300">
        <f t="shared" si="319"/>
        <v>150.10199999942225</v>
      </c>
      <c r="P131" s="300"/>
      <c r="Q131" s="300">
        <f>SUM(Q129:Q130)</f>
        <v>140.05800000042453</v>
      </c>
      <c r="R131" s="300">
        <f t="shared" ref="R131" si="328">SUM(R129:R130)</f>
        <v>5.8740000000032992</v>
      </c>
      <c r="S131" s="300">
        <f t="shared" ref="S131" si="329">SUM(S129:S130)</f>
        <v>2.9720000000018754</v>
      </c>
      <c r="T131" s="300">
        <f t="shared" si="320"/>
        <v>148.9040000004297</v>
      </c>
      <c r="U131" s="300"/>
      <c r="V131" s="300">
        <f>SUM(V129:V130)</f>
        <v>129.78100000002456</v>
      </c>
      <c r="W131" s="300">
        <f t="shared" ref="W131" si="330">SUM(W129:W130)</f>
        <v>5.2899999999626734</v>
      </c>
      <c r="X131" s="300">
        <f t="shared" ref="X131" si="331">SUM(X129:X130)</f>
        <v>2.7730000000064394</v>
      </c>
      <c r="Y131" s="300">
        <f t="shared" si="321"/>
        <v>137.84399999999368</v>
      </c>
    </row>
    <row r="132" spans="1:25" ht="12.45" x14ac:dyDescent="0.3">
      <c r="C132" s="319"/>
      <c r="D132" s="319"/>
      <c r="E132" s="319"/>
      <c r="F132" s="319"/>
      <c r="G132" s="319"/>
      <c r="H132" s="319"/>
      <c r="I132" s="319"/>
      <c r="J132" s="319"/>
      <c r="K132" s="319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</row>
    <row r="133" spans="1:25" ht="12.45" x14ac:dyDescent="0.3">
      <c r="A133" s="261" t="str">
        <f>name!A23</f>
        <v>Other transport equipment</v>
      </c>
      <c r="C133" s="263"/>
    </row>
    <row r="134" spans="1:25" ht="12.45" x14ac:dyDescent="0.3">
      <c r="A134" s="260" t="s">
        <v>356</v>
      </c>
      <c r="B134" s="300">
        <v>13.75399999988664</v>
      </c>
      <c r="C134" s="300">
        <v>2.117000000023308</v>
      </c>
      <c r="D134" s="300">
        <v>0.40400000000351499</v>
      </c>
      <c r="E134" s="300">
        <f>SUM(B134:D134)</f>
        <v>16.274999999913462</v>
      </c>
      <c r="F134" s="300"/>
      <c r="G134" s="300">
        <v>15.993999999836914</v>
      </c>
      <c r="H134" s="300">
        <v>2.9990000000350316</v>
      </c>
      <c r="I134" s="300">
        <v>0.99600000000405253</v>
      </c>
      <c r="J134" s="300">
        <f>SUM(G134:I134)</f>
        <v>19.988999999875997</v>
      </c>
      <c r="K134" s="300"/>
      <c r="L134" s="300">
        <v>17.013999999852913</v>
      </c>
      <c r="M134" s="300">
        <v>3.002000000032627</v>
      </c>
      <c r="N134" s="300">
        <v>0.42199999999593607</v>
      </c>
      <c r="O134" s="300">
        <f>SUM(L134:N134)</f>
        <v>20.437999999881477</v>
      </c>
      <c r="P134" s="300"/>
      <c r="Q134" s="300">
        <v>15.327000000272749</v>
      </c>
      <c r="R134" s="300">
        <v>2.5870000000430817</v>
      </c>
      <c r="S134" s="300">
        <v>0.36299999999904942</v>
      </c>
      <c r="T134" s="300">
        <f>SUM(Q134:S134)</f>
        <v>18.277000000314882</v>
      </c>
      <c r="U134" s="300"/>
      <c r="V134" s="300">
        <v>16.773000000012249</v>
      </c>
      <c r="W134" s="300">
        <v>2.6049999999882165</v>
      </c>
      <c r="X134" s="300">
        <v>0.36700000001398775</v>
      </c>
      <c r="Y134" s="300">
        <f>SUM(V134:X134)</f>
        <v>19.745000000014453</v>
      </c>
    </row>
    <row r="135" spans="1:25" ht="12.45" x14ac:dyDescent="0.3">
      <c r="A135" s="260" t="s">
        <v>355</v>
      </c>
      <c r="B135" s="300">
        <v>117.06299999963058</v>
      </c>
      <c r="C135" s="300">
        <v>1.0009999999982342</v>
      </c>
      <c r="D135" s="300">
        <v>3.5949999999542346</v>
      </c>
      <c r="E135" s="300">
        <f t="shared" ref="E135:E136" si="332">SUM(B135:D135)</f>
        <v>121.65899999958305</v>
      </c>
      <c r="F135" s="300"/>
      <c r="G135" s="300">
        <v>118.94499999977127</v>
      </c>
      <c r="H135" s="300">
        <v>1.9999999999990439</v>
      </c>
      <c r="I135" s="300">
        <v>2.9830000000387691</v>
      </c>
      <c r="J135" s="300">
        <f t="shared" ref="J135:J136" si="333">SUM(G135:I135)</f>
        <v>123.92799999980909</v>
      </c>
      <c r="K135" s="300"/>
      <c r="L135" s="300">
        <v>115.09399999974812</v>
      </c>
      <c r="M135" s="300">
        <v>2.0029999999981372</v>
      </c>
      <c r="N135" s="300">
        <v>6.5419999999268326</v>
      </c>
      <c r="O135" s="300">
        <f t="shared" ref="O135:O136" si="334">SUM(L135:N135)</f>
        <v>123.63899999967309</v>
      </c>
      <c r="P135" s="300"/>
      <c r="Q135" s="300">
        <v>97.403000000095872</v>
      </c>
      <c r="R135" s="300">
        <v>1.7159999999982092</v>
      </c>
      <c r="S135" s="300">
        <v>5.592999999791191</v>
      </c>
      <c r="T135" s="300">
        <f t="shared" ref="T135:T136" si="335">SUM(Q135:S135)</f>
        <v>104.71199999988526</v>
      </c>
      <c r="U135" s="300"/>
      <c r="V135" s="300">
        <v>94.80300000012123</v>
      </c>
      <c r="W135" s="300">
        <v>1.7129999999934999</v>
      </c>
      <c r="X135" s="300">
        <v>5.561999999878525</v>
      </c>
      <c r="Y135" s="300">
        <f t="shared" ref="Y135:Y136" si="336">SUM(V135:X135)</f>
        <v>102.07799999999325</v>
      </c>
    </row>
    <row r="136" spans="1:25" ht="12.45" x14ac:dyDescent="0.3">
      <c r="A136" s="260" t="s">
        <v>354</v>
      </c>
      <c r="B136" s="300">
        <f>SUM(B134:B135)</f>
        <v>130.81699999951721</v>
      </c>
      <c r="C136" s="300">
        <f t="shared" ref="C136" si="337">SUM(C134:C135)</f>
        <v>3.1180000000215422</v>
      </c>
      <c r="D136" s="300">
        <f t="shared" ref="D136" si="338">SUM(D134:D135)</f>
        <v>3.9989999999577495</v>
      </c>
      <c r="E136" s="300">
        <f t="shared" si="332"/>
        <v>137.93399999949651</v>
      </c>
      <c r="F136" s="300"/>
      <c r="G136" s="300">
        <f>SUM(G134:G135)</f>
        <v>134.93899999960817</v>
      </c>
      <c r="H136" s="300">
        <f t="shared" ref="H136" si="339">SUM(H134:H135)</f>
        <v>4.9990000000340755</v>
      </c>
      <c r="I136" s="300">
        <f t="shared" ref="I136" si="340">SUM(I134:I135)</f>
        <v>3.9790000000428218</v>
      </c>
      <c r="J136" s="300">
        <f t="shared" si="333"/>
        <v>143.91699999968506</v>
      </c>
      <c r="K136" s="300"/>
      <c r="L136" s="300">
        <f>SUM(L134:L135)</f>
        <v>132.10799999960102</v>
      </c>
      <c r="M136" s="300">
        <f t="shared" ref="M136" si="341">SUM(M134:M135)</f>
        <v>5.0050000000307637</v>
      </c>
      <c r="N136" s="300">
        <f t="shared" ref="N136" si="342">SUM(N134:N135)</f>
        <v>6.9639999999227689</v>
      </c>
      <c r="O136" s="300">
        <f t="shared" si="334"/>
        <v>144.07699999955457</v>
      </c>
      <c r="P136" s="300"/>
      <c r="Q136" s="300">
        <f>SUM(Q134:Q135)</f>
        <v>112.73000000036862</v>
      </c>
      <c r="R136" s="300">
        <f t="shared" ref="R136" si="343">SUM(R134:R135)</f>
        <v>4.3030000000412905</v>
      </c>
      <c r="S136" s="300">
        <f t="shared" ref="S136" si="344">SUM(S134:S135)</f>
        <v>5.9559999997902402</v>
      </c>
      <c r="T136" s="300">
        <f t="shared" si="335"/>
        <v>122.98900000020015</v>
      </c>
      <c r="U136" s="300"/>
      <c r="V136" s="300">
        <f>SUM(V134:V135)</f>
        <v>111.57600000013348</v>
      </c>
      <c r="W136" s="300">
        <f t="shared" ref="W136" si="345">SUM(W134:W135)</f>
        <v>4.3179999999817165</v>
      </c>
      <c r="X136" s="300">
        <f t="shared" ref="X136" si="346">SUM(X134:X135)</f>
        <v>5.9289999998925129</v>
      </c>
      <c r="Y136" s="300">
        <f t="shared" si="336"/>
        <v>121.82300000000771</v>
      </c>
    </row>
    <row r="137" spans="1:25" ht="12.45" x14ac:dyDescent="0.3">
      <c r="C137" s="319"/>
      <c r="D137" s="319"/>
      <c r="E137" s="319"/>
      <c r="F137" s="319"/>
      <c r="G137" s="319"/>
      <c r="H137" s="319"/>
      <c r="I137" s="319"/>
      <c r="J137" s="319"/>
      <c r="K137" s="319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</row>
    <row r="138" spans="1:25" ht="12.45" x14ac:dyDescent="0.3">
      <c r="A138" s="261" t="str">
        <f>name!A24</f>
        <v>Furniture</v>
      </c>
      <c r="C138" s="263"/>
    </row>
    <row r="139" spans="1:25" ht="12.45" x14ac:dyDescent="0.3">
      <c r="A139" s="260" t="s">
        <v>356</v>
      </c>
      <c r="B139" s="300">
        <v>9.9419999999456561</v>
      </c>
      <c r="C139" s="300">
        <v>4.5000000000699227</v>
      </c>
      <c r="D139" s="300">
        <v>2.8540000000340853</v>
      </c>
      <c r="E139" s="300">
        <f>SUM(B139:D139)</f>
        <v>17.296000000049663</v>
      </c>
      <c r="F139" s="300"/>
      <c r="G139" s="300">
        <v>12.571999999813634</v>
      </c>
      <c r="H139" s="300">
        <v>5.8900000000800219</v>
      </c>
      <c r="I139" s="300">
        <v>0.41300000000738135</v>
      </c>
      <c r="J139" s="300">
        <f>SUM(G139:I139)</f>
        <v>18.874999999901039</v>
      </c>
      <c r="K139" s="300"/>
      <c r="L139" s="300">
        <v>13.345999999864462</v>
      </c>
      <c r="M139" s="300">
        <v>5.7740000000540155</v>
      </c>
      <c r="N139" s="300">
        <v>2.2599999999540161</v>
      </c>
      <c r="O139" s="300">
        <f>SUM(L139:N139)</f>
        <v>21.379999999872492</v>
      </c>
      <c r="P139" s="300"/>
      <c r="Q139" s="300">
        <v>11.835000000252185</v>
      </c>
      <c r="R139" s="300">
        <v>5.0030000001009798</v>
      </c>
      <c r="S139" s="300">
        <v>1.8980000000169446</v>
      </c>
      <c r="T139" s="300">
        <f>SUM(Q139:S139)</f>
        <v>18.736000000370112</v>
      </c>
      <c r="U139" s="300"/>
      <c r="V139" s="300">
        <v>11.427000000016157</v>
      </c>
      <c r="W139" s="300">
        <v>4.6189999999766904</v>
      </c>
      <c r="X139" s="300">
        <v>1.693000000013104</v>
      </c>
      <c r="Y139" s="300">
        <f>SUM(V139:X139)</f>
        <v>17.739000000005952</v>
      </c>
    </row>
    <row r="140" spans="1:25" ht="12.45" x14ac:dyDescent="0.3">
      <c r="A140" s="260" t="s">
        <v>355</v>
      </c>
      <c r="B140" s="300">
        <v>59.478999999975713</v>
      </c>
      <c r="C140" s="300">
        <v>2.0600000000221494</v>
      </c>
      <c r="D140" s="300">
        <v>13.372999999931871</v>
      </c>
      <c r="E140" s="300">
        <f t="shared" ref="E140:E141" si="347">SUM(B140:D140)</f>
        <v>74.911999999929733</v>
      </c>
      <c r="F140" s="300"/>
      <c r="G140" s="300">
        <v>64.812000000006691</v>
      </c>
      <c r="H140" s="300">
        <v>2.8850000000220737</v>
      </c>
      <c r="I140" s="300">
        <v>8.7130000000355867</v>
      </c>
      <c r="J140" s="300">
        <f t="shared" ref="J140:J141" si="348">SUM(G140:I140)</f>
        <v>76.410000000064358</v>
      </c>
      <c r="K140" s="300"/>
      <c r="L140" s="300">
        <v>67.366000000058179</v>
      </c>
      <c r="M140" s="300">
        <v>4.5210000000072998</v>
      </c>
      <c r="N140" s="300">
        <v>4.5849999999715054</v>
      </c>
      <c r="O140" s="300">
        <f t="shared" ref="O140:O141" si="349">SUM(L140:N140)</f>
        <v>76.472000000036985</v>
      </c>
      <c r="P140" s="300"/>
      <c r="Q140" s="300">
        <v>59.228000000193312</v>
      </c>
      <c r="R140" s="300">
        <v>3.8660000000065859</v>
      </c>
      <c r="S140" s="300">
        <v>4.1209999999388307</v>
      </c>
      <c r="T140" s="300">
        <f t="shared" ref="T140:T141" si="350">SUM(Q140:S140)</f>
        <v>67.21500000013873</v>
      </c>
      <c r="U140" s="300"/>
      <c r="V140" s="300">
        <v>55.966000000211302</v>
      </c>
      <c r="W140" s="300">
        <v>3.5240000000119496</v>
      </c>
      <c r="X140" s="300">
        <v>3.7329999999667418</v>
      </c>
      <c r="Y140" s="300">
        <f t="shared" ref="Y140:Y141" si="351">SUM(V140:X140)</f>
        <v>63.223000000189998</v>
      </c>
    </row>
    <row r="141" spans="1:25" ht="12.45" x14ac:dyDescent="0.3">
      <c r="A141" s="260" t="s">
        <v>354</v>
      </c>
      <c r="B141" s="300">
        <f>SUM(B139:B140)</f>
        <v>69.420999999921364</v>
      </c>
      <c r="C141" s="300">
        <f t="shared" ref="C141" si="352">SUM(C139:C140)</f>
        <v>6.5600000000920726</v>
      </c>
      <c r="D141" s="300">
        <f t="shared" ref="D141" si="353">SUM(D139:D140)</f>
        <v>16.226999999965955</v>
      </c>
      <c r="E141" s="300">
        <f t="shared" si="347"/>
        <v>92.207999999979393</v>
      </c>
      <c r="F141" s="300"/>
      <c r="G141" s="300">
        <f>SUM(G139:G140)</f>
        <v>77.383999999820333</v>
      </c>
      <c r="H141" s="300">
        <f t="shared" ref="H141" si="354">SUM(H139:H140)</f>
        <v>8.7750000001020965</v>
      </c>
      <c r="I141" s="300">
        <f t="shared" ref="I141" si="355">SUM(I139:I140)</f>
        <v>9.1260000000429677</v>
      </c>
      <c r="J141" s="300">
        <f t="shared" si="348"/>
        <v>95.284999999965393</v>
      </c>
      <c r="K141" s="300"/>
      <c r="L141" s="300">
        <f>SUM(L139:L140)</f>
        <v>80.711999999922639</v>
      </c>
      <c r="M141" s="300">
        <f t="shared" ref="M141" si="356">SUM(M139:M140)</f>
        <v>10.295000000061314</v>
      </c>
      <c r="N141" s="300">
        <f t="shared" ref="N141" si="357">SUM(N139:N140)</f>
        <v>6.8449999999255215</v>
      </c>
      <c r="O141" s="300">
        <f t="shared" si="349"/>
        <v>97.851999999909467</v>
      </c>
      <c r="P141" s="300"/>
      <c r="Q141" s="300">
        <f>SUM(Q139:Q140)</f>
        <v>71.063000000445498</v>
      </c>
      <c r="R141" s="300">
        <f t="shared" ref="R141" si="358">SUM(R139:R140)</f>
        <v>8.8690000001075653</v>
      </c>
      <c r="S141" s="300">
        <f t="shared" ref="S141" si="359">SUM(S139:S140)</f>
        <v>6.0189999999557751</v>
      </c>
      <c r="T141" s="300">
        <f t="shared" si="350"/>
        <v>85.951000000508841</v>
      </c>
      <c r="U141" s="300"/>
      <c r="V141" s="300">
        <f>SUM(V139:V140)</f>
        <v>67.39300000022746</v>
      </c>
      <c r="W141" s="300">
        <f t="shared" ref="W141" si="360">SUM(W139:W140)</f>
        <v>8.1429999999886391</v>
      </c>
      <c r="X141" s="300">
        <f t="shared" ref="X141" si="361">SUM(X139:X140)</f>
        <v>5.4259999999798456</v>
      </c>
      <c r="Y141" s="300">
        <f t="shared" si="351"/>
        <v>80.962000000195943</v>
      </c>
    </row>
    <row r="142" spans="1:25" ht="12.45" x14ac:dyDescent="0.3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ht="12.45" x14ac:dyDescent="0.3">
      <c r="A143" s="261" t="str">
        <f>name!A25</f>
        <v>Other manufacturing</v>
      </c>
      <c r="C143" s="263"/>
    </row>
    <row r="144" spans="1:25" ht="12.45" x14ac:dyDescent="0.3">
      <c r="A144" s="260" t="s">
        <v>356</v>
      </c>
      <c r="B144" s="300">
        <v>25.818999999828577</v>
      </c>
      <c r="C144" s="300">
        <v>9.1270000001690192</v>
      </c>
      <c r="D144" s="300">
        <v>5.7780000000738809</v>
      </c>
      <c r="E144" s="300">
        <f>SUM(B144:D144)</f>
        <v>40.724000000071477</v>
      </c>
      <c r="F144" s="300"/>
      <c r="G144" s="300">
        <v>28.165999999637155</v>
      </c>
      <c r="H144" s="300">
        <v>7.2740000001051408</v>
      </c>
      <c r="I144" s="300">
        <v>5.955000000102503</v>
      </c>
      <c r="J144" s="300">
        <f>SUM(G144:I144)</f>
        <v>41.394999999844799</v>
      </c>
      <c r="K144" s="300"/>
      <c r="L144" s="300">
        <v>29.55299999975945</v>
      </c>
      <c r="M144" s="300">
        <v>7.1720000001174382</v>
      </c>
      <c r="N144" s="300">
        <v>4.4819999999593758</v>
      </c>
      <c r="O144" s="300">
        <f>SUM(L144:N144)</f>
        <v>41.206999999836263</v>
      </c>
      <c r="P144" s="300"/>
      <c r="Q144" s="300">
        <v>25.933000000504034</v>
      </c>
      <c r="R144" s="300">
        <v>6.3360000001350487</v>
      </c>
      <c r="S144" s="300">
        <v>3.7960000000529943</v>
      </c>
      <c r="T144" s="300">
        <f>SUM(Q144:S144)</f>
        <v>36.065000000692073</v>
      </c>
      <c r="U144" s="300"/>
      <c r="V144" s="300">
        <v>24.584000000060275</v>
      </c>
      <c r="W144" s="300">
        <v>6.0759999999530709</v>
      </c>
      <c r="X144" s="300">
        <v>3.4270000000001599</v>
      </c>
      <c r="Y144" s="300">
        <f>SUM(V144:X144)</f>
        <v>34.087000000013511</v>
      </c>
    </row>
    <row r="145" spans="1:25" ht="12.45" x14ac:dyDescent="0.3">
      <c r="A145" s="260" t="s">
        <v>355</v>
      </c>
      <c r="B145" s="300">
        <v>52.086000000015474</v>
      </c>
      <c r="C145" s="300">
        <v>3.985000000052247</v>
      </c>
      <c r="D145" s="300">
        <v>10.266999999970958</v>
      </c>
      <c r="E145" s="300">
        <f t="shared" ref="E145:E146" si="362">SUM(B145:D145)</f>
        <v>66.338000000038676</v>
      </c>
      <c r="F145" s="300"/>
      <c r="G145" s="300">
        <v>49.832999999972785</v>
      </c>
      <c r="H145" s="300">
        <v>3.3270000000198117</v>
      </c>
      <c r="I145" s="300">
        <v>6.1160000000306747</v>
      </c>
      <c r="J145" s="300">
        <f t="shared" ref="J145:J146" si="363">SUM(G145:I145)</f>
        <v>59.276000000023267</v>
      </c>
      <c r="K145" s="300"/>
      <c r="L145" s="300">
        <v>51.411999999932227</v>
      </c>
      <c r="M145" s="300">
        <v>4.513000000001008</v>
      </c>
      <c r="N145" s="300">
        <v>6.9619999999645152</v>
      </c>
      <c r="O145" s="300">
        <f t="shared" ref="O145:O146" si="364">SUM(L145:N145)</f>
        <v>62.886999999897753</v>
      </c>
      <c r="P145" s="300"/>
      <c r="Q145" s="300">
        <v>45.313000000106413</v>
      </c>
      <c r="R145" s="300">
        <v>3.928000000003065</v>
      </c>
      <c r="S145" s="300">
        <v>5.7879999999345273</v>
      </c>
      <c r="T145" s="300">
        <f t="shared" ref="T145:T146" si="365">SUM(Q145:S145)</f>
        <v>55.029000000044007</v>
      </c>
      <c r="U145" s="300"/>
      <c r="V145" s="300">
        <v>42.981000000142487</v>
      </c>
      <c r="W145" s="300">
        <v>3.6840000000094486</v>
      </c>
      <c r="X145" s="300">
        <v>5.0279999999719225</v>
      </c>
      <c r="Y145" s="300">
        <f t="shared" ref="Y145:Y146" si="366">SUM(V145:X145)</f>
        <v>51.69300000012386</v>
      </c>
    </row>
    <row r="146" spans="1:25" ht="12.45" x14ac:dyDescent="0.3">
      <c r="A146" s="260" t="s">
        <v>354</v>
      </c>
      <c r="B146" s="300">
        <f>SUM(B144:B145)</f>
        <v>77.904999999844051</v>
      </c>
      <c r="C146" s="300">
        <f t="shared" ref="C146" si="367">SUM(C144:C145)</f>
        <v>13.112000000221267</v>
      </c>
      <c r="D146" s="300">
        <f t="shared" ref="D146" si="368">SUM(D144:D145)</f>
        <v>16.045000000044837</v>
      </c>
      <c r="E146" s="300">
        <f t="shared" si="362"/>
        <v>107.06200000011016</v>
      </c>
      <c r="F146" s="300"/>
      <c r="G146" s="300">
        <f>SUM(G144:G145)</f>
        <v>77.998999999609936</v>
      </c>
      <c r="H146" s="300">
        <f t="shared" ref="H146" si="369">SUM(H144:H145)</f>
        <v>10.601000000124952</v>
      </c>
      <c r="I146" s="300">
        <f t="shared" ref="I146" si="370">SUM(I144:I145)</f>
        <v>12.071000000133179</v>
      </c>
      <c r="J146" s="300">
        <f t="shared" si="363"/>
        <v>100.67099999986807</v>
      </c>
      <c r="K146" s="300"/>
      <c r="L146" s="300">
        <f>SUM(L144:L145)</f>
        <v>80.964999999691685</v>
      </c>
      <c r="M146" s="300">
        <f t="shared" ref="M146" si="371">SUM(M144:M145)</f>
        <v>11.685000000118446</v>
      </c>
      <c r="N146" s="300">
        <f t="shared" ref="N146" si="372">SUM(N144:N145)</f>
        <v>11.443999999923891</v>
      </c>
      <c r="O146" s="300">
        <f t="shared" si="364"/>
        <v>104.09399999973402</v>
      </c>
      <c r="P146" s="300"/>
      <c r="Q146" s="300">
        <f>SUM(Q144:Q145)</f>
        <v>71.246000000610451</v>
      </c>
      <c r="R146" s="300">
        <f t="shared" ref="R146" si="373">SUM(R144:R145)</f>
        <v>10.264000000138115</v>
      </c>
      <c r="S146" s="300">
        <f t="shared" ref="S146" si="374">SUM(S144:S145)</f>
        <v>9.5839999999875225</v>
      </c>
      <c r="T146" s="300">
        <f t="shared" si="365"/>
        <v>91.094000000736088</v>
      </c>
      <c r="U146" s="300"/>
      <c r="V146" s="300">
        <f>SUM(V144:V145)</f>
        <v>67.565000000202758</v>
      </c>
      <c r="W146" s="300">
        <f t="shared" ref="W146" si="375">SUM(W144:W145)</f>
        <v>9.7599999999625204</v>
      </c>
      <c r="X146" s="300">
        <f t="shared" ref="X146" si="376">SUM(X144:X145)</f>
        <v>8.4549999999720828</v>
      </c>
      <c r="Y146" s="300">
        <f t="shared" si="366"/>
        <v>85.780000000137363</v>
      </c>
    </row>
    <row r="147" spans="1:25" ht="12.45" x14ac:dyDescent="0.3">
      <c r="C147" s="319"/>
      <c r="D147" s="319"/>
      <c r="E147" s="319"/>
      <c r="F147" s="319"/>
      <c r="G147" s="319"/>
      <c r="H147" s="319"/>
      <c r="I147" s="319"/>
      <c r="J147" s="319"/>
      <c r="K147" s="319"/>
      <c r="L147" s="319"/>
      <c r="M147" s="319"/>
      <c r="N147" s="319"/>
      <c r="O147" s="319"/>
      <c r="P147" s="319"/>
      <c r="Q147" s="319"/>
      <c r="R147" s="319"/>
      <c r="S147" s="319"/>
      <c r="T147" s="319"/>
      <c r="U147" s="319"/>
      <c r="V147" s="319"/>
      <c r="W147" s="319"/>
      <c r="X147" s="319"/>
      <c r="Y147" s="319"/>
    </row>
    <row r="148" spans="1:25" ht="12.45" x14ac:dyDescent="0.3">
      <c r="A148" s="261" t="str">
        <f>name!A26</f>
        <v>Repair and installation</v>
      </c>
      <c r="C148" s="263"/>
    </row>
    <row r="149" spans="1:25" ht="12.45" x14ac:dyDescent="0.3">
      <c r="A149" s="260" t="s">
        <v>356</v>
      </c>
      <c r="B149" s="300">
        <v>10.531999999971699</v>
      </c>
      <c r="C149" s="300">
        <v>5.0470000000555517</v>
      </c>
      <c r="D149" s="300">
        <v>3.3670000000401288</v>
      </c>
      <c r="E149" s="300">
        <f>SUM(B149:D149)</f>
        <v>18.946000000067379</v>
      </c>
      <c r="F149" s="300"/>
      <c r="G149" s="300">
        <v>13.057999999799472</v>
      </c>
      <c r="H149" s="300">
        <v>5.7890000000675981</v>
      </c>
      <c r="I149" s="300">
        <v>1.9940000000140115</v>
      </c>
      <c r="J149" s="300">
        <f>SUM(G149:I149)</f>
        <v>20.840999999881081</v>
      </c>
      <c r="K149" s="300"/>
      <c r="L149" s="300">
        <v>13.256999999872569</v>
      </c>
      <c r="M149" s="300">
        <v>5.780000000019788</v>
      </c>
      <c r="N149" s="300">
        <v>2.6189999999762965</v>
      </c>
      <c r="O149" s="300">
        <f>SUM(L149:N149)</f>
        <v>21.655999999868655</v>
      </c>
      <c r="P149" s="300"/>
      <c r="Q149" s="300">
        <v>11.599000000203068</v>
      </c>
      <c r="R149" s="300">
        <v>5.0160000000581526</v>
      </c>
      <c r="S149" s="300">
        <v>2.1899999999958424</v>
      </c>
      <c r="T149" s="300">
        <f>SUM(Q149:S149)</f>
        <v>18.80500000025706</v>
      </c>
      <c r="U149" s="300"/>
      <c r="V149" s="300">
        <v>10.904999999996924</v>
      </c>
      <c r="W149" s="300">
        <v>4.6379999999752055</v>
      </c>
      <c r="X149" s="300">
        <v>1.9270000000180558</v>
      </c>
      <c r="Y149" s="300">
        <f>SUM(V149:X149)</f>
        <v>17.469999999990186</v>
      </c>
    </row>
    <row r="150" spans="1:25" ht="12.45" x14ac:dyDescent="0.3">
      <c r="A150" s="260" t="s">
        <v>355</v>
      </c>
      <c r="B150" s="300">
        <v>84.340999999728936</v>
      </c>
      <c r="C150" s="300">
        <v>2.9490000000110679</v>
      </c>
      <c r="D150" s="300">
        <v>19.360000000082078</v>
      </c>
      <c r="E150" s="300">
        <f t="shared" ref="E150:E151" si="377">SUM(B150:D150)</f>
        <v>106.64999999982209</v>
      </c>
      <c r="F150" s="300"/>
      <c r="G150" s="300">
        <v>98.449999999760834</v>
      </c>
      <c r="H150" s="300">
        <v>3.8019999999995924</v>
      </c>
      <c r="I150" s="300">
        <v>13.595000000128993</v>
      </c>
      <c r="J150" s="300">
        <f t="shared" ref="J150:J151" si="378">SUM(G150:I150)</f>
        <v>115.84699999988942</v>
      </c>
      <c r="K150" s="300"/>
      <c r="L150" s="300">
        <v>101.63899999970546</v>
      </c>
      <c r="M150" s="300">
        <v>4.9189999999823204</v>
      </c>
      <c r="N150" s="300">
        <v>20.856000000003409</v>
      </c>
      <c r="O150" s="300">
        <f t="shared" ref="O150:O151" si="379">SUM(L150:N150)</f>
        <v>127.41399999969119</v>
      </c>
      <c r="P150" s="300"/>
      <c r="Q150" s="300">
        <v>88.953999999992263</v>
      </c>
      <c r="R150" s="300">
        <v>4.2609999999857298</v>
      </c>
      <c r="S150" s="300">
        <v>18.9439999999409</v>
      </c>
      <c r="T150" s="300">
        <f t="shared" ref="T150:T151" si="380">SUM(Q150:S150)</f>
        <v>112.15899999991889</v>
      </c>
      <c r="U150" s="300"/>
      <c r="V150" s="300">
        <v>83.143999999924688</v>
      </c>
      <c r="W150" s="300">
        <v>3.9589999999900205</v>
      </c>
      <c r="X150" s="300">
        <v>19.842999999988312</v>
      </c>
      <c r="Y150" s="300">
        <f t="shared" ref="Y150:Y151" si="381">SUM(V150:X150)</f>
        <v>106.94599999990302</v>
      </c>
    </row>
    <row r="151" spans="1:25" ht="12.45" x14ac:dyDescent="0.3">
      <c r="A151" s="260" t="s">
        <v>354</v>
      </c>
      <c r="B151" s="300">
        <f>SUM(B149:B150)</f>
        <v>94.872999999700639</v>
      </c>
      <c r="C151" s="300">
        <f t="shared" ref="C151" si="382">SUM(C149:C150)</f>
        <v>7.9960000000666192</v>
      </c>
      <c r="D151" s="300">
        <f t="shared" ref="D151" si="383">SUM(D149:D150)</f>
        <v>22.727000000122207</v>
      </c>
      <c r="E151" s="300">
        <f t="shared" si="377"/>
        <v>125.59599999988946</v>
      </c>
      <c r="F151" s="300"/>
      <c r="G151" s="300">
        <f>SUM(G149:G150)</f>
        <v>111.50799999956031</v>
      </c>
      <c r="H151" s="300">
        <f t="shared" ref="H151" si="384">SUM(H149:H150)</f>
        <v>9.59100000006719</v>
      </c>
      <c r="I151" s="300">
        <f t="shared" ref="I151" si="385">SUM(I149:I150)</f>
        <v>15.589000000143004</v>
      </c>
      <c r="J151" s="300">
        <f t="shared" si="378"/>
        <v>136.68799999977051</v>
      </c>
      <c r="K151" s="300"/>
      <c r="L151" s="300">
        <f>SUM(L149:L150)</f>
        <v>114.89599999957804</v>
      </c>
      <c r="M151" s="300">
        <f t="shared" ref="M151" si="386">SUM(M149:M150)</f>
        <v>10.699000000002108</v>
      </c>
      <c r="N151" s="300">
        <f t="shared" ref="N151" si="387">SUM(N149:N150)</f>
        <v>23.474999999979705</v>
      </c>
      <c r="O151" s="300">
        <f t="shared" si="379"/>
        <v>149.06999999955985</v>
      </c>
      <c r="P151" s="300"/>
      <c r="Q151" s="300">
        <f>SUM(Q149:Q150)</f>
        <v>100.55300000019533</v>
      </c>
      <c r="R151" s="300">
        <f t="shared" ref="R151" si="388">SUM(R149:R150)</f>
        <v>9.2770000000438824</v>
      </c>
      <c r="S151" s="300">
        <f t="shared" ref="S151" si="389">SUM(S149:S150)</f>
        <v>21.133999999936741</v>
      </c>
      <c r="T151" s="300">
        <f t="shared" si="380"/>
        <v>130.96400000017596</v>
      </c>
      <c r="U151" s="300"/>
      <c r="V151" s="300">
        <f>SUM(V149:V150)</f>
        <v>94.04899999992162</v>
      </c>
      <c r="W151" s="300">
        <f t="shared" ref="W151" si="390">SUM(W149:W150)</f>
        <v>8.5969999999652256</v>
      </c>
      <c r="X151" s="300">
        <f t="shared" ref="X151" si="391">SUM(X149:X150)</f>
        <v>21.770000000006366</v>
      </c>
      <c r="Y151" s="300">
        <f t="shared" si="381"/>
        <v>124.4159999998932</v>
      </c>
    </row>
    <row r="152" spans="1:25" ht="12.45" x14ac:dyDescent="0.3">
      <c r="C152" s="263"/>
    </row>
    <row r="153" spans="1:25" x14ac:dyDescent="0.35">
      <c r="A153" s="261" t="s">
        <v>370</v>
      </c>
    </row>
    <row r="154" spans="1:25" ht="12.45" x14ac:dyDescent="0.3">
      <c r="A154" s="260" t="s">
        <v>356</v>
      </c>
      <c r="B154" s="300">
        <f>SUM(B74,B79,B84,B89,B94,B99,B104,B109,B114,B119,B124,B129,B134,B139,B144,B149)</f>
        <v>260.34799999826544</v>
      </c>
      <c r="C154" s="300">
        <f t="shared" ref="C154:D155" si="392">SUM(C74,C79,C84,C89,C94,C99,C104,C109,C114,C119,C124,C129,C134,C139,C144,C149)</f>
        <v>87.934000001558076</v>
      </c>
      <c r="D154" s="300">
        <f t="shared" si="392"/>
        <v>41.657000000619128</v>
      </c>
      <c r="E154" s="300">
        <f>SUM(B154:D154)</f>
        <v>389.9390000004426</v>
      </c>
      <c r="F154" s="300"/>
      <c r="G154" s="300">
        <f>SUM(G74,G79,G84,G89,G94,G99,G104,G109,G114,G119,G124,G129,G134,G139,G144,G149)</f>
        <v>277.68699999619088</v>
      </c>
      <c r="H154" s="300">
        <f t="shared" ref="H154:I154" si="393">SUM(H74,H79,H84,H89,H94,H99,H104,H109,H114,H119,H124,H129,H134,H139,H144,H149)</f>
        <v>88.303000000942987</v>
      </c>
      <c r="I154" s="300">
        <f t="shared" si="393"/>
        <v>41.999000000617976</v>
      </c>
      <c r="J154" s="300">
        <f>SUM(G154:I154)</f>
        <v>407.98899999775182</v>
      </c>
      <c r="K154" s="300"/>
      <c r="L154" s="300">
        <f>SUM(L74,L79,L84,L89,L94,L99,L104,L109,L114,L119,L124,L129,L134,L139,L144,L149)</f>
        <v>278.16599999748297</v>
      </c>
      <c r="M154" s="300">
        <f t="shared" ref="M154:N154" si="394">SUM(M74,M79,M84,M89,M94,M99,M104,M109,M114,M119,M124,M129,M134,M139,M144,M149)</f>
        <v>86.657000001147125</v>
      </c>
      <c r="N154" s="300">
        <f t="shared" si="394"/>
        <v>41.635999999505998</v>
      </c>
      <c r="O154" s="300">
        <f>SUM(L154:N154)</f>
        <v>406.45899999813611</v>
      </c>
      <c r="P154" s="300"/>
      <c r="Q154" s="300">
        <f>SUM(Q74,Q79,Q84,Q89,Q94,Q99,Q104,Q109,Q114,Q119,Q124,Q129,Q134,Q139,Q144,Q149)</f>
        <v>264.93600000531421</v>
      </c>
      <c r="R154" s="300">
        <f t="shared" ref="R154:S154" si="395">SUM(R74,R79,R84,R89,R94,R99,R104,R109,R114,R119,R124,R129,R134,R139,R144,R149)</f>
        <v>81.660000001516352</v>
      </c>
      <c r="S154" s="300">
        <f t="shared" si="395"/>
        <v>37.62200000009112</v>
      </c>
      <c r="T154" s="300">
        <f>SUM(Q154:S154)</f>
        <v>384.21800000692167</v>
      </c>
      <c r="U154" s="300"/>
      <c r="V154" s="300">
        <f>SUM(V74,V79,V84,V89,V94,V99,V104,V109,V114,V119,V124,V129,V134,V139,V144,V149)</f>
        <v>247.16600000030576</v>
      </c>
      <c r="W154" s="300">
        <f t="shared" ref="W154:X154" si="396">SUM(W74,W79,W84,W89,W94,W99,W104,W109,W114,W119,W124,W129,W134,W139,W144,W149)</f>
        <v>75.311999999494176</v>
      </c>
      <c r="X154" s="300">
        <f t="shared" si="396"/>
        <v>33.420000000252031</v>
      </c>
      <c r="Y154" s="300">
        <f>SUM(V154:X154)</f>
        <v>355.89800000005198</v>
      </c>
    </row>
    <row r="155" spans="1:25" ht="12.45" x14ac:dyDescent="0.3">
      <c r="A155" s="260" t="s">
        <v>355</v>
      </c>
      <c r="B155" s="300">
        <f>SUM(B75,B80,B85,B90,B95,B100,B105,B110,B115,B120,B125,B130,B135,B140,B145,B150)</f>
        <v>1259.140999998152</v>
      </c>
      <c r="C155" s="300">
        <f t="shared" si="392"/>
        <v>38.787000000397441</v>
      </c>
      <c r="D155" s="300">
        <f t="shared" si="392"/>
        <v>128.33500000011182</v>
      </c>
      <c r="E155" s="300">
        <f t="shared" ref="E155:E156" si="397">SUM(B155:D155)</f>
        <v>1426.2629999986614</v>
      </c>
      <c r="F155" s="300"/>
      <c r="G155" s="300">
        <f>SUM(G75,G80,G85,G90,G95,G100,G105,G110,G115,G120,G125,G130,G135,G140,G145,G150)</f>
        <v>1275.5789999984472</v>
      </c>
      <c r="H155" s="300">
        <f t="shared" ref="H155:I155" si="398">SUM(H75,H80,H85,H90,H95,H100,H105,H110,H115,H120,H125,H130,H135,H140,H145,H150)</f>
        <v>48.648000000274749</v>
      </c>
      <c r="I155" s="300">
        <f t="shared" si="398"/>
        <v>99.189000000704496</v>
      </c>
      <c r="J155" s="300">
        <f t="shared" ref="J155:J156" si="399">SUM(G155:I155)</f>
        <v>1423.4159999994265</v>
      </c>
      <c r="K155" s="300"/>
      <c r="L155" s="300">
        <f>SUM(L75,L80,L85,L90,L95,L100,L105,L110,L115,L120,L125,L130,L135,L140,L145,L150)</f>
        <v>1220.2249999981018</v>
      </c>
      <c r="M155" s="300">
        <f t="shared" ref="M155:N155" si="400">SUM(M75,M80,M85,M90,M95,M100,M105,M110,M115,M120,M125,M130,M135,M140,M145,M150)</f>
        <v>64.290000000043477</v>
      </c>
      <c r="N155" s="300">
        <f t="shared" si="400"/>
        <v>99.569999999699206</v>
      </c>
      <c r="O155" s="300">
        <f t="shared" ref="O155:O156" si="401">SUM(L155:N155)</f>
        <v>1384.0849999978443</v>
      </c>
      <c r="P155" s="300"/>
      <c r="Q155" s="300">
        <f>SUM(Q75,Q80,Q85,Q90,Q95,Q100,Q105,Q110,Q115,Q120,Q125,Q130,Q135,Q140,Q145,Q150)</f>
        <v>1150.070000001982</v>
      </c>
      <c r="R155" s="300">
        <f t="shared" ref="R155:S155" si="402">SUM(R75,R80,R85,R90,R95,R100,R105,R110,R115,R120,R125,R130,R135,R140,R145,R150)</f>
        <v>60.403000000043171</v>
      </c>
      <c r="S155" s="300">
        <f t="shared" si="402"/>
        <v>93.130999999047503</v>
      </c>
      <c r="T155" s="300">
        <f t="shared" ref="T155:T156" si="403">SUM(Q155:S155)</f>
        <v>1303.6040000010726</v>
      </c>
      <c r="U155" s="300"/>
      <c r="V155" s="300">
        <f>SUM(V75,V80,V85,V90,V95,V100,V105,V110,V115,V120,V125,V130,V135,V140,V145,V150)</f>
        <v>1043.8060000021062</v>
      </c>
      <c r="W155" s="300">
        <f t="shared" ref="W155" si="404">SUM(W75,W80,W85,W90,W95,W100,W105,W110,W115,W120,W125,W130,W135,W140,W145,W150)</f>
        <v>55.314000000106113</v>
      </c>
      <c r="X155" s="300">
        <f>SUM(X75,X80,X85,X90,X95,X100,X105,X110,X115,X120,X125,X130,X135,X140,X145,X150)</f>
        <v>87.827999999515555</v>
      </c>
      <c r="Y155" s="300">
        <f t="shared" ref="Y155:Y156" si="405">SUM(V155:X155)</f>
        <v>1186.9480000017279</v>
      </c>
    </row>
    <row r="156" spans="1:25" ht="12.45" x14ac:dyDescent="0.3">
      <c r="A156" s="264" t="s">
        <v>354</v>
      </c>
      <c r="B156" s="301">
        <f>SUM(B154:B155)</f>
        <v>1519.4889999964175</v>
      </c>
      <c r="C156" s="301">
        <f t="shared" ref="C156" si="406">SUM(C154:C155)</f>
        <v>126.72100000195552</v>
      </c>
      <c r="D156" s="301">
        <f t="shared" ref="D156" si="407">SUM(D154:D155)</f>
        <v>169.99200000073094</v>
      </c>
      <c r="E156" s="301">
        <f t="shared" si="397"/>
        <v>1816.2019999991039</v>
      </c>
      <c r="F156" s="301"/>
      <c r="G156" s="301">
        <f>SUM(G154:G155)</f>
        <v>1553.2659999946382</v>
      </c>
      <c r="H156" s="301">
        <f t="shared" ref="H156" si="408">SUM(H154:H155)</f>
        <v>136.95100000121772</v>
      </c>
      <c r="I156" s="301">
        <f t="shared" ref="I156" si="409">SUM(I154:I155)</f>
        <v>141.18800000132248</v>
      </c>
      <c r="J156" s="301">
        <f t="shared" si="399"/>
        <v>1831.4049999971785</v>
      </c>
      <c r="K156" s="301"/>
      <c r="L156" s="301">
        <f>SUM(L154:L155)</f>
        <v>1498.3909999955847</v>
      </c>
      <c r="M156" s="301">
        <f t="shared" ref="M156" si="410">SUM(M154:M155)</f>
        <v>150.94700000119059</v>
      </c>
      <c r="N156" s="301">
        <f t="shared" ref="N156" si="411">SUM(N154:N155)</f>
        <v>141.2059999992052</v>
      </c>
      <c r="O156" s="301">
        <f t="shared" si="401"/>
        <v>1790.5439999959806</v>
      </c>
      <c r="P156" s="301"/>
      <c r="Q156" s="301">
        <f>SUM(Q154:Q155)</f>
        <v>1415.0060000072963</v>
      </c>
      <c r="R156" s="301">
        <f t="shared" ref="R156" si="412">SUM(R154:R155)</f>
        <v>142.06300000155952</v>
      </c>
      <c r="S156" s="301">
        <f t="shared" ref="S156" si="413">SUM(S154:S155)</f>
        <v>130.75299999913864</v>
      </c>
      <c r="T156" s="301">
        <f t="shared" si="403"/>
        <v>1687.8220000079943</v>
      </c>
      <c r="U156" s="301"/>
      <c r="V156" s="301">
        <f>SUM(V154:V155)</f>
        <v>1290.972000002412</v>
      </c>
      <c r="W156" s="301">
        <f t="shared" ref="W156" si="414">SUM(W154:W155)</f>
        <v>130.62599999960028</v>
      </c>
      <c r="X156" s="301">
        <f t="shared" ref="X156" si="415">SUM(X154:X155)</f>
        <v>121.24799999976759</v>
      </c>
      <c r="Y156" s="301">
        <f t="shared" si="405"/>
        <v>1542.8460000017799</v>
      </c>
    </row>
    <row r="157" spans="1:25" ht="12.45" x14ac:dyDescent="0.3">
      <c r="C157" s="263"/>
    </row>
    <row r="158" spans="1:25" ht="12.45" x14ac:dyDescent="0.3">
      <c r="C158" s="263"/>
    </row>
    <row r="159" spans="1:25" ht="12.45" x14ac:dyDescent="0.3">
      <c r="C159" s="263"/>
    </row>
    <row r="160" spans="1:25" ht="14.15" x14ac:dyDescent="0.35">
      <c r="A160" s="265" t="str">
        <f>"Industry 6 : "&amp; name!B9</f>
        <v>Industry 6 : Electricity and gas</v>
      </c>
      <c r="B160" s="372">
        <f>$B$5</f>
        <v>2015</v>
      </c>
      <c r="C160" s="372"/>
      <c r="D160" s="372"/>
      <c r="E160" s="372"/>
      <c r="F160" s="320"/>
      <c r="G160" s="372">
        <f>$G$5</f>
        <v>2019</v>
      </c>
      <c r="H160" s="372"/>
      <c r="I160" s="372"/>
      <c r="J160" s="372"/>
      <c r="K160" s="320"/>
      <c r="L160" s="372">
        <f>$L$5</f>
        <v>2020</v>
      </c>
      <c r="M160" s="372"/>
      <c r="N160" s="372"/>
      <c r="O160" s="372"/>
      <c r="P160" s="318"/>
      <c r="Q160" s="372">
        <f>$Q$5</f>
        <v>2025</v>
      </c>
      <c r="R160" s="372"/>
      <c r="S160" s="372"/>
      <c r="T160" s="372"/>
      <c r="U160" s="320"/>
      <c r="V160" s="372">
        <f>$V$5</f>
        <v>2035</v>
      </c>
      <c r="W160" s="372"/>
      <c r="X160" s="372"/>
      <c r="Y160" s="372"/>
    </row>
    <row r="161" spans="1:25" ht="12.45" x14ac:dyDescent="0.3">
      <c r="A161" s="264"/>
      <c r="B161" s="268" t="str">
        <f>$B$6</f>
        <v>FT</v>
      </c>
      <c r="C161" s="268" t="str">
        <f>$C$6</f>
        <v>PT</v>
      </c>
      <c r="D161" s="268" t="str">
        <f>$D$6</f>
        <v>SE</v>
      </c>
      <c r="E161" s="268" t="str">
        <f>$E$6</f>
        <v>Total</v>
      </c>
      <c r="F161" s="268"/>
      <c r="G161" s="268" t="str">
        <f>$B$6</f>
        <v>FT</v>
      </c>
      <c r="H161" s="268" t="str">
        <f>$C$6</f>
        <v>PT</v>
      </c>
      <c r="I161" s="268" t="str">
        <f>$D$6</f>
        <v>SE</v>
      </c>
      <c r="J161" s="268" t="str">
        <f>$E$6</f>
        <v>Total</v>
      </c>
      <c r="K161" s="268"/>
      <c r="L161" s="268" t="str">
        <f>$L$6</f>
        <v>FT</v>
      </c>
      <c r="M161" s="268" t="str">
        <f>$M$6</f>
        <v>PT</v>
      </c>
      <c r="N161" s="268" t="str">
        <f>$N$6</f>
        <v>SE</v>
      </c>
      <c r="O161" s="268" t="str">
        <f>$O$6</f>
        <v>Total</v>
      </c>
      <c r="P161" s="268"/>
      <c r="Q161" s="268" t="str">
        <f>$L$6</f>
        <v>FT</v>
      </c>
      <c r="R161" s="268" t="str">
        <f>$M$6</f>
        <v>PT</v>
      </c>
      <c r="S161" s="268" t="str">
        <f>$N$6</f>
        <v>SE</v>
      </c>
      <c r="T161" s="268" t="str">
        <f>$O$6</f>
        <v>Total</v>
      </c>
      <c r="U161" s="268"/>
      <c r="V161" s="268" t="str">
        <f>$V$6</f>
        <v>FT</v>
      </c>
      <c r="W161" s="268" t="str">
        <f>$W$6</f>
        <v>PT</v>
      </c>
      <c r="X161" s="268" t="str">
        <f>$X$6</f>
        <v>SE</v>
      </c>
      <c r="Y161" s="268" t="str">
        <f>$Y$6</f>
        <v>Total</v>
      </c>
    </row>
    <row r="162" spans="1:25" ht="12.45" x14ac:dyDescent="0.3">
      <c r="C162" s="319"/>
      <c r="D162" s="319"/>
      <c r="E162" s="319"/>
      <c r="F162" s="319"/>
      <c r="G162" s="319"/>
      <c r="H162" s="319"/>
      <c r="I162" s="319"/>
      <c r="J162" s="319"/>
      <c r="K162" s="319"/>
      <c r="L162" s="319"/>
      <c r="M162" s="319"/>
      <c r="N162" s="319"/>
      <c r="O162" s="319"/>
      <c r="P162" s="319"/>
      <c r="Q162" s="319"/>
      <c r="R162" s="319"/>
      <c r="S162" s="319"/>
      <c r="T162" s="319"/>
      <c r="U162" s="319"/>
      <c r="V162" s="319"/>
      <c r="W162" s="319"/>
      <c r="X162" s="319"/>
      <c r="Y162" s="319"/>
    </row>
    <row r="163" spans="1:25" ht="12.45" x14ac:dyDescent="0.3">
      <c r="A163" s="261" t="str">
        <f>name!A27</f>
        <v>Electricity, gas, etc</v>
      </c>
      <c r="C163" s="263"/>
    </row>
    <row r="164" spans="1:25" ht="12.45" x14ac:dyDescent="0.3">
      <c r="A164" s="260" t="s">
        <v>356</v>
      </c>
      <c r="B164" s="300">
        <v>27.348999999886583</v>
      </c>
      <c r="C164" s="300">
        <v>7.9350000001183165</v>
      </c>
      <c r="D164" s="300">
        <v>0.91300000000653503</v>
      </c>
      <c r="E164" s="300">
        <f>SUM(B164:D164)</f>
        <v>36.197000000011435</v>
      </c>
      <c r="F164" s="300"/>
      <c r="G164" s="300">
        <v>31.006999999762993</v>
      </c>
      <c r="H164" s="300">
        <v>7.9920000001085878</v>
      </c>
      <c r="I164" s="300">
        <v>1.0040000000126874</v>
      </c>
      <c r="J164" s="300">
        <f>SUM(G164:I164)</f>
        <v>40.002999999884267</v>
      </c>
      <c r="K164" s="300"/>
      <c r="L164" s="300">
        <v>31.229999999862784</v>
      </c>
      <c r="M164" s="300">
        <v>8.772000000136714</v>
      </c>
      <c r="N164" s="300">
        <v>1.9959999999930995</v>
      </c>
      <c r="O164" s="300">
        <f>SUM(L164:N164)</f>
        <v>41.997999999992601</v>
      </c>
      <c r="P164" s="300"/>
      <c r="Q164" s="300">
        <v>30.312000000743595</v>
      </c>
      <c r="R164" s="300">
        <v>8.4160000002328239</v>
      </c>
      <c r="S164" s="300">
        <v>1.9220000000194983</v>
      </c>
      <c r="T164" s="300">
        <f>SUM(Q164:S164)</f>
        <v>40.650000000995924</v>
      </c>
      <c r="U164" s="300"/>
      <c r="V164" s="300">
        <v>30.702999999781337</v>
      </c>
      <c r="W164" s="300">
        <v>8.3419999999291061</v>
      </c>
      <c r="X164" s="300">
        <v>1.9140000000894684</v>
      </c>
      <c r="Y164" s="300">
        <f>SUM(V164:X164)</f>
        <v>40.958999999799907</v>
      </c>
    </row>
    <row r="165" spans="1:25" ht="12.45" x14ac:dyDescent="0.3">
      <c r="A165" s="260" t="s">
        <v>355</v>
      </c>
      <c r="B165" s="300">
        <v>85.672999999376742</v>
      </c>
      <c r="C165" s="300">
        <v>2.0350000000046502</v>
      </c>
      <c r="D165" s="300">
        <v>9.0909999999605855</v>
      </c>
      <c r="E165" s="300">
        <f t="shared" ref="E165:E166" si="416">SUM(B165:D165)</f>
        <v>96.798999999341973</v>
      </c>
      <c r="F165" s="300"/>
      <c r="G165" s="300">
        <v>92.993999999483677</v>
      </c>
      <c r="H165" s="300">
        <v>3.0010000000119281</v>
      </c>
      <c r="I165" s="300">
        <v>7.995999999974253</v>
      </c>
      <c r="J165" s="300">
        <f t="shared" ref="J165:J166" si="417">SUM(G165:I165)</f>
        <v>103.99099999946986</v>
      </c>
      <c r="K165" s="300"/>
      <c r="L165" s="300">
        <v>96.976999999488243</v>
      </c>
      <c r="M165" s="300">
        <v>2.0199999999985048</v>
      </c>
      <c r="N165" s="300">
        <v>4.9980000000114018</v>
      </c>
      <c r="O165" s="300">
        <f t="shared" ref="O165:O166" si="418">SUM(L165:N165)</f>
        <v>103.99499999949815</v>
      </c>
      <c r="P165" s="300"/>
      <c r="Q165" s="300">
        <v>92.556999999860054</v>
      </c>
      <c r="R165" s="300">
        <v>1.9610000000031644</v>
      </c>
      <c r="S165" s="300">
        <v>4.8500000000736883</v>
      </c>
      <c r="T165" s="300">
        <f t="shared" ref="T165:T166" si="419">SUM(Q165:S165)</f>
        <v>99.367999999936913</v>
      </c>
      <c r="U165" s="300"/>
      <c r="V165" s="300">
        <v>90.696999999626001</v>
      </c>
      <c r="W165" s="300">
        <v>1.9910000000050825</v>
      </c>
      <c r="X165" s="300">
        <v>4.8990000000615836</v>
      </c>
      <c r="Y165" s="300">
        <f t="shared" ref="Y165:Y166" si="420">SUM(V165:X165)</f>
        <v>97.586999999692665</v>
      </c>
    </row>
    <row r="166" spans="1:25" ht="12.45" x14ac:dyDescent="0.3">
      <c r="A166" s="264" t="s">
        <v>354</v>
      </c>
      <c r="B166" s="301">
        <f>SUM(B164:B165)</f>
        <v>113.02199999926333</v>
      </c>
      <c r="C166" s="301">
        <f t="shared" ref="C166" si="421">SUM(C164:C165)</f>
        <v>9.9700000001229672</v>
      </c>
      <c r="D166" s="301">
        <f t="shared" ref="D166" si="422">SUM(D164:D165)</f>
        <v>10.003999999967121</v>
      </c>
      <c r="E166" s="301">
        <f t="shared" si="416"/>
        <v>132.99599999935342</v>
      </c>
      <c r="F166" s="301"/>
      <c r="G166" s="301">
        <f>SUM(G164:G165)</f>
        <v>124.00099999924667</v>
      </c>
      <c r="H166" s="301">
        <f t="shared" ref="H166" si="423">SUM(H164:H165)</f>
        <v>10.993000000120515</v>
      </c>
      <c r="I166" s="301">
        <f t="shared" ref="I166" si="424">SUM(I164:I165)</f>
        <v>8.9999999999869402</v>
      </c>
      <c r="J166" s="301">
        <f t="shared" si="417"/>
        <v>143.99399999935412</v>
      </c>
      <c r="K166" s="301"/>
      <c r="L166" s="301">
        <f>SUM(L164:L165)</f>
        <v>128.20699999935101</v>
      </c>
      <c r="M166" s="301">
        <f t="shared" ref="M166" si="425">SUM(M164:M165)</f>
        <v>10.792000000135218</v>
      </c>
      <c r="N166" s="301">
        <f t="shared" ref="N166" si="426">SUM(N164:N165)</f>
        <v>6.9940000000045011</v>
      </c>
      <c r="O166" s="301">
        <f t="shared" si="418"/>
        <v>145.99299999949071</v>
      </c>
      <c r="P166" s="301"/>
      <c r="Q166" s="301">
        <f>SUM(Q164:Q165)</f>
        <v>122.86900000060365</v>
      </c>
      <c r="R166" s="301">
        <f t="shared" ref="R166" si="427">SUM(R164:R165)</f>
        <v>10.377000000235988</v>
      </c>
      <c r="S166" s="301">
        <f t="shared" ref="S166" si="428">SUM(S164:S165)</f>
        <v>6.7720000000931861</v>
      </c>
      <c r="T166" s="301">
        <f t="shared" si="419"/>
        <v>140.01800000093283</v>
      </c>
      <c r="U166" s="301"/>
      <c r="V166" s="301">
        <f>SUM(V164:V165)</f>
        <v>121.39999999940734</v>
      </c>
      <c r="W166" s="301">
        <f t="shared" ref="W166" si="429">SUM(W164:W165)</f>
        <v>10.332999999934188</v>
      </c>
      <c r="X166" s="301">
        <f t="shared" ref="X166" si="430">SUM(X164:X165)</f>
        <v>6.8130000001510522</v>
      </c>
      <c r="Y166" s="301">
        <f t="shared" si="420"/>
        <v>138.54599999949258</v>
      </c>
    </row>
    <row r="167" spans="1:25" ht="12.45" x14ac:dyDescent="0.3">
      <c r="C167" s="263"/>
    </row>
    <row r="168" spans="1:25" ht="12.45" x14ac:dyDescent="0.3">
      <c r="C168" s="263"/>
    </row>
    <row r="169" spans="1:25" ht="12.45" x14ac:dyDescent="0.3">
      <c r="C169" s="263"/>
    </row>
    <row r="170" spans="1:25" ht="14.15" x14ac:dyDescent="0.35">
      <c r="A170" s="265" t="str">
        <f>"Industry 7 : "&amp; name!B10</f>
        <v>Industry 7 : Water and sewerage</v>
      </c>
      <c r="B170" s="372">
        <f>$B$5</f>
        <v>2015</v>
      </c>
      <c r="C170" s="372"/>
      <c r="D170" s="372"/>
      <c r="E170" s="372"/>
      <c r="F170" s="320"/>
      <c r="G170" s="372">
        <f>$G$5</f>
        <v>2019</v>
      </c>
      <c r="H170" s="372"/>
      <c r="I170" s="372"/>
      <c r="J170" s="372"/>
      <c r="K170" s="320"/>
      <c r="L170" s="372">
        <f>$L$5</f>
        <v>2020</v>
      </c>
      <c r="M170" s="372"/>
      <c r="N170" s="372"/>
      <c r="O170" s="372"/>
      <c r="P170" s="318"/>
      <c r="Q170" s="372">
        <f>$Q$5</f>
        <v>2025</v>
      </c>
      <c r="R170" s="372"/>
      <c r="S170" s="372"/>
      <c r="T170" s="372"/>
      <c r="U170" s="320"/>
      <c r="V170" s="372">
        <f>$V$5</f>
        <v>2035</v>
      </c>
      <c r="W170" s="372"/>
      <c r="X170" s="372"/>
      <c r="Y170" s="372"/>
    </row>
    <row r="171" spans="1:25" ht="12.45" x14ac:dyDescent="0.3">
      <c r="A171" s="264"/>
      <c r="B171" s="268" t="str">
        <f>$B$6</f>
        <v>FT</v>
      </c>
      <c r="C171" s="268" t="str">
        <f>$C$6</f>
        <v>PT</v>
      </c>
      <c r="D171" s="268" t="str">
        <f>$D$6</f>
        <v>SE</v>
      </c>
      <c r="E171" s="268" t="str">
        <f>$E$6</f>
        <v>Total</v>
      </c>
      <c r="F171" s="268"/>
      <c r="G171" s="268" t="str">
        <f>$B$6</f>
        <v>FT</v>
      </c>
      <c r="H171" s="268" t="str">
        <f>$C$6</f>
        <v>PT</v>
      </c>
      <c r="I171" s="268" t="str">
        <f>$D$6</f>
        <v>SE</v>
      </c>
      <c r="J171" s="268" t="str">
        <f>$E$6</f>
        <v>Total</v>
      </c>
      <c r="K171" s="268"/>
      <c r="L171" s="268" t="str">
        <f>$L$6</f>
        <v>FT</v>
      </c>
      <c r="M171" s="268" t="str">
        <f>$M$6</f>
        <v>PT</v>
      </c>
      <c r="N171" s="268" t="str">
        <f>$N$6</f>
        <v>SE</v>
      </c>
      <c r="O171" s="268" t="str">
        <f>$O$6</f>
        <v>Total</v>
      </c>
      <c r="P171" s="268"/>
      <c r="Q171" s="268" t="str">
        <f>$L$6</f>
        <v>FT</v>
      </c>
      <c r="R171" s="268" t="str">
        <f>$M$6</f>
        <v>PT</v>
      </c>
      <c r="S171" s="268" t="str">
        <f>$N$6</f>
        <v>SE</v>
      </c>
      <c r="T171" s="268" t="str">
        <f>$O$6</f>
        <v>Total</v>
      </c>
      <c r="U171" s="268"/>
      <c r="V171" s="268" t="str">
        <f>$V$6</f>
        <v>FT</v>
      </c>
      <c r="W171" s="268" t="str">
        <f>$W$6</f>
        <v>PT</v>
      </c>
      <c r="X171" s="268" t="str">
        <f>$X$6</f>
        <v>SE</v>
      </c>
      <c r="Y171" s="268" t="str">
        <f>$Y$6</f>
        <v>Total</v>
      </c>
    </row>
    <row r="172" spans="1:25" ht="12.45" x14ac:dyDescent="0.3">
      <c r="C172" s="319"/>
      <c r="D172" s="319"/>
      <c r="E172" s="319"/>
      <c r="F172" s="319"/>
      <c r="G172" s="319"/>
      <c r="H172" s="319"/>
      <c r="I172" s="319"/>
      <c r="J172" s="319"/>
      <c r="K172" s="319"/>
      <c r="L172" s="319"/>
      <c r="M172" s="319"/>
      <c r="N172" s="319"/>
      <c r="O172" s="319"/>
      <c r="P172" s="319"/>
      <c r="Q172" s="319"/>
      <c r="R172" s="319"/>
      <c r="S172" s="319"/>
      <c r="T172" s="319"/>
      <c r="U172" s="319"/>
      <c r="V172" s="319"/>
      <c r="W172" s="319"/>
      <c r="X172" s="319"/>
      <c r="Y172" s="319"/>
    </row>
    <row r="173" spans="1:25" ht="12.45" x14ac:dyDescent="0.3">
      <c r="A173" s="261" t="str">
        <f>name!A28</f>
        <v>Water</v>
      </c>
      <c r="C173" s="263"/>
    </row>
    <row r="174" spans="1:25" ht="12.45" x14ac:dyDescent="0.3">
      <c r="A174" s="260" t="s">
        <v>356</v>
      </c>
      <c r="B174" s="300">
        <v>7.9949999999193722</v>
      </c>
      <c r="C174" s="300">
        <v>3.9740000000263143</v>
      </c>
      <c r="D174" s="300">
        <v>1.3740000000087498</v>
      </c>
      <c r="E174" s="300">
        <f>SUM(B174:D174)</f>
        <v>13.342999999954436</v>
      </c>
      <c r="F174" s="300"/>
      <c r="G174" s="300">
        <v>9.3069999999074522</v>
      </c>
      <c r="H174" s="300">
        <v>3.5560000000325207</v>
      </c>
      <c r="I174" s="300">
        <v>0.2050000000019423</v>
      </c>
      <c r="J174" s="300">
        <f>SUM(G174:I174)</f>
        <v>13.067999999941915</v>
      </c>
      <c r="K174" s="300"/>
      <c r="L174" s="300">
        <v>8.5269999999406263</v>
      </c>
      <c r="M174" s="300">
        <v>3.510000000030209</v>
      </c>
      <c r="N174" s="300">
        <v>0.31299999999822481</v>
      </c>
      <c r="O174" s="300">
        <f>SUM(L174:N174)</f>
        <v>12.349999999969059</v>
      </c>
      <c r="P174" s="300"/>
      <c r="Q174" s="300">
        <v>9.297000000209902</v>
      </c>
      <c r="R174" s="300">
        <v>3.7090000000531278</v>
      </c>
      <c r="S174" s="300">
        <v>0.32300000000131246</v>
      </c>
      <c r="T174" s="300">
        <f>SUM(Q174:S174)</f>
        <v>13.329000000264342</v>
      </c>
      <c r="U174" s="300"/>
      <c r="V174" s="300">
        <v>10.751000000060815</v>
      </c>
      <c r="W174" s="300">
        <v>4.0319999999846461</v>
      </c>
      <c r="X174" s="300">
        <v>0.33900000000919817</v>
      </c>
      <c r="Y174" s="300">
        <f>SUM(V174:X174)</f>
        <v>15.12200000005466</v>
      </c>
    </row>
    <row r="175" spans="1:25" ht="12.45" x14ac:dyDescent="0.3">
      <c r="A175" s="260" t="s">
        <v>355</v>
      </c>
      <c r="B175" s="300">
        <v>23.286999999868257</v>
      </c>
      <c r="C175" s="300">
        <v>1.4470000000018555</v>
      </c>
      <c r="D175" s="300">
        <v>0.62599999999823264</v>
      </c>
      <c r="E175" s="300">
        <f t="shared" ref="E175:E176" si="431">SUM(B175:D175)</f>
        <v>25.359999999868347</v>
      </c>
      <c r="F175" s="300"/>
      <c r="G175" s="300">
        <v>32.368999999879584</v>
      </c>
      <c r="H175" s="300">
        <v>1.3039999999990752</v>
      </c>
      <c r="I175" s="300">
        <v>0.20700000000242552</v>
      </c>
      <c r="J175" s="300">
        <f t="shared" ref="J175:J176" si="432">SUM(G175:I175)</f>
        <v>33.879999999881086</v>
      </c>
      <c r="K175" s="300"/>
      <c r="L175" s="300">
        <v>29.028999999867498</v>
      </c>
      <c r="M175" s="300">
        <v>2.1719999999990121</v>
      </c>
      <c r="N175" s="300">
        <v>1.5279999999951814</v>
      </c>
      <c r="O175" s="300">
        <f t="shared" ref="O175:O176" si="433">SUM(L175:N175)</f>
        <v>32.728999999861692</v>
      </c>
      <c r="P175" s="300"/>
      <c r="Q175" s="300">
        <v>30.206000000035289</v>
      </c>
      <c r="R175" s="300">
        <v>2.2790000000045665</v>
      </c>
      <c r="S175" s="300">
        <v>1.5629999999912063</v>
      </c>
      <c r="T175" s="300">
        <f t="shared" ref="T175:T176" si="434">SUM(Q175:S175)</f>
        <v>34.04800000003106</v>
      </c>
      <c r="U175" s="300"/>
      <c r="V175" s="300">
        <v>31.910999999938376</v>
      </c>
      <c r="W175" s="300">
        <v>2.4270000000106307</v>
      </c>
      <c r="X175" s="300">
        <v>1.6150000000031848</v>
      </c>
      <c r="Y175" s="300">
        <f t="shared" ref="Y175:Y176" si="435">SUM(V175:X175)</f>
        <v>35.952999999952191</v>
      </c>
    </row>
    <row r="176" spans="1:25" ht="12.45" x14ac:dyDescent="0.3">
      <c r="A176" s="260" t="s">
        <v>354</v>
      </c>
      <c r="B176" s="300">
        <f>SUM(B174:B175)</f>
        <v>31.281999999787629</v>
      </c>
      <c r="C176" s="300">
        <f t="shared" ref="C176" si="436">SUM(C174:C175)</f>
        <v>5.4210000000281697</v>
      </c>
      <c r="D176" s="300">
        <f t="shared" ref="D176" si="437">SUM(D174:D175)</f>
        <v>2.0000000000069824</v>
      </c>
      <c r="E176" s="300">
        <f t="shared" si="431"/>
        <v>38.702999999822786</v>
      </c>
      <c r="F176" s="300"/>
      <c r="G176" s="300">
        <f>SUM(G174:G175)</f>
        <v>41.675999999787038</v>
      </c>
      <c r="H176" s="300">
        <f t="shared" ref="H176" si="438">SUM(H174:H175)</f>
        <v>4.8600000000315955</v>
      </c>
      <c r="I176" s="300">
        <f t="shared" ref="I176" si="439">SUM(I174:I175)</f>
        <v>0.41200000000436782</v>
      </c>
      <c r="J176" s="300">
        <f t="shared" si="432"/>
        <v>46.947999999823004</v>
      </c>
      <c r="K176" s="300"/>
      <c r="L176" s="300">
        <f>SUM(L174:L175)</f>
        <v>37.555999999808122</v>
      </c>
      <c r="M176" s="300">
        <f t="shared" ref="M176" si="440">SUM(M174:M175)</f>
        <v>5.6820000000292215</v>
      </c>
      <c r="N176" s="300">
        <f t="shared" ref="N176" si="441">SUM(N174:N175)</f>
        <v>1.8409999999934064</v>
      </c>
      <c r="O176" s="300">
        <f t="shared" si="433"/>
        <v>45.078999999830749</v>
      </c>
      <c r="P176" s="300"/>
      <c r="Q176" s="300">
        <f>SUM(Q174:Q175)</f>
        <v>39.503000000245194</v>
      </c>
      <c r="R176" s="300">
        <f t="shared" ref="R176" si="442">SUM(R174:R175)</f>
        <v>5.9880000000576938</v>
      </c>
      <c r="S176" s="300">
        <f t="shared" ref="S176" si="443">SUM(S174:S175)</f>
        <v>1.8859999999925188</v>
      </c>
      <c r="T176" s="300">
        <f t="shared" si="434"/>
        <v>47.377000000295411</v>
      </c>
      <c r="U176" s="300"/>
      <c r="V176" s="300">
        <f>SUM(V174:V175)</f>
        <v>42.661999999999189</v>
      </c>
      <c r="W176" s="300">
        <f t="shared" ref="W176" si="444">SUM(W174:W175)</f>
        <v>6.4589999999952763</v>
      </c>
      <c r="X176" s="300">
        <f t="shared" ref="X176" si="445">SUM(X174:X175)</f>
        <v>1.9540000000123829</v>
      </c>
      <c r="Y176" s="300">
        <f t="shared" si="435"/>
        <v>51.075000000006852</v>
      </c>
    </row>
    <row r="177" spans="1:25" ht="12.45" x14ac:dyDescent="0.3">
      <c r="C177" s="319"/>
      <c r="D177" s="319"/>
      <c r="E177" s="319"/>
      <c r="F177" s="319"/>
      <c r="G177" s="319"/>
      <c r="H177" s="319"/>
      <c r="I177" s="319"/>
      <c r="J177" s="319"/>
      <c r="K177" s="319"/>
      <c r="L177" s="319"/>
      <c r="M177" s="319"/>
      <c r="N177" s="319"/>
      <c r="O177" s="319"/>
      <c r="P177" s="319"/>
      <c r="Q177" s="319"/>
      <c r="R177" s="319"/>
      <c r="S177" s="319"/>
      <c r="T177" s="319"/>
      <c r="U177" s="319"/>
      <c r="V177" s="319"/>
      <c r="W177" s="319"/>
      <c r="X177" s="319"/>
      <c r="Y177" s="319"/>
    </row>
    <row r="178" spans="1:25" ht="12.45" x14ac:dyDescent="0.3">
      <c r="A178" s="261" t="str">
        <f>name!A29</f>
        <v>Sewerage</v>
      </c>
      <c r="C178" s="263"/>
    </row>
    <row r="179" spans="1:25" ht="12.45" x14ac:dyDescent="0.3">
      <c r="A179" s="260" t="s">
        <v>356</v>
      </c>
      <c r="B179" s="300">
        <v>4.0029999999695125</v>
      </c>
      <c r="C179" s="300">
        <v>1.8020000000032077</v>
      </c>
      <c r="D179" s="300">
        <v>0.6640000000039824</v>
      </c>
      <c r="E179" s="300">
        <f>SUM(B179:D179)</f>
        <v>6.4689999999767025</v>
      </c>
      <c r="F179" s="300"/>
      <c r="G179" s="300">
        <v>5.6319999999525914</v>
      </c>
      <c r="H179" s="300">
        <v>1.4770000000099435</v>
      </c>
      <c r="I179" s="300">
        <v>0.20400000000143906</v>
      </c>
      <c r="J179" s="300">
        <f>SUM(G179:I179)</f>
        <v>7.3129999999639743</v>
      </c>
      <c r="K179" s="300"/>
      <c r="L179" s="300">
        <v>5.3559999999728545</v>
      </c>
      <c r="M179" s="300">
        <v>1.3020000000087775</v>
      </c>
      <c r="N179" s="300">
        <v>0.10099999999917333</v>
      </c>
      <c r="O179" s="300">
        <f>SUM(L179:N179)</f>
        <v>6.758999999980805</v>
      </c>
      <c r="P179" s="300"/>
      <c r="Q179" s="300">
        <v>5.7840000000920782</v>
      </c>
      <c r="R179" s="300">
        <v>1.3860000000175636</v>
      </c>
      <c r="S179" s="300">
        <v>0.10500000000018947</v>
      </c>
      <c r="T179" s="300">
        <f>SUM(Q179:S179)</f>
        <v>7.2750000001098316</v>
      </c>
      <c r="U179" s="300"/>
      <c r="V179" s="300">
        <v>6.581000000044761</v>
      </c>
      <c r="W179" s="300">
        <v>1.5220000000060101</v>
      </c>
      <c r="X179" s="300">
        <v>0.1110000000000843</v>
      </c>
      <c r="Y179" s="300">
        <f>SUM(V179:X179)</f>
        <v>8.2140000000508557</v>
      </c>
    </row>
    <row r="180" spans="1:25" ht="12.45" x14ac:dyDescent="0.3">
      <c r="A180" s="260" t="s">
        <v>355</v>
      </c>
      <c r="B180" s="300">
        <v>16.566000000094551</v>
      </c>
      <c r="C180" s="300">
        <v>0.82600000002040741</v>
      </c>
      <c r="D180" s="300">
        <v>1.3239999999949887</v>
      </c>
      <c r="E180" s="300">
        <f t="shared" ref="E180:E181" si="446">SUM(B180:D180)</f>
        <v>18.716000000109947</v>
      </c>
      <c r="F180" s="300"/>
      <c r="G180" s="300">
        <v>16.225000000075831</v>
      </c>
      <c r="H180" s="300">
        <v>0.59400000000828856</v>
      </c>
      <c r="I180" s="300">
        <v>0.20600000000146917</v>
      </c>
      <c r="J180" s="300">
        <f t="shared" ref="J180:J181" si="447">SUM(G180:I180)</f>
        <v>17.025000000085591</v>
      </c>
      <c r="K180" s="300"/>
      <c r="L180" s="300">
        <v>14.738000000040786</v>
      </c>
      <c r="M180" s="300">
        <v>0.79699999999701798</v>
      </c>
      <c r="N180" s="300">
        <v>0.22099999999874409</v>
      </c>
      <c r="O180" s="300">
        <f t="shared" ref="O180:O181" si="448">SUM(L180:N180)</f>
        <v>15.756000000036549</v>
      </c>
      <c r="P180" s="300"/>
      <c r="Q180" s="300">
        <v>15.373000000124305</v>
      </c>
      <c r="R180" s="300">
        <v>0.84799999999867759</v>
      </c>
      <c r="S180" s="300">
        <v>0.22799999999797682</v>
      </c>
      <c r="T180" s="300">
        <f t="shared" ref="T180:T181" si="449">SUM(Q180:S180)</f>
        <v>16.449000000120961</v>
      </c>
      <c r="U180" s="300"/>
      <c r="V180" s="300">
        <v>16.313000000176142</v>
      </c>
      <c r="W180" s="300">
        <v>0.92399999999951776</v>
      </c>
      <c r="X180" s="300">
        <v>0.2429999999980427</v>
      </c>
      <c r="Y180" s="300">
        <f t="shared" ref="Y180:Y181" si="450">SUM(V180:X180)</f>
        <v>17.4800000001737</v>
      </c>
    </row>
    <row r="181" spans="1:25" ht="12.45" x14ac:dyDescent="0.3">
      <c r="A181" s="260" t="s">
        <v>354</v>
      </c>
      <c r="B181" s="300">
        <f>SUM(B179:B180)</f>
        <v>20.569000000064065</v>
      </c>
      <c r="C181" s="300">
        <f t="shared" ref="C181" si="451">SUM(C179:C180)</f>
        <v>2.628000000023615</v>
      </c>
      <c r="D181" s="300">
        <f t="shared" ref="D181" si="452">SUM(D179:D180)</f>
        <v>1.987999999998971</v>
      </c>
      <c r="E181" s="300">
        <f t="shared" si="446"/>
        <v>25.185000000086653</v>
      </c>
      <c r="F181" s="300"/>
      <c r="G181" s="300">
        <f>SUM(G179:G180)</f>
        <v>21.857000000028421</v>
      </c>
      <c r="H181" s="300">
        <f t="shared" ref="H181" si="453">SUM(H179:H180)</f>
        <v>2.0710000000182323</v>
      </c>
      <c r="I181" s="300">
        <f t="shared" ref="I181" si="454">SUM(I179:I180)</f>
        <v>0.41000000000290826</v>
      </c>
      <c r="J181" s="300">
        <f t="shared" si="447"/>
        <v>24.338000000049561</v>
      </c>
      <c r="K181" s="300"/>
      <c r="L181" s="300">
        <f>SUM(L179:L180)</f>
        <v>20.09400000001364</v>
      </c>
      <c r="M181" s="300">
        <f t="shared" ref="M181" si="455">SUM(M179:M180)</f>
        <v>2.0990000000057956</v>
      </c>
      <c r="N181" s="300">
        <f t="shared" ref="N181" si="456">SUM(N179:N180)</f>
        <v>0.3219999999979174</v>
      </c>
      <c r="O181" s="300">
        <f t="shared" si="448"/>
        <v>22.515000000017352</v>
      </c>
      <c r="P181" s="300"/>
      <c r="Q181" s="300">
        <f>SUM(Q179:Q180)</f>
        <v>21.157000000216385</v>
      </c>
      <c r="R181" s="300">
        <f t="shared" ref="R181" si="457">SUM(R179:R180)</f>
        <v>2.2340000000162412</v>
      </c>
      <c r="S181" s="300">
        <f t="shared" ref="S181" si="458">SUM(S179:S180)</f>
        <v>0.33299999999816632</v>
      </c>
      <c r="T181" s="300">
        <f t="shared" si="449"/>
        <v>23.724000000230792</v>
      </c>
      <c r="U181" s="300"/>
      <c r="V181" s="300">
        <f>SUM(V179:V180)</f>
        <v>22.894000000220903</v>
      </c>
      <c r="W181" s="300">
        <f t="shared" ref="W181" si="459">SUM(W179:W180)</f>
        <v>2.4460000000055278</v>
      </c>
      <c r="X181" s="300">
        <f t="shared" ref="X181" si="460">SUM(X179:X180)</f>
        <v>0.35399999999812698</v>
      </c>
      <c r="Y181" s="300">
        <f t="shared" si="450"/>
        <v>25.694000000224559</v>
      </c>
    </row>
    <row r="182" spans="1:25" ht="12.45" x14ac:dyDescent="0.3">
      <c r="C182" s="319"/>
      <c r="D182" s="319"/>
      <c r="E182" s="319"/>
      <c r="F182" s="319"/>
      <c r="G182" s="319"/>
      <c r="H182" s="319"/>
      <c r="I182" s="319"/>
      <c r="J182" s="319"/>
      <c r="K182" s="319"/>
      <c r="L182" s="319"/>
      <c r="M182" s="319"/>
      <c r="N182" s="319"/>
      <c r="O182" s="319"/>
      <c r="P182" s="319"/>
      <c r="Q182" s="319"/>
      <c r="R182" s="319"/>
      <c r="S182" s="319"/>
      <c r="T182" s="319"/>
      <c r="U182" s="319"/>
      <c r="V182" s="319"/>
      <c r="W182" s="319"/>
      <c r="X182" s="319"/>
      <c r="Y182" s="319"/>
    </row>
    <row r="183" spans="1:25" ht="12.45" x14ac:dyDescent="0.3">
      <c r="A183" s="261" t="str">
        <f>name!A30</f>
        <v>Waste management</v>
      </c>
      <c r="C183" s="263"/>
    </row>
    <row r="184" spans="1:25" ht="12.45" x14ac:dyDescent="0.3">
      <c r="A184" s="260" t="s">
        <v>356</v>
      </c>
      <c r="B184" s="300">
        <v>22.039999999844806</v>
      </c>
      <c r="C184" s="300">
        <v>10.182999999936976</v>
      </c>
      <c r="D184" s="300">
        <v>1.0050000000139552</v>
      </c>
      <c r="E184" s="300">
        <f>SUM(B184:D184)</f>
        <v>33.227999999795742</v>
      </c>
      <c r="F184" s="300"/>
      <c r="G184" s="300">
        <v>22.94099999979144</v>
      </c>
      <c r="H184" s="300">
        <v>11.088000000023767</v>
      </c>
      <c r="I184" s="300">
        <v>1.8120000000245071</v>
      </c>
      <c r="J184" s="300">
        <f>SUM(G184:I184)</f>
        <v>35.84099999983971</v>
      </c>
      <c r="K184" s="300"/>
      <c r="L184" s="300">
        <v>21.749999999870283</v>
      </c>
      <c r="M184" s="300">
        <v>10.561000000014776</v>
      </c>
      <c r="N184" s="300">
        <v>0.54299999999467052</v>
      </c>
      <c r="O184" s="300">
        <f>SUM(L184:N184)</f>
        <v>32.853999999879726</v>
      </c>
      <c r="P184" s="300"/>
      <c r="Q184" s="300">
        <v>23.679000000382413</v>
      </c>
      <c r="R184" s="300">
        <v>11.172999999973376</v>
      </c>
      <c r="S184" s="300">
        <v>0.5620000000006633</v>
      </c>
      <c r="T184" s="300">
        <f>SUM(Q184:S184)</f>
        <v>35.414000000356452</v>
      </c>
      <c r="U184" s="300"/>
      <c r="V184" s="300">
        <v>27.3350000001677</v>
      </c>
      <c r="W184" s="300">
        <v>12.180000000046386</v>
      </c>
      <c r="X184" s="300">
        <v>0.58999999999988473</v>
      </c>
      <c r="Y184" s="300">
        <f>SUM(V184:X184)</f>
        <v>40.10500000021397</v>
      </c>
    </row>
    <row r="185" spans="1:25" ht="12.45" x14ac:dyDescent="0.3">
      <c r="A185" s="260" t="s">
        <v>355</v>
      </c>
      <c r="B185" s="300">
        <v>92.744000000400035</v>
      </c>
      <c r="C185" s="300">
        <v>4.1180000000577843</v>
      </c>
      <c r="D185" s="300">
        <v>6.0009999999072567</v>
      </c>
      <c r="E185" s="300">
        <f t="shared" ref="E185:E186" si="461">SUM(B185:D185)</f>
        <v>102.86300000036508</v>
      </c>
      <c r="F185" s="300"/>
      <c r="G185" s="300">
        <v>105.38900000033861</v>
      </c>
      <c r="H185" s="300">
        <v>4.1100000000355088</v>
      </c>
      <c r="I185" s="300">
        <v>6.3580000000696106</v>
      </c>
      <c r="J185" s="300">
        <f t="shared" ref="J185:J186" si="462">SUM(G185:I185)</f>
        <v>115.85700000044373</v>
      </c>
      <c r="K185" s="300"/>
      <c r="L185" s="300">
        <v>95.812000000010087</v>
      </c>
      <c r="M185" s="300">
        <v>8.448999999949498</v>
      </c>
      <c r="N185" s="300">
        <v>5.2909999999099764</v>
      </c>
      <c r="O185" s="300">
        <f t="shared" ref="O185:O186" si="463">SUM(L185:N185)</f>
        <v>109.55199999986955</v>
      </c>
      <c r="P185" s="300"/>
      <c r="Q185" s="300">
        <v>99.846000000525009</v>
      </c>
      <c r="R185" s="300">
        <v>8.8869999999915468</v>
      </c>
      <c r="S185" s="300">
        <v>5.3389999998315014</v>
      </c>
      <c r="T185" s="300">
        <f t="shared" ref="T185:T186" si="464">SUM(Q185:S185)</f>
        <v>114.07200000034805</v>
      </c>
      <c r="U185" s="300"/>
      <c r="V185" s="300">
        <v>105.82600000066489</v>
      </c>
      <c r="W185" s="300">
        <v>9.5450000000499582</v>
      </c>
      <c r="X185" s="300">
        <v>5.2249999998928693</v>
      </c>
      <c r="Y185" s="300">
        <f t="shared" ref="Y185:Y186" si="465">SUM(V185:X185)</f>
        <v>120.59600000060772</v>
      </c>
    </row>
    <row r="186" spans="1:25" ht="12.45" x14ac:dyDescent="0.3">
      <c r="A186" s="260" t="s">
        <v>354</v>
      </c>
      <c r="B186" s="300">
        <f>SUM(B184:B185)</f>
        <v>114.78400000024484</v>
      </c>
      <c r="C186" s="300">
        <f t="shared" ref="C186" si="466">SUM(C184:C185)</f>
        <v>14.300999999994762</v>
      </c>
      <c r="D186" s="300">
        <f t="shared" ref="D186" si="467">SUM(D184:D185)</f>
        <v>7.0059999999212117</v>
      </c>
      <c r="E186" s="300">
        <f t="shared" si="461"/>
        <v>136.09100000016082</v>
      </c>
      <c r="F186" s="300"/>
      <c r="G186" s="300">
        <f>SUM(G184:G185)</f>
        <v>128.33000000013004</v>
      </c>
      <c r="H186" s="300">
        <f t="shared" ref="H186" si="468">SUM(H184:H185)</f>
        <v>15.198000000059276</v>
      </c>
      <c r="I186" s="300">
        <f t="shared" ref="I186" si="469">SUM(I184:I185)</f>
        <v>8.1700000000941184</v>
      </c>
      <c r="J186" s="300">
        <f t="shared" si="462"/>
        <v>151.69800000028343</v>
      </c>
      <c r="K186" s="300"/>
      <c r="L186" s="300">
        <f>SUM(L184:L185)</f>
        <v>117.56199999988037</v>
      </c>
      <c r="M186" s="300">
        <f t="shared" ref="M186" si="470">SUM(M184:M185)</f>
        <v>19.009999999964272</v>
      </c>
      <c r="N186" s="300">
        <f t="shared" ref="N186" si="471">SUM(N184:N185)</f>
        <v>5.8339999999046466</v>
      </c>
      <c r="O186" s="300">
        <f t="shared" si="463"/>
        <v>142.4059999997493</v>
      </c>
      <c r="P186" s="300"/>
      <c r="Q186" s="300">
        <f>SUM(Q184:Q185)</f>
        <v>123.52500000090743</v>
      </c>
      <c r="R186" s="300">
        <f t="shared" ref="R186" si="472">SUM(R184:R185)</f>
        <v>20.059999999964923</v>
      </c>
      <c r="S186" s="300">
        <f t="shared" ref="S186" si="473">SUM(S184:S185)</f>
        <v>5.9009999998321643</v>
      </c>
      <c r="T186" s="300">
        <f t="shared" si="464"/>
        <v>149.48600000070451</v>
      </c>
      <c r="U186" s="300"/>
      <c r="V186" s="300">
        <f>SUM(V184:V185)</f>
        <v>133.16100000083259</v>
      </c>
      <c r="W186" s="300">
        <f t="shared" ref="W186" si="474">SUM(W184:W185)</f>
        <v>21.725000000096344</v>
      </c>
      <c r="X186" s="300">
        <f t="shared" ref="X186" si="475">SUM(X184:X185)</f>
        <v>5.8149999998927537</v>
      </c>
      <c r="Y186" s="300">
        <f t="shared" si="465"/>
        <v>160.70100000082169</v>
      </c>
    </row>
    <row r="188" spans="1:25" ht="12.45" x14ac:dyDescent="0.3">
      <c r="A188" s="261" t="s">
        <v>369</v>
      </c>
      <c r="C188" s="263"/>
    </row>
    <row r="189" spans="1:25" ht="12.45" x14ac:dyDescent="0.3">
      <c r="A189" s="260" t="s">
        <v>356</v>
      </c>
      <c r="B189" s="300">
        <f>SUM(B174,B179,B184)</f>
        <v>34.037999999733692</v>
      </c>
      <c r="C189" s="300">
        <f t="shared" ref="C189:D189" si="476">SUM(C174,C179,C184)</f>
        <v>15.958999999966498</v>
      </c>
      <c r="D189" s="300">
        <f t="shared" si="476"/>
        <v>3.0430000000266872</v>
      </c>
      <c r="E189" s="300">
        <f>SUM(B189:D189)</f>
        <v>53.039999999726881</v>
      </c>
      <c r="F189" s="300"/>
      <c r="G189" s="300">
        <f>SUM(G174,G179,G184)</f>
        <v>37.879999999651488</v>
      </c>
      <c r="H189" s="300">
        <f t="shared" ref="H189:I189" si="477">SUM(H174,H179,H184)</f>
        <v>16.121000000066232</v>
      </c>
      <c r="I189" s="300">
        <f t="shared" si="477"/>
        <v>2.2210000000278884</v>
      </c>
      <c r="J189" s="300">
        <f>SUM(G189:I189)</f>
        <v>56.221999999745606</v>
      </c>
      <c r="K189" s="300"/>
      <c r="L189" s="300">
        <f>SUM(L174,L179,L184)</f>
        <v>35.632999999783763</v>
      </c>
      <c r="M189" s="300">
        <f t="shared" ref="M189:N189" si="478">SUM(M174,M179,M184)</f>
        <v>15.373000000053763</v>
      </c>
      <c r="N189" s="300">
        <f t="shared" si="478"/>
        <v>0.95699999999206864</v>
      </c>
      <c r="O189" s="300">
        <f>SUM(L189:N189)</f>
        <v>51.962999999829599</v>
      </c>
      <c r="P189" s="300"/>
      <c r="Q189" s="300">
        <f>SUM(Q174,Q179,Q184)</f>
        <v>38.760000000684393</v>
      </c>
      <c r="R189" s="300">
        <f t="shared" ref="R189:S189" si="479">SUM(R174,R179,R184)</f>
        <v>16.268000000044069</v>
      </c>
      <c r="S189" s="300">
        <f t="shared" si="479"/>
        <v>0.99000000000216526</v>
      </c>
      <c r="T189" s="300">
        <f>SUM(Q189:S189)</f>
        <v>56.018000000730623</v>
      </c>
      <c r="U189" s="300"/>
      <c r="V189" s="300">
        <f>SUM(V174,V179,V184)</f>
        <v>44.667000000273276</v>
      </c>
      <c r="W189" s="300">
        <f t="shared" ref="W189:X189" si="480">SUM(W174,W179,W184)</f>
        <v>17.734000000037042</v>
      </c>
      <c r="X189" s="300">
        <f t="shared" si="480"/>
        <v>1.0400000000091671</v>
      </c>
      <c r="Y189" s="300">
        <f>SUM(V189:X189)</f>
        <v>63.441000000319484</v>
      </c>
    </row>
    <row r="190" spans="1:25" ht="12.45" x14ac:dyDescent="0.3">
      <c r="A190" s="260" t="s">
        <v>355</v>
      </c>
      <c r="B190" s="300">
        <f>SUM(B175,B180,B185)</f>
        <v>132.59700000036284</v>
      </c>
      <c r="C190" s="300">
        <f t="shared" ref="C190:D190" si="481">SUM(C175,C180,C185)</f>
        <v>6.3910000000800471</v>
      </c>
      <c r="D190" s="300">
        <f t="shared" si="481"/>
        <v>7.9509999999004783</v>
      </c>
      <c r="E190" s="300">
        <f t="shared" ref="E190:E191" si="482">SUM(B190:D190)</f>
        <v>146.93900000034338</v>
      </c>
      <c r="F190" s="300"/>
      <c r="G190" s="300">
        <f>SUM(G175,G180,G185)</f>
        <v>153.98300000029403</v>
      </c>
      <c r="H190" s="300">
        <f t="shared" ref="H190:I190" si="483">SUM(H175,H180,H185)</f>
        <v>6.0080000000428724</v>
      </c>
      <c r="I190" s="300">
        <f t="shared" si="483"/>
        <v>6.7710000000735056</v>
      </c>
      <c r="J190" s="300">
        <f t="shared" ref="J190:J191" si="484">SUM(G190:I190)</f>
        <v>166.76200000041041</v>
      </c>
      <c r="K190" s="300"/>
      <c r="L190" s="300">
        <f>SUM(L175,L180,L185)</f>
        <v>139.57899999991838</v>
      </c>
      <c r="M190" s="300">
        <f t="shared" ref="M190:N190" si="485">SUM(M175,M180,M185)</f>
        <v>11.417999999945529</v>
      </c>
      <c r="N190" s="300">
        <f t="shared" si="485"/>
        <v>7.0399999999039018</v>
      </c>
      <c r="O190" s="300">
        <f t="shared" ref="O190:O191" si="486">SUM(L190:N190)</f>
        <v>158.0369999997678</v>
      </c>
      <c r="P190" s="300"/>
      <c r="Q190" s="300">
        <f>SUM(Q175,Q180,Q185)</f>
        <v>145.42500000068461</v>
      </c>
      <c r="R190" s="300">
        <f t="shared" ref="R190:S190" si="487">SUM(R175,R180,R185)</f>
        <v>12.013999999994791</v>
      </c>
      <c r="S190" s="300">
        <f t="shared" si="487"/>
        <v>7.1299999998206847</v>
      </c>
      <c r="T190" s="300">
        <f t="shared" ref="T190:T191" si="488">SUM(Q190:S190)</f>
        <v>164.56900000050007</v>
      </c>
      <c r="U190" s="300"/>
      <c r="V190" s="300">
        <f>SUM(V175,V180,V185)</f>
        <v>154.05000000077939</v>
      </c>
      <c r="W190" s="300">
        <f t="shared" ref="W190:X190" si="489">SUM(W175,W180,W185)</f>
        <v>12.896000000060106</v>
      </c>
      <c r="X190" s="300">
        <f t="shared" si="489"/>
        <v>7.0829999998940973</v>
      </c>
      <c r="Y190" s="300">
        <f t="shared" ref="Y190:Y191" si="490">SUM(V190:X190)</f>
        <v>174.02900000073359</v>
      </c>
    </row>
    <row r="191" spans="1:25" ht="12.45" x14ac:dyDescent="0.3">
      <c r="A191" s="264" t="s">
        <v>354</v>
      </c>
      <c r="B191" s="301">
        <f>SUM(B189:B190)</f>
        <v>166.63500000009654</v>
      </c>
      <c r="C191" s="301">
        <f t="shared" ref="C191" si="491">SUM(C189:C190)</f>
        <v>22.350000000046546</v>
      </c>
      <c r="D191" s="301">
        <f t="shared" ref="D191" si="492">SUM(D189:D190)</f>
        <v>10.993999999927166</v>
      </c>
      <c r="E191" s="301">
        <f t="shared" si="482"/>
        <v>199.97900000007024</v>
      </c>
      <c r="F191" s="301"/>
      <c r="G191" s="301">
        <f>SUM(G189:G190)</f>
        <v>191.86299999994552</v>
      </c>
      <c r="H191" s="301">
        <f t="shared" ref="H191" si="493">SUM(H189:H190)</f>
        <v>22.129000000109105</v>
      </c>
      <c r="I191" s="301">
        <f t="shared" ref="I191" si="494">SUM(I189:I190)</f>
        <v>8.9920000001013936</v>
      </c>
      <c r="J191" s="301">
        <f t="shared" si="484"/>
        <v>222.98400000015602</v>
      </c>
      <c r="K191" s="301"/>
      <c r="L191" s="301">
        <f>SUM(L189:L190)</f>
        <v>175.21199999970213</v>
      </c>
      <c r="M191" s="301">
        <f t="shared" ref="M191" si="495">SUM(M189:M190)</f>
        <v>26.790999999999293</v>
      </c>
      <c r="N191" s="301">
        <f t="shared" ref="N191" si="496">SUM(N189:N190)</f>
        <v>7.9969999998959702</v>
      </c>
      <c r="O191" s="301">
        <f t="shared" si="486"/>
        <v>209.99999999959738</v>
      </c>
      <c r="P191" s="301"/>
      <c r="Q191" s="301">
        <f>SUM(Q189:Q190)</f>
        <v>184.18500000136899</v>
      </c>
      <c r="R191" s="301">
        <f t="shared" ref="R191" si="497">SUM(R189:R190)</f>
        <v>28.28200000003886</v>
      </c>
      <c r="S191" s="301">
        <f t="shared" ref="S191" si="498">SUM(S189:S190)</f>
        <v>8.1199999998228503</v>
      </c>
      <c r="T191" s="301">
        <f t="shared" si="488"/>
        <v>220.58700000123071</v>
      </c>
      <c r="U191" s="301"/>
      <c r="V191" s="301">
        <f>SUM(V189:V190)</f>
        <v>198.71700000105267</v>
      </c>
      <c r="W191" s="301">
        <f t="shared" ref="W191" si="499">SUM(W189:W190)</f>
        <v>30.630000000097148</v>
      </c>
      <c r="X191" s="301">
        <f t="shared" ref="X191" si="500">SUM(X189:X190)</f>
        <v>8.1229999999032643</v>
      </c>
      <c r="Y191" s="301">
        <f t="shared" si="490"/>
        <v>237.47000000105308</v>
      </c>
    </row>
    <row r="195" spans="1:25" ht="14.15" x14ac:dyDescent="0.35">
      <c r="A195" s="265" t="str">
        <f>"Industry 8 : "&amp; name!B11</f>
        <v>Industry 8 : Construction</v>
      </c>
      <c r="B195" s="372">
        <f>$B$5</f>
        <v>2015</v>
      </c>
      <c r="C195" s="372"/>
      <c r="D195" s="372"/>
      <c r="E195" s="372"/>
      <c r="F195" s="320"/>
      <c r="G195" s="372">
        <f>$G$5</f>
        <v>2019</v>
      </c>
      <c r="H195" s="372"/>
      <c r="I195" s="372"/>
      <c r="J195" s="372"/>
      <c r="K195" s="320"/>
      <c r="L195" s="372">
        <f>$L$5</f>
        <v>2020</v>
      </c>
      <c r="M195" s="372"/>
      <c r="N195" s="372"/>
      <c r="O195" s="372"/>
      <c r="P195" s="318"/>
      <c r="Q195" s="372">
        <f>$Q$5</f>
        <v>2025</v>
      </c>
      <c r="R195" s="372"/>
      <c r="S195" s="372"/>
      <c r="T195" s="372"/>
      <c r="U195" s="320"/>
      <c r="V195" s="372">
        <f>$V$5</f>
        <v>2035</v>
      </c>
      <c r="W195" s="372"/>
      <c r="X195" s="372"/>
      <c r="Y195" s="372"/>
    </row>
    <row r="196" spans="1:25" ht="12.45" x14ac:dyDescent="0.3">
      <c r="A196" s="264"/>
      <c r="B196" s="268" t="str">
        <f>$B$6</f>
        <v>FT</v>
      </c>
      <c r="C196" s="268" t="str">
        <f>$C$6</f>
        <v>PT</v>
      </c>
      <c r="D196" s="268" t="str">
        <f>$D$6</f>
        <v>SE</v>
      </c>
      <c r="E196" s="268" t="str">
        <f>$E$6</f>
        <v>Total</v>
      </c>
      <c r="F196" s="268"/>
      <c r="G196" s="268" t="str">
        <f>$B$6</f>
        <v>FT</v>
      </c>
      <c r="H196" s="268" t="str">
        <f>$C$6</f>
        <v>PT</v>
      </c>
      <c r="I196" s="268" t="str">
        <f>$D$6</f>
        <v>SE</v>
      </c>
      <c r="J196" s="268" t="str">
        <f>$E$6</f>
        <v>Total</v>
      </c>
      <c r="K196" s="268"/>
      <c r="L196" s="268" t="str">
        <f>$L$6</f>
        <v>FT</v>
      </c>
      <c r="M196" s="268" t="str">
        <f>$M$6</f>
        <v>PT</v>
      </c>
      <c r="N196" s="268" t="str">
        <f>$N$6</f>
        <v>SE</v>
      </c>
      <c r="O196" s="268" t="str">
        <f>$O$6</f>
        <v>Total</v>
      </c>
      <c r="P196" s="268"/>
      <c r="Q196" s="268" t="str">
        <f>$L$6</f>
        <v>FT</v>
      </c>
      <c r="R196" s="268" t="str">
        <f>$M$6</f>
        <v>PT</v>
      </c>
      <c r="S196" s="268" t="str">
        <f>$N$6</f>
        <v>SE</v>
      </c>
      <c r="T196" s="268" t="str">
        <f>$O$6</f>
        <v>Total</v>
      </c>
      <c r="U196" s="268"/>
      <c r="V196" s="268" t="str">
        <f>$V$6</f>
        <v>FT</v>
      </c>
      <c r="W196" s="268" t="str">
        <f>$W$6</f>
        <v>PT</v>
      </c>
      <c r="X196" s="268" t="str">
        <f>$X$6</f>
        <v>SE</v>
      </c>
      <c r="Y196" s="268" t="str">
        <f>$Y$6</f>
        <v>Total</v>
      </c>
    </row>
    <row r="197" spans="1:25" ht="12.45" x14ac:dyDescent="0.3">
      <c r="C197" s="319"/>
      <c r="D197" s="319"/>
      <c r="E197" s="319"/>
      <c r="F197" s="319"/>
      <c r="G197" s="319"/>
      <c r="H197" s="319"/>
      <c r="I197" s="319"/>
      <c r="J197" s="319"/>
      <c r="K197" s="319"/>
      <c r="L197" s="319"/>
      <c r="M197" s="319"/>
      <c r="N197" s="319"/>
      <c r="O197" s="319"/>
      <c r="P197" s="319"/>
      <c r="Q197" s="319"/>
      <c r="R197" s="319"/>
      <c r="S197" s="319"/>
      <c r="T197" s="319"/>
      <c r="U197" s="319"/>
      <c r="V197" s="319"/>
      <c r="W197" s="319"/>
      <c r="X197" s="319"/>
      <c r="Y197" s="319"/>
    </row>
    <row r="198" spans="1:25" ht="12.45" x14ac:dyDescent="0.3">
      <c r="A198" s="261" t="str">
        <f>name!A31</f>
        <v>Construction</v>
      </c>
      <c r="C198" s="263"/>
    </row>
    <row r="199" spans="1:25" ht="12.45" x14ac:dyDescent="0.3">
      <c r="A199" s="260" t="s">
        <v>356</v>
      </c>
      <c r="B199" s="300">
        <v>68.217999999312937</v>
      </c>
      <c r="C199" s="300">
        <v>35.230000000387555</v>
      </c>
      <c r="D199" s="300">
        <v>13.577000000262796</v>
      </c>
      <c r="E199" s="300">
        <f>SUM(B199:D199)</f>
        <v>117.0249999999633</v>
      </c>
      <c r="F199" s="300"/>
      <c r="G199" s="300">
        <v>90.546999998711641</v>
      </c>
      <c r="H199" s="300">
        <v>36.12700000037821</v>
      </c>
      <c r="I199" s="300">
        <v>20.757000000450841</v>
      </c>
      <c r="J199" s="300">
        <f>SUM(G199:I199)</f>
        <v>147.43099999954069</v>
      </c>
      <c r="K199" s="300"/>
      <c r="L199" s="300">
        <v>91.856999998958656</v>
      </c>
      <c r="M199" s="300">
        <v>38.724000000146475</v>
      </c>
      <c r="N199" s="300">
        <v>23.965999999738287</v>
      </c>
      <c r="O199" s="300">
        <f>SUM(L199:N199)</f>
        <v>154.54699999884343</v>
      </c>
      <c r="P199" s="300"/>
      <c r="Q199" s="300">
        <v>97.238000001911587</v>
      </c>
      <c r="R199" s="300">
        <v>41.446000000396822</v>
      </c>
      <c r="S199" s="300">
        <v>25.107000000011343</v>
      </c>
      <c r="T199" s="300">
        <f>SUM(Q199:S199)</f>
        <v>163.79100000231975</v>
      </c>
      <c r="U199" s="300"/>
      <c r="V199" s="300">
        <v>106.62700000054137</v>
      </c>
      <c r="W199" s="300">
        <v>46.105999999670452</v>
      </c>
      <c r="X199" s="300">
        <v>28.091000000019118</v>
      </c>
      <c r="Y199" s="300">
        <f>SUM(V199:X199)</f>
        <v>180.82400000023094</v>
      </c>
    </row>
    <row r="200" spans="1:25" ht="12.45" x14ac:dyDescent="0.3">
      <c r="A200" s="260" t="s">
        <v>355</v>
      </c>
      <c r="B200" s="300">
        <v>300.78600000103035</v>
      </c>
      <c r="C200" s="300">
        <v>18.090000000167336</v>
      </c>
      <c r="D200" s="300">
        <v>219.50699999333577</v>
      </c>
      <c r="E200" s="300">
        <f t="shared" ref="E200:E201" si="501">SUM(B200:D200)</f>
        <v>538.38299999453341</v>
      </c>
      <c r="F200" s="300"/>
      <c r="G200" s="300">
        <v>352.18900000124097</v>
      </c>
      <c r="H200" s="300">
        <v>17.255000000156542</v>
      </c>
      <c r="I200" s="300">
        <v>239.08200000616685</v>
      </c>
      <c r="J200" s="300">
        <f t="shared" ref="J200:J201" si="502">SUM(G200:I200)</f>
        <v>608.52600000756433</v>
      </c>
      <c r="K200" s="300"/>
      <c r="L200" s="300">
        <v>347.20499999902273</v>
      </c>
      <c r="M200" s="300">
        <v>26.895999999934372</v>
      </c>
      <c r="N200" s="300">
        <v>228.29699999144651</v>
      </c>
      <c r="O200" s="300">
        <f t="shared" ref="O200:O201" si="503">SUM(L200:N200)</f>
        <v>602.3979999904036</v>
      </c>
      <c r="P200" s="300"/>
      <c r="Q200" s="300">
        <v>359.15400000069019</v>
      </c>
      <c r="R200" s="300">
        <v>28.927999999946202</v>
      </c>
      <c r="S200" s="300">
        <v>242.36999997544632</v>
      </c>
      <c r="T200" s="300">
        <f t="shared" ref="T200:T201" si="504">SUM(Q200:S200)</f>
        <v>630.45199997608279</v>
      </c>
      <c r="U200" s="300"/>
      <c r="V200" s="300">
        <v>374.06000000124101</v>
      </c>
      <c r="W200" s="300">
        <v>32.525999999874784</v>
      </c>
      <c r="X200" s="300">
        <v>266.92299998160348</v>
      </c>
      <c r="Y200" s="300">
        <f t="shared" ref="Y200:Y201" si="505">SUM(V200:X200)</f>
        <v>673.50899998271927</v>
      </c>
    </row>
    <row r="201" spans="1:25" ht="12.45" x14ac:dyDescent="0.3">
      <c r="A201" s="260" t="s">
        <v>354</v>
      </c>
      <c r="B201" s="300">
        <f>SUM(B199:B200)</f>
        <v>369.0040000003433</v>
      </c>
      <c r="C201" s="300">
        <f t="shared" ref="C201" si="506">SUM(C199:C200)</f>
        <v>53.320000000554892</v>
      </c>
      <c r="D201" s="300">
        <f t="shared" ref="D201" si="507">SUM(D199:D200)</f>
        <v>233.08399999359855</v>
      </c>
      <c r="E201" s="300">
        <f t="shared" si="501"/>
        <v>655.40799999449678</v>
      </c>
      <c r="F201" s="300"/>
      <c r="G201" s="300">
        <f>SUM(G199:G200)</f>
        <v>442.73599999995258</v>
      </c>
      <c r="H201" s="300">
        <f t="shared" ref="H201" si="508">SUM(H199:H200)</f>
        <v>53.382000000534752</v>
      </c>
      <c r="I201" s="300">
        <f t="shared" ref="I201" si="509">SUM(I199:I200)</f>
        <v>259.83900000661771</v>
      </c>
      <c r="J201" s="300">
        <f t="shared" si="502"/>
        <v>755.95700000710508</v>
      </c>
      <c r="K201" s="300"/>
      <c r="L201" s="300">
        <f>SUM(L199:L200)</f>
        <v>439.06199999798139</v>
      </c>
      <c r="M201" s="300">
        <f t="shared" ref="M201" si="510">SUM(M199:M200)</f>
        <v>65.62000000008085</v>
      </c>
      <c r="N201" s="300">
        <f t="shared" ref="N201" si="511">SUM(N199:N200)</f>
        <v>252.26299999118481</v>
      </c>
      <c r="O201" s="300">
        <f t="shared" si="503"/>
        <v>756.94499998924698</v>
      </c>
      <c r="P201" s="300"/>
      <c r="Q201" s="300">
        <f>SUM(Q199:Q200)</f>
        <v>456.39200000260178</v>
      </c>
      <c r="R201" s="300">
        <f t="shared" ref="R201" si="512">SUM(R199:R200)</f>
        <v>70.374000000343017</v>
      </c>
      <c r="S201" s="300">
        <f t="shared" ref="S201" si="513">SUM(S199:S200)</f>
        <v>267.47699997545766</v>
      </c>
      <c r="T201" s="300">
        <f t="shared" si="504"/>
        <v>794.24299997840239</v>
      </c>
      <c r="U201" s="300"/>
      <c r="V201" s="300">
        <f>SUM(V199:V200)</f>
        <v>480.68700000178239</v>
      </c>
      <c r="W201" s="300">
        <f t="shared" ref="W201" si="514">SUM(W199:W200)</f>
        <v>78.631999999545229</v>
      </c>
      <c r="X201" s="300">
        <f t="shared" ref="X201" si="515">SUM(X199:X200)</f>
        <v>295.01399998162259</v>
      </c>
      <c r="Y201" s="300">
        <f t="shared" si="505"/>
        <v>854.33299998295024</v>
      </c>
    </row>
    <row r="202" spans="1:25" ht="12.45" x14ac:dyDescent="0.3">
      <c r="C202" s="319"/>
      <c r="D202" s="319"/>
      <c r="E202" s="319"/>
      <c r="F202" s="319"/>
      <c r="G202" s="319"/>
      <c r="H202" s="319"/>
      <c r="I202" s="319"/>
      <c r="J202" s="319"/>
      <c r="K202" s="319"/>
      <c r="L202" s="319"/>
      <c r="M202" s="319"/>
      <c r="N202" s="319"/>
      <c r="O202" s="319"/>
      <c r="P202" s="319"/>
      <c r="Q202" s="319"/>
      <c r="R202" s="319"/>
      <c r="S202" s="319"/>
      <c r="T202" s="319"/>
      <c r="U202" s="319"/>
      <c r="V202" s="319"/>
      <c r="W202" s="319"/>
      <c r="X202" s="319"/>
      <c r="Y202" s="319"/>
    </row>
    <row r="203" spans="1:25" ht="12.45" x14ac:dyDescent="0.3">
      <c r="A203" s="261" t="str">
        <f>name!A32</f>
        <v>Civil engineering</v>
      </c>
      <c r="C203" s="263"/>
    </row>
    <row r="204" spans="1:25" ht="12.45" x14ac:dyDescent="0.3">
      <c r="A204" s="260" t="s">
        <v>356</v>
      </c>
      <c r="B204" s="300">
        <v>13.779999999853882</v>
      </c>
      <c r="C204" s="300">
        <v>9.6220000001077519</v>
      </c>
      <c r="D204" s="300">
        <v>3.0390000000607102</v>
      </c>
      <c r="E204" s="300">
        <f>SUM(B204:D204)</f>
        <v>26.441000000022342</v>
      </c>
      <c r="F204" s="300"/>
      <c r="G204" s="300">
        <v>16.230999999777442</v>
      </c>
      <c r="H204" s="300">
        <v>9.4750000000838757</v>
      </c>
      <c r="I204" s="300">
        <v>4.3850000000850713</v>
      </c>
      <c r="J204" s="300">
        <f>SUM(G204:I204)</f>
        <v>30.090999999946391</v>
      </c>
      <c r="K204" s="300"/>
      <c r="L204" s="300">
        <v>16.550999999798414</v>
      </c>
      <c r="M204" s="300">
        <v>10.213000000070636</v>
      </c>
      <c r="N204" s="300">
        <v>1.9689999999799777</v>
      </c>
      <c r="O204" s="300">
        <f>SUM(L204:N204)</f>
        <v>28.732999999849028</v>
      </c>
      <c r="P204" s="300"/>
      <c r="Q204" s="300">
        <v>17.172000000361852</v>
      </c>
      <c r="R204" s="300">
        <v>10.638000000144125</v>
      </c>
      <c r="S204" s="300">
        <v>2.3950000000025269</v>
      </c>
      <c r="T204" s="300">
        <f>SUM(Q204:S204)</f>
        <v>30.205000000508502</v>
      </c>
      <c r="U204" s="300"/>
      <c r="V204" s="300">
        <v>18.463000000124751</v>
      </c>
      <c r="W204" s="300">
        <v>11.51999999994748</v>
      </c>
      <c r="X204" s="300">
        <v>3.2100000000025775</v>
      </c>
      <c r="Y204" s="300">
        <f>SUM(V204:X204)</f>
        <v>33.193000000074811</v>
      </c>
    </row>
    <row r="205" spans="1:25" ht="12.45" x14ac:dyDescent="0.3">
      <c r="A205" s="260" t="s">
        <v>355</v>
      </c>
      <c r="B205" s="300">
        <v>151.55000000051149</v>
      </c>
      <c r="C205" s="300">
        <v>5.5200000000404694</v>
      </c>
      <c r="D205" s="300">
        <v>114.68799999646053</v>
      </c>
      <c r="E205" s="300">
        <f t="shared" ref="E205:E206" si="516">SUM(B205:D205)</f>
        <v>271.75799999701252</v>
      </c>
      <c r="F205" s="300"/>
      <c r="G205" s="300">
        <v>164.4630000005065</v>
      </c>
      <c r="H205" s="300">
        <v>5.5650000000353961</v>
      </c>
      <c r="I205" s="300">
        <v>114.35100000284937</v>
      </c>
      <c r="J205" s="300">
        <f t="shared" ref="J205:J206" si="517">SUM(G205:I205)</f>
        <v>284.37900000339124</v>
      </c>
      <c r="K205" s="300"/>
      <c r="L205" s="300">
        <v>161.74099999979796</v>
      </c>
      <c r="M205" s="300">
        <v>9.003000000002114</v>
      </c>
      <c r="N205" s="300">
        <v>110.56399999620308</v>
      </c>
      <c r="O205" s="300">
        <f t="shared" ref="O205:O206" si="518">SUM(L205:N205)</f>
        <v>281.30799999600316</v>
      </c>
      <c r="P205" s="300"/>
      <c r="Q205" s="300">
        <v>165.90100000069572</v>
      </c>
      <c r="R205" s="300">
        <v>9.4170000000213001</v>
      </c>
      <c r="S205" s="300">
        <v>116.38599998872701</v>
      </c>
      <c r="T205" s="300">
        <f t="shared" ref="T205:T206" si="519">SUM(Q205:S205)</f>
        <v>291.70399998944401</v>
      </c>
      <c r="U205" s="300"/>
      <c r="V205" s="300">
        <v>171.24000000091908</v>
      </c>
      <c r="W205" s="300">
        <v>10.291000000009923</v>
      </c>
      <c r="X205" s="300">
        <v>127.04399999177753</v>
      </c>
      <c r="Y205" s="300">
        <f t="shared" ref="Y205:Y206" si="520">SUM(V205:X205)</f>
        <v>308.57499999270652</v>
      </c>
    </row>
    <row r="206" spans="1:25" ht="12.45" x14ac:dyDescent="0.3">
      <c r="A206" s="260" t="s">
        <v>354</v>
      </c>
      <c r="B206" s="300">
        <f>SUM(B204:B205)</f>
        <v>165.33000000036537</v>
      </c>
      <c r="C206" s="300">
        <f t="shared" ref="C206" si="521">SUM(C204:C205)</f>
        <v>15.142000000148222</v>
      </c>
      <c r="D206" s="300">
        <f t="shared" ref="D206" si="522">SUM(D204:D205)</f>
        <v>117.72699999652124</v>
      </c>
      <c r="E206" s="300">
        <f t="shared" si="516"/>
        <v>298.19899999703483</v>
      </c>
      <c r="F206" s="300"/>
      <c r="G206" s="300">
        <f>SUM(G204:G205)</f>
        <v>180.69400000028395</v>
      </c>
      <c r="H206" s="300">
        <f t="shared" ref="H206" si="523">SUM(H204:H205)</f>
        <v>15.040000000119271</v>
      </c>
      <c r="I206" s="300">
        <f t="shared" ref="I206" si="524">SUM(I204:I205)</f>
        <v>118.73600000293445</v>
      </c>
      <c r="J206" s="300">
        <f t="shared" si="517"/>
        <v>314.47000000333765</v>
      </c>
      <c r="K206" s="300"/>
      <c r="L206" s="300">
        <f>SUM(L204:L205)</f>
        <v>178.29199999959638</v>
      </c>
      <c r="M206" s="300">
        <f t="shared" ref="M206" si="525">SUM(M204:M205)</f>
        <v>19.21600000007275</v>
      </c>
      <c r="N206" s="300">
        <f t="shared" ref="N206" si="526">SUM(N204:N205)</f>
        <v>112.53299999618305</v>
      </c>
      <c r="O206" s="300">
        <f t="shared" si="518"/>
        <v>310.04099999585219</v>
      </c>
      <c r="P206" s="300"/>
      <c r="Q206" s="300">
        <f>SUM(Q204:Q205)</f>
        <v>183.07300000105758</v>
      </c>
      <c r="R206" s="300">
        <f t="shared" ref="R206" si="527">SUM(R204:R205)</f>
        <v>20.055000000165425</v>
      </c>
      <c r="S206" s="300">
        <f t="shared" ref="S206" si="528">SUM(S204:S205)</f>
        <v>118.78099998872953</v>
      </c>
      <c r="T206" s="300">
        <f t="shared" si="519"/>
        <v>321.90899998995252</v>
      </c>
      <c r="U206" s="300"/>
      <c r="V206" s="300">
        <f>SUM(V204:V205)</f>
        <v>189.70300000104385</v>
      </c>
      <c r="W206" s="300">
        <f t="shared" ref="W206" si="529">SUM(W204:W205)</f>
        <v>21.810999999957403</v>
      </c>
      <c r="X206" s="300">
        <f t="shared" ref="X206" si="530">SUM(X204:X205)</f>
        <v>130.25399999178009</v>
      </c>
      <c r="Y206" s="300">
        <f t="shared" si="520"/>
        <v>341.76799999278137</v>
      </c>
    </row>
    <row r="207" spans="1:25" ht="12.45" x14ac:dyDescent="0.3">
      <c r="C207" s="319"/>
      <c r="D207" s="319"/>
      <c r="E207" s="319"/>
      <c r="F207" s="319"/>
      <c r="G207" s="319"/>
      <c r="H207" s="319"/>
      <c r="I207" s="319"/>
      <c r="J207" s="319"/>
      <c r="K207" s="319"/>
      <c r="L207" s="319"/>
      <c r="M207" s="319"/>
      <c r="N207" s="319"/>
      <c r="O207" s="319"/>
      <c r="P207" s="319"/>
      <c r="Q207" s="319"/>
      <c r="R207" s="319"/>
      <c r="S207" s="319"/>
      <c r="T207" s="319"/>
      <c r="U207" s="319"/>
      <c r="V207" s="319"/>
      <c r="W207" s="319"/>
      <c r="X207" s="319"/>
      <c r="Y207" s="319"/>
    </row>
    <row r="208" spans="1:25" ht="12.45" x14ac:dyDescent="0.3">
      <c r="A208" s="261" t="str">
        <f>name!A33</f>
        <v>Specialised construction</v>
      </c>
      <c r="C208" s="263"/>
    </row>
    <row r="209" spans="1:25" ht="12.45" x14ac:dyDescent="0.3">
      <c r="A209" s="260" t="s">
        <v>356</v>
      </c>
      <c r="B209" s="300">
        <v>69.587999999302539</v>
      </c>
      <c r="C209" s="300">
        <v>62.578000000617621</v>
      </c>
      <c r="D209" s="300">
        <v>16.406000000295748</v>
      </c>
      <c r="E209" s="300">
        <f>SUM(B209:D209)</f>
        <v>148.57200000021589</v>
      </c>
      <c r="F209" s="300"/>
      <c r="G209" s="300">
        <v>81.865999998922817</v>
      </c>
      <c r="H209" s="300">
        <v>72.164000000665126</v>
      </c>
      <c r="I209" s="300">
        <v>21.837000000424116</v>
      </c>
      <c r="J209" s="300">
        <f>SUM(G209:I209)</f>
        <v>175.86700000001207</v>
      </c>
      <c r="K209" s="300"/>
      <c r="L209" s="300">
        <v>82.729999999065441</v>
      </c>
      <c r="M209" s="300">
        <v>77.156000000433281</v>
      </c>
      <c r="N209" s="300">
        <v>14.025999999850397</v>
      </c>
      <c r="O209" s="300">
        <f>SUM(L209:N209)</f>
        <v>173.91199999934912</v>
      </c>
      <c r="P209" s="300"/>
      <c r="Q209" s="300">
        <v>86.421000001830464</v>
      </c>
      <c r="R209" s="300">
        <v>81.356000000853328</v>
      </c>
      <c r="S209" s="300">
        <v>14.998000000007339</v>
      </c>
      <c r="T209" s="300">
        <f>SUM(Q209:S209)</f>
        <v>182.77500000269114</v>
      </c>
      <c r="U209" s="300"/>
      <c r="V209" s="300">
        <v>93.499000000564024</v>
      </c>
      <c r="W209" s="300">
        <v>89.147999999424442</v>
      </c>
      <c r="X209" s="300">
        <v>16.484000000028558</v>
      </c>
      <c r="Y209" s="300">
        <f>SUM(V209:X209)</f>
        <v>199.13100000001702</v>
      </c>
    </row>
    <row r="210" spans="1:25" ht="12.45" x14ac:dyDescent="0.3">
      <c r="A210" s="260" t="s">
        <v>355</v>
      </c>
      <c r="B210" s="300">
        <v>576.50200000137625</v>
      </c>
      <c r="C210" s="300">
        <v>25.446000000195337</v>
      </c>
      <c r="D210" s="300">
        <v>417.78299998631837</v>
      </c>
      <c r="E210" s="300">
        <f t="shared" ref="E210:E211" si="531">SUM(B210:D210)</f>
        <v>1019.73099998789</v>
      </c>
      <c r="F210" s="300"/>
      <c r="G210" s="300">
        <v>611.83800000138501</v>
      </c>
      <c r="H210" s="300">
        <v>28.179000000205274</v>
      </c>
      <c r="I210" s="300">
        <v>447.22300001041833</v>
      </c>
      <c r="J210" s="300">
        <f t="shared" ref="J210:J211" si="532">SUM(G210:I210)</f>
        <v>1087.2400000120087</v>
      </c>
      <c r="K210" s="300"/>
      <c r="L210" s="300">
        <v>602.76699999889001</v>
      </c>
      <c r="M210" s="300">
        <v>45.157999999921628</v>
      </c>
      <c r="N210" s="300">
        <v>430.17399998458262</v>
      </c>
      <c r="O210" s="300">
        <f t="shared" ref="O210:O211" si="533">SUM(L210:N210)</f>
        <v>1078.0989999833944</v>
      </c>
      <c r="P210" s="300"/>
      <c r="Q210" s="300">
        <v>618.67600000175514</v>
      </c>
      <c r="R210" s="300">
        <v>48.017999999989847</v>
      </c>
      <c r="S210" s="300">
        <v>453.5209999550861</v>
      </c>
      <c r="T210" s="300">
        <f t="shared" ref="T210:T211" si="534">SUM(Q210:S210)</f>
        <v>1120.214999956831</v>
      </c>
      <c r="U210" s="300"/>
      <c r="V210" s="300">
        <v>638.84500000292167</v>
      </c>
      <c r="W210" s="300">
        <v>53.317999999937143</v>
      </c>
      <c r="X210" s="300">
        <v>495.65799996746972</v>
      </c>
      <c r="Y210" s="300">
        <f t="shared" ref="Y210:Y211" si="535">SUM(V210:X210)</f>
        <v>1187.8209999703286</v>
      </c>
    </row>
    <row r="211" spans="1:25" ht="12.45" x14ac:dyDescent="0.3">
      <c r="A211" s="260" t="s">
        <v>354</v>
      </c>
      <c r="B211" s="300">
        <f>SUM(B209:B210)</f>
        <v>646.09000000067874</v>
      </c>
      <c r="C211" s="300">
        <f t="shared" ref="C211" si="536">SUM(C209:C210)</f>
        <v>88.024000000812961</v>
      </c>
      <c r="D211" s="300">
        <f t="shared" ref="D211" si="537">SUM(D209:D210)</f>
        <v>434.18899998661414</v>
      </c>
      <c r="E211" s="300">
        <f t="shared" si="531"/>
        <v>1168.302999988106</v>
      </c>
      <c r="F211" s="300"/>
      <c r="G211" s="300">
        <f>SUM(G209:G210)</f>
        <v>693.70400000030781</v>
      </c>
      <c r="H211" s="300">
        <f t="shared" ref="H211" si="538">SUM(H209:H210)</f>
        <v>100.3430000008704</v>
      </c>
      <c r="I211" s="300">
        <f t="shared" ref="I211" si="539">SUM(I209:I210)</f>
        <v>469.06000001084243</v>
      </c>
      <c r="J211" s="300">
        <f t="shared" si="532"/>
        <v>1263.1070000120208</v>
      </c>
      <c r="K211" s="300"/>
      <c r="L211" s="300">
        <f>SUM(L209:L210)</f>
        <v>685.49699999795541</v>
      </c>
      <c r="M211" s="300">
        <f t="shared" ref="M211" si="540">SUM(M209:M210)</f>
        <v>122.31400000035491</v>
      </c>
      <c r="N211" s="300">
        <f t="shared" ref="N211" si="541">SUM(N209:N210)</f>
        <v>444.19999998443302</v>
      </c>
      <c r="O211" s="300">
        <f t="shared" si="533"/>
        <v>1252.0109999827432</v>
      </c>
      <c r="P211" s="300"/>
      <c r="Q211" s="300">
        <f>SUM(Q209:Q210)</f>
        <v>705.09700000358566</v>
      </c>
      <c r="R211" s="300">
        <f t="shared" ref="R211" si="542">SUM(R209:R210)</f>
        <v>129.37400000084318</v>
      </c>
      <c r="S211" s="300">
        <f t="shared" ref="S211" si="543">SUM(S209:S210)</f>
        <v>468.51899995509342</v>
      </c>
      <c r="T211" s="300">
        <f t="shared" si="534"/>
        <v>1302.9899999595223</v>
      </c>
      <c r="U211" s="300"/>
      <c r="V211" s="300">
        <f>SUM(V209:V210)</f>
        <v>732.34400000348569</v>
      </c>
      <c r="W211" s="300">
        <f t="shared" ref="W211" si="544">SUM(W209:W210)</f>
        <v>142.4659999993616</v>
      </c>
      <c r="X211" s="300">
        <f t="shared" ref="X211" si="545">SUM(X209:X210)</f>
        <v>512.14199996749824</v>
      </c>
      <c r="Y211" s="300">
        <f t="shared" si="535"/>
        <v>1386.9519999703457</v>
      </c>
    </row>
    <row r="212" spans="1:25" ht="12.45" x14ac:dyDescent="0.3">
      <c r="C212" s="263"/>
    </row>
    <row r="213" spans="1:25" ht="12.45" x14ac:dyDescent="0.3">
      <c r="A213" s="261" t="s">
        <v>368</v>
      </c>
      <c r="C213" s="263"/>
    </row>
    <row r="214" spans="1:25" ht="12.45" x14ac:dyDescent="0.3">
      <c r="A214" s="260" t="s">
        <v>356</v>
      </c>
      <c r="B214" s="300">
        <f>SUM(B199,B204,B209)</f>
        <v>151.58599999846936</v>
      </c>
      <c r="C214" s="300">
        <f t="shared" ref="C214:D214" si="546">SUM(C199,C204,C209)</f>
        <v>107.43000000111293</v>
      </c>
      <c r="D214" s="300">
        <f t="shared" si="546"/>
        <v>33.022000000619258</v>
      </c>
      <c r="E214" s="300">
        <f>SUM(B214:D214)</f>
        <v>292.03800000020152</v>
      </c>
      <c r="F214" s="300"/>
      <c r="G214" s="300">
        <f>SUM(G199,G204,G209)</f>
        <v>188.6439999974119</v>
      </c>
      <c r="H214" s="300">
        <f t="shared" ref="H214:I214" si="547">SUM(H199,H204,H209)</f>
        <v>117.76600000112721</v>
      </c>
      <c r="I214" s="300">
        <f t="shared" si="547"/>
        <v>46.979000000960028</v>
      </c>
      <c r="J214" s="300">
        <f>SUM(G214:I214)</f>
        <v>353.38899999949911</v>
      </c>
      <c r="K214" s="300"/>
      <c r="L214" s="300">
        <f>SUM(L199,L204,L209)</f>
        <v>191.13799999782253</v>
      </c>
      <c r="M214" s="300">
        <f t="shared" ref="M214:N214" si="548">SUM(M199,M204,M209)</f>
        <v>126.09300000065039</v>
      </c>
      <c r="N214" s="300">
        <f t="shared" si="548"/>
        <v>39.960999999568664</v>
      </c>
      <c r="O214" s="300">
        <f>SUM(L214:N214)</f>
        <v>357.19199999804164</v>
      </c>
      <c r="P214" s="300"/>
      <c r="Q214" s="300">
        <f>SUM(Q199,Q204,Q209)</f>
        <v>200.83100000410388</v>
      </c>
      <c r="R214" s="300">
        <f t="shared" ref="R214:S214" si="549">SUM(R199,R204,R209)</f>
        <v>133.44000000139428</v>
      </c>
      <c r="S214" s="300">
        <f t="shared" si="549"/>
        <v>42.50000000002121</v>
      </c>
      <c r="T214" s="300">
        <f>SUM(Q214:S214)</f>
        <v>376.7710000055194</v>
      </c>
      <c r="U214" s="300"/>
      <c r="V214" s="300">
        <f>SUM(V199,V204,V209)</f>
        <v>218.58900000123015</v>
      </c>
      <c r="W214" s="300">
        <f t="shared" ref="W214:X214" si="550">SUM(W199,W204,W209)</f>
        <v>146.77399999904236</v>
      </c>
      <c r="X214" s="300">
        <f t="shared" si="550"/>
        <v>47.785000000050253</v>
      </c>
      <c r="Y214" s="300">
        <f>SUM(V214:X214)</f>
        <v>413.14800000032278</v>
      </c>
    </row>
    <row r="215" spans="1:25" ht="12.45" x14ac:dyDescent="0.3">
      <c r="A215" s="260" t="s">
        <v>355</v>
      </c>
      <c r="B215" s="300">
        <f>SUM(B200,B205,B210)</f>
        <v>1028.8380000029181</v>
      </c>
      <c r="C215" s="300">
        <f t="shared" ref="C215:D215" si="551">SUM(C200,C205,C210)</f>
        <v>49.056000000403145</v>
      </c>
      <c r="D215" s="300">
        <f t="shared" si="551"/>
        <v>751.97799997611469</v>
      </c>
      <c r="E215" s="300">
        <f t="shared" ref="E215:E216" si="552">SUM(B215:D215)</f>
        <v>1829.8719999794359</v>
      </c>
      <c r="F215" s="300"/>
      <c r="G215" s="300">
        <f>SUM(G200,G205,G210)</f>
        <v>1128.4900000031325</v>
      </c>
      <c r="H215" s="300">
        <f t="shared" ref="H215:I215" si="553">SUM(H200,H205,H210)</f>
        <v>50.999000000397217</v>
      </c>
      <c r="I215" s="300">
        <f t="shared" si="553"/>
        <v>800.65600001943449</v>
      </c>
      <c r="J215" s="300">
        <f t="shared" ref="J215:J216" si="554">SUM(G215:I215)</f>
        <v>1980.1450000229643</v>
      </c>
      <c r="K215" s="300"/>
      <c r="L215" s="300">
        <f>SUM(L200,L205,L210)</f>
        <v>1111.7129999977108</v>
      </c>
      <c r="M215" s="300">
        <f t="shared" ref="M215:N215" si="555">SUM(M200,M205,M210)</f>
        <v>81.056999999858107</v>
      </c>
      <c r="N215" s="300">
        <f t="shared" si="555"/>
        <v>769.0349999722323</v>
      </c>
      <c r="O215" s="300">
        <f t="shared" ref="O215:O216" si="556">SUM(L215:N215)</f>
        <v>1961.8049999698012</v>
      </c>
      <c r="P215" s="300"/>
      <c r="Q215" s="300">
        <f>SUM(Q200,Q205,Q210)</f>
        <v>1143.7310000031412</v>
      </c>
      <c r="R215" s="300">
        <f t="shared" ref="R215:S215" si="557">SUM(R200,R205,R210)</f>
        <v>86.362999999957339</v>
      </c>
      <c r="S215" s="300">
        <f t="shared" si="557"/>
        <v>812.27699991925942</v>
      </c>
      <c r="T215" s="300">
        <f t="shared" ref="T215:T216" si="558">SUM(Q215:S215)</f>
        <v>2042.3709999223579</v>
      </c>
      <c r="U215" s="300"/>
      <c r="V215" s="300">
        <f>SUM(V200,V205,V210)</f>
        <v>1184.1450000050818</v>
      </c>
      <c r="W215" s="300">
        <f t="shared" ref="W215:X215" si="559">SUM(W200,W205,W210)</f>
        <v>96.134999999821844</v>
      </c>
      <c r="X215" s="300">
        <f t="shared" si="559"/>
        <v>889.62499994085078</v>
      </c>
      <c r="Y215" s="300">
        <f t="shared" ref="Y215:Y216" si="560">SUM(V215:X215)</f>
        <v>2169.9049999457548</v>
      </c>
    </row>
    <row r="216" spans="1:25" ht="12.45" x14ac:dyDescent="0.3">
      <c r="A216" s="264" t="s">
        <v>354</v>
      </c>
      <c r="B216" s="301">
        <f>SUM(B214:B215)</f>
        <v>1180.4240000013874</v>
      </c>
      <c r="C216" s="301">
        <f t="shared" ref="C216" si="561">SUM(C214:C215)</f>
        <v>156.48600000151606</v>
      </c>
      <c r="D216" s="301">
        <f t="shared" ref="D216" si="562">SUM(D214:D215)</f>
        <v>784.99999997673399</v>
      </c>
      <c r="E216" s="301">
        <f t="shared" si="552"/>
        <v>2121.9099999796372</v>
      </c>
      <c r="F216" s="301"/>
      <c r="G216" s="301">
        <f>SUM(G214:G215)</f>
        <v>1317.1340000005443</v>
      </c>
      <c r="H216" s="301">
        <f t="shared" ref="H216" si="563">SUM(H214:H215)</f>
        <v>168.76500000152441</v>
      </c>
      <c r="I216" s="301">
        <f t="shared" ref="I216" si="564">SUM(I214:I215)</f>
        <v>847.6350000203945</v>
      </c>
      <c r="J216" s="301">
        <f t="shared" si="554"/>
        <v>2333.5340000224633</v>
      </c>
      <c r="K216" s="301"/>
      <c r="L216" s="301">
        <f>SUM(L214:L215)</f>
        <v>1302.8509999955334</v>
      </c>
      <c r="M216" s="301">
        <f t="shared" ref="M216" si="565">SUM(M214:M215)</f>
        <v>207.1500000005085</v>
      </c>
      <c r="N216" s="301">
        <f t="shared" ref="N216" si="566">SUM(N214:N215)</f>
        <v>808.99599997180098</v>
      </c>
      <c r="O216" s="301">
        <f t="shared" si="556"/>
        <v>2318.9969999678428</v>
      </c>
      <c r="P216" s="301"/>
      <c r="Q216" s="301">
        <f>SUM(Q214:Q215)</f>
        <v>1344.5620000072449</v>
      </c>
      <c r="R216" s="301">
        <f t="shared" ref="R216" si="567">SUM(R214:R215)</f>
        <v>219.80300000135162</v>
      </c>
      <c r="S216" s="301">
        <f t="shared" ref="S216" si="568">SUM(S214:S215)</f>
        <v>854.77699991928068</v>
      </c>
      <c r="T216" s="301">
        <f t="shared" si="558"/>
        <v>2419.1419999278774</v>
      </c>
      <c r="U216" s="301"/>
      <c r="V216" s="301">
        <f>SUM(V214:V215)</f>
        <v>1402.7340000063118</v>
      </c>
      <c r="W216" s="301">
        <f t="shared" ref="W216" si="569">SUM(W214:W215)</f>
        <v>242.9089999988642</v>
      </c>
      <c r="X216" s="301">
        <f t="shared" ref="X216" si="570">SUM(X214:X215)</f>
        <v>937.409999940901</v>
      </c>
      <c r="Y216" s="301">
        <f t="shared" si="560"/>
        <v>2583.0529999460769</v>
      </c>
    </row>
    <row r="217" spans="1:25" ht="12.45" x14ac:dyDescent="0.3">
      <c r="C217" s="263"/>
    </row>
    <row r="218" spans="1:25" ht="12.45" x14ac:dyDescent="0.3">
      <c r="C218" s="263"/>
    </row>
    <row r="219" spans="1:25" ht="12.45" x14ac:dyDescent="0.3">
      <c r="C219" s="263"/>
    </row>
    <row r="220" spans="1:25" ht="14.15" x14ac:dyDescent="0.35">
      <c r="A220" s="265" t="str">
        <f>"Industry 9 : "&amp; name!B12</f>
        <v>Industry 9 : Wholesale and retail trade</v>
      </c>
      <c r="B220" s="372">
        <f>$B$5</f>
        <v>2015</v>
      </c>
      <c r="C220" s="372"/>
      <c r="D220" s="372"/>
      <c r="E220" s="372"/>
      <c r="F220" s="320"/>
      <c r="G220" s="372">
        <f>$G$5</f>
        <v>2019</v>
      </c>
      <c r="H220" s="372"/>
      <c r="I220" s="372"/>
      <c r="J220" s="372"/>
      <c r="K220" s="320"/>
      <c r="L220" s="372">
        <f>$L$5</f>
        <v>2020</v>
      </c>
      <c r="M220" s="372"/>
      <c r="N220" s="372"/>
      <c r="O220" s="372"/>
      <c r="P220" s="318"/>
      <c r="Q220" s="372">
        <f>$Q$5</f>
        <v>2025</v>
      </c>
      <c r="R220" s="372"/>
      <c r="S220" s="372"/>
      <c r="T220" s="372"/>
      <c r="U220" s="320"/>
      <c r="V220" s="372">
        <f>$V$5</f>
        <v>2035</v>
      </c>
      <c r="W220" s="372"/>
      <c r="X220" s="372"/>
      <c r="Y220" s="372"/>
    </row>
    <row r="221" spans="1:25" ht="12.45" x14ac:dyDescent="0.3">
      <c r="A221" s="264"/>
      <c r="B221" s="268" t="str">
        <f>$B$6</f>
        <v>FT</v>
      </c>
      <c r="C221" s="268" t="str">
        <f>$C$6</f>
        <v>PT</v>
      </c>
      <c r="D221" s="268" t="str">
        <f>$D$6</f>
        <v>SE</v>
      </c>
      <c r="E221" s="268" t="str">
        <f>$E$6</f>
        <v>Total</v>
      </c>
      <c r="F221" s="268"/>
      <c r="G221" s="268" t="str">
        <f>$B$6</f>
        <v>FT</v>
      </c>
      <c r="H221" s="268" t="str">
        <f>$C$6</f>
        <v>PT</v>
      </c>
      <c r="I221" s="268" t="str">
        <f>$D$6</f>
        <v>SE</v>
      </c>
      <c r="J221" s="268" t="str">
        <f>$E$6</f>
        <v>Total</v>
      </c>
      <c r="K221" s="268"/>
      <c r="L221" s="268" t="str">
        <f>$L$6</f>
        <v>FT</v>
      </c>
      <c r="M221" s="268" t="str">
        <f>$M$6</f>
        <v>PT</v>
      </c>
      <c r="N221" s="268" t="str">
        <f>$N$6</f>
        <v>SE</v>
      </c>
      <c r="O221" s="268" t="str">
        <f>$O$6</f>
        <v>Total</v>
      </c>
      <c r="P221" s="268"/>
      <c r="Q221" s="268" t="str">
        <f>$L$6</f>
        <v>FT</v>
      </c>
      <c r="R221" s="268" t="str">
        <f>$M$6</f>
        <v>PT</v>
      </c>
      <c r="S221" s="268" t="str">
        <f>$N$6</f>
        <v>SE</v>
      </c>
      <c r="T221" s="268" t="str">
        <f>$O$6</f>
        <v>Total</v>
      </c>
      <c r="U221" s="268"/>
      <c r="V221" s="268" t="str">
        <f>$V$6</f>
        <v>FT</v>
      </c>
      <c r="W221" s="268" t="str">
        <f>$W$6</f>
        <v>PT</v>
      </c>
      <c r="X221" s="268" t="str">
        <f>$X$6</f>
        <v>SE</v>
      </c>
      <c r="Y221" s="268" t="str">
        <f>$Y$6</f>
        <v>Total</v>
      </c>
    </row>
    <row r="222" spans="1:25" ht="12.45" x14ac:dyDescent="0.3">
      <c r="C222" s="319"/>
      <c r="D222" s="319"/>
      <c r="E222" s="319"/>
      <c r="F222" s="319"/>
      <c r="G222" s="319"/>
      <c r="H222" s="319"/>
      <c r="I222" s="319"/>
      <c r="J222" s="319"/>
      <c r="K222" s="319"/>
      <c r="L222" s="319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319"/>
      <c r="X222" s="319"/>
      <c r="Y222" s="319"/>
    </row>
    <row r="223" spans="1:25" ht="12.45" x14ac:dyDescent="0.3">
      <c r="A223" s="261" t="str">
        <f>name!A34</f>
        <v>Motor vehicle trade</v>
      </c>
      <c r="C223" s="263"/>
    </row>
    <row r="224" spans="1:25" ht="12.45" x14ac:dyDescent="0.3">
      <c r="A224" s="260" t="s">
        <v>356</v>
      </c>
      <c r="B224" s="300">
        <v>68.995000000084829</v>
      </c>
      <c r="C224" s="300">
        <v>32.999000001045282</v>
      </c>
      <c r="D224" s="300">
        <v>4.9250000000683558</v>
      </c>
      <c r="E224" s="300">
        <f>SUM(B224:D224)</f>
        <v>106.91900000119846</v>
      </c>
      <c r="F224" s="300"/>
      <c r="G224" s="300">
        <v>72.994999999808613</v>
      </c>
      <c r="H224" s="300">
        <v>43.999000001126475</v>
      </c>
      <c r="I224" s="300">
        <v>8.9960000001094134</v>
      </c>
      <c r="J224" s="300">
        <f>SUM(G224:I224)</f>
        <v>125.99000000104451</v>
      </c>
      <c r="K224" s="300"/>
      <c r="L224" s="300">
        <v>72.9999999996611</v>
      </c>
      <c r="M224" s="300">
        <v>41.000000000899838</v>
      </c>
      <c r="N224" s="300">
        <v>7.8679999999093884</v>
      </c>
      <c r="O224" s="300">
        <f>SUM(L224:N224)</f>
        <v>121.86800000047032</v>
      </c>
      <c r="P224" s="300"/>
      <c r="Q224" s="300">
        <v>77.168000001218715</v>
      </c>
      <c r="R224" s="300">
        <v>39.555000001515921</v>
      </c>
      <c r="S224" s="300">
        <v>7.9429999999910139</v>
      </c>
      <c r="T224" s="300">
        <f>SUM(Q224:S224)</f>
        <v>124.66600000272565</v>
      </c>
      <c r="U224" s="300"/>
      <c r="V224" s="300">
        <v>84.841999999300683</v>
      </c>
      <c r="W224" s="300">
        <v>35.874999999520469</v>
      </c>
      <c r="X224" s="300">
        <v>7.9839999999799272</v>
      </c>
      <c r="Y224" s="300">
        <f>SUM(V224:X224)</f>
        <v>128.70099999880108</v>
      </c>
    </row>
    <row r="225" spans="1:25" ht="12.45" x14ac:dyDescent="0.3">
      <c r="A225" s="260" t="s">
        <v>355</v>
      </c>
      <c r="B225" s="300">
        <v>385.06200000158714</v>
      </c>
      <c r="C225" s="300">
        <v>36.910000000637382</v>
      </c>
      <c r="D225" s="300">
        <v>60.076000000332392</v>
      </c>
      <c r="E225" s="300">
        <f t="shared" ref="E225:E226" si="571">SUM(B225:D225)</f>
        <v>482.04800000255688</v>
      </c>
      <c r="F225" s="300"/>
      <c r="G225" s="300">
        <v>427.97200000135433</v>
      </c>
      <c r="H225" s="300">
        <v>34.998000000534915</v>
      </c>
      <c r="I225" s="300">
        <v>79.965000001282817</v>
      </c>
      <c r="J225" s="300">
        <f t="shared" ref="J225:J226" si="572">SUM(G225:I225)</f>
        <v>542.93500000317204</v>
      </c>
      <c r="K225" s="300"/>
      <c r="L225" s="300">
        <v>401.90199999995491</v>
      </c>
      <c r="M225" s="300">
        <v>44.098999999810104</v>
      </c>
      <c r="N225" s="300">
        <v>52.13099999976626</v>
      </c>
      <c r="O225" s="300">
        <f t="shared" ref="O225:O226" si="573">SUM(L225:N225)</f>
        <v>498.13199999953122</v>
      </c>
      <c r="P225" s="300"/>
      <c r="Q225" s="300">
        <v>412.58400000198014</v>
      </c>
      <c r="R225" s="300">
        <v>44.74800000002854</v>
      </c>
      <c r="S225" s="300">
        <v>53.635999999072688</v>
      </c>
      <c r="T225" s="300">
        <f t="shared" ref="T225:T226" si="574">SUM(Q225:S225)</f>
        <v>510.96800000108135</v>
      </c>
      <c r="U225" s="300"/>
      <c r="V225" s="300">
        <v>428.97500000290387</v>
      </c>
      <c r="W225" s="300">
        <v>45.440000000178728</v>
      </c>
      <c r="X225" s="300">
        <v>56.012999999789713</v>
      </c>
      <c r="Y225" s="300">
        <f t="shared" ref="Y225:Y226" si="575">SUM(V225:X225)</f>
        <v>530.4280000028723</v>
      </c>
    </row>
    <row r="226" spans="1:25" ht="12.45" x14ac:dyDescent="0.3">
      <c r="A226" s="260" t="s">
        <v>354</v>
      </c>
      <c r="B226" s="300">
        <f>SUM(B224:B225)</f>
        <v>454.05700000167195</v>
      </c>
      <c r="C226" s="300">
        <f t="shared" ref="C226" si="576">SUM(C224:C225)</f>
        <v>69.909000001682671</v>
      </c>
      <c r="D226" s="300">
        <f t="shared" ref="D226" si="577">SUM(D224:D225)</f>
        <v>65.001000000400751</v>
      </c>
      <c r="E226" s="300">
        <f t="shared" si="571"/>
        <v>588.96700000375529</v>
      </c>
      <c r="F226" s="300"/>
      <c r="G226" s="300">
        <f>SUM(G224:G225)</f>
        <v>500.96700000116294</v>
      </c>
      <c r="H226" s="300">
        <f t="shared" ref="H226" si="578">SUM(H224:H225)</f>
        <v>78.997000001661391</v>
      </c>
      <c r="I226" s="300">
        <f t="shared" ref="I226" si="579">SUM(I224:I225)</f>
        <v>88.961000001392236</v>
      </c>
      <c r="J226" s="300">
        <f t="shared" si="572"/>
        <v>668.9250000042166</v>
      </c>
      <c r="K226" s="300"/>
      <c r="L226" s="300">
        <f>SUM(L224:L225)</f>
        <v>474.90199999961601</v>
      </c>
      <c r="M226" s="300">
        <f t="shared" ref="M226" si="580">SUM(M224:M225)</f>
        <v>85.099000000709935</v>
      </c>
      <c r="N226" s="300">
        <f t="shared" ref="N226" si="581">SUM(N224:N225)</f>
        <v>59.998999999675647</v>
      </c>
      <c r="O226" s="300">
        <f t="shared" si="573"/>
        <v>620.00000000000159</v>
      </c>
      <c r="P226" s="300"/>
      <c r="Q226" s="300">
        <f>SUM(Q224:Q225)</f>
        <v>489.75200000319887</v>
      </c>
      <c r="R226" s="300">
        <f t="shared" ref="R226" si="582">SUM(R224:R225)</f>
        <v>84.303000001544461</v>
      </c>
      <c r="S226" s="300">
        <f t="shared" ref="S226" si="583">SUM(S224:S225)</f>
        <v>61.578999999063704</v>
      </c>
      <c r="T226" s="300">
        <f t="shared" si="574"/>
        <v>635.63400000380705</v>
      </c>
      <c r="U226" s="300"/>
      <c r="V226" s="300">
        <f>SUM(V224:V225)</f>
        <v>513.81700000220451</v>
      </c>
      <c r="W226" s="300">
        <f t="shared" ref="W226" si="584">SUM(W224:W225)</f>
        <v>81.314999999699197</v>
      </c>
      <c r="X226" s="300">
        <f t="shared" ref="X226" si="585">SUM(X224:X225)</f>
        <v>63.996999999769642</v>
      </c>
      <c r="Y226" s="300">
        <f t="shared" si="575"/>
        <v>659.12900000167338</v>
      </c>
    </row>
    <row r="227" spans="1:25" ht="12.45" x14ac:dyDescent="0.3">
      <c r="C227" s="319"/>
      <c r="D227" s="319"/>
      <c r="E227" s="319"/>
      <c r="F227" s="319"/>
      <c r="G227" s="319"/>
      <c r="H227" s="319"/>
      <c r="I227" s="319"/>
      <c r="J227" s="319"/>
      <c r="K227" s="319"/>
      <c r="L227" s="319"/>
      <c r="M227" s="319"/>
      <c r="N227" s="319"/>
      <c r="O227" s="319"/>
      <c r="P227" s="319"/>
      <c r="Q227" s="319"/>
      <c r="R227" s="319"/>
      <c r="S227" s="319"/>
      <c r="T227" s="319"/>
      <c r="U227" s="319"/>
      <c r="V227" s="319"/>
      <c r="W227" s="319"/>
      <c r="X227" s="319"/>
      <c r="Y227" s="319"/>
    </row>
    <row r="228" spans="1:25" ht="12.45" x14ac:dyDescent="0.3">
      <c r="A228" s="261" t="str">
        <f>name!A35</f>
        <v>Wholesale trade</v>
      </c>
      <c r="C228" s="263"/>
    </row>
    <row r="229" spans="1:25" ht="12.45" x14ac:dyDescent="0.3">
      <c r="A229" s="260" t="s">
        <v>356</v>
      </c>
      <c r="B229" s="300">
        <v>275.98099999993599</v>
      </c>
      <c r="C229" s="300">
        <v>112.99300000297687</v>
      </c>
      <c r="D229" s="300">
        <v>21.00000000033954</v>
      </c>
      <c r="E229" s="300">
        <f>SUM(B229:D229)</f>
        <v>409.9740000032524</v>
      </c>
      <c r="F229" s="300"/>
      <c r="G229" s="300">
        <v>316.97999999748072</v>
      </c>
      <c r="H229" s="300">
        <v>101.99300000210833</v>
      </c>
      <c r="I229" s="300">
        <v>17.706000000237136</v>
      </c>
      <c r="J229" s="300">
        <f>SUM(G229:I229)</f>
        <v>436.67899999982615</v>
      </c>
      <c r="K229" s="300"/>
      <c r="L229" s="300">
        <v>315.99799999754663</v>
      </c>
      <c r="M229" s="300">
        <v>103.99900000177939</v>
      </c>
      <c r="N229" s="300">
        <v>15.212999999789268</v>
      </c>
      <c r="O229" s="300">
        <f>SUM(L229:N229)</f>
        <v>435.20999999911527</v>
      </c>
      <c r="P229" s="300"/>
      <c r="Q229" s="300">
        <v>335.76300000954012</v>
      </c>
      <c r="R229" s="300">
        <v>100.74400000286727</v>
      </c>
      <c r="S229" s="300">
        <v>15.335999999975455</v>
      </c>
      <c r="T229" s="300">
        <f>SUM(Q229:S229)</f>
        <v>451.84300001238284</v>
      </c>
      <c r="U229" s="300"/>
      <c r="V229" s="300">
        <v>370.13399999624266</v>
      </c>
      <c r="W229" s="300">
        <v>92.368999998914248</v>
      </c>
      <c r="X229" s="300">
        <v>15.321999999988293</v>
      </c>
      <c r="Y229" s="300">
        <f>SUM(V229:X229)</f>
        <v>477.82499999514522</v>
      </c>
    </row>
    <row r="230" spans="1:25" ht="12.45" x14ac:dyDescent="0.3">
      <c r="A230" s="260" t="s">
        <v>355</v>
      </c>
      <c r="B230" s="300">
        <v>705.951000003285</v>
      </c>
      <c r="C230" s="300">
        <v>59.997000000901203</v>
      </c>
      <c r="D230" s="300">
        <v>57.00000000116664</v>
      </c>
      <c r="E230" s="300">
        <f t="shared" ref="E230:E231" si="586">SUM(B230:D230)</f>
        <v>822.94800000535281</v>
      </c>
      <c r="F230" s="300"/>
      <c r="G230" s="300">
        <v>722.95300000236614</v>
      </c>
      <c r="H230" s="300">
        <v>56.99600000065707</v>
      </c>
      <c r="I230" s="300">
        <v>44.267000000361506</v>
      </c>
      <c r="J230" s="300">
        <f t="shared" ref="J230:J231" si="587">SUM(G230:I230)</f>
        <v>824.21600000338469</v>
      </c>
      <c r="K230" s="300"/>
      <c r="L230" s="300">
        <v>708.99999999956856</v>
      </c>
      <c r="M230" s="300">
        <v>55.998999999888973</v>
      </c>
      <c r="N230" s="300">
        <v>55.785000000621899</v>
      </c>
      <c r="O230" s="300">
        <f t="shared" ref="O230:O231" si="588">SUM(L230:N230)</f>
        <v>820.78400000007946</v>
      </c>
      <c r="P230" s="300"/>
      <c r="Q230" s="300">
        <v>705.69400000232929</v>
      </c>
      <c r="R230" s="300">
        <v>56.08200000002644</v>
      </c>
      <c r="S230" s="300">
        <v>56.718000001330722</v>
      </c>
      <c r="T230" s="300">
        <f t="shared" ref="T230:T231" si="589">SUM(Q230:S230)</f>
        <v>818.49400000368655</v>
      </c>
      <c r="U230" s="300"/>
      <c r="V230" s="300">
        <v>686.71400000285269</v>
      </c>
      <c r="W230" s="300">
        <v>55.276000000114543</v>
      </c>
      <c r="X230" s="300">
        <v>57.63100000104869</v>
      </c>
      <c r="Y230" s="300">
        <f t="shared" ref="Y230:Y231" si="590">SUM(V230:X230)</f>
        <v>799.62100000401597</v>
      </c>
    </row>
    <row r="231" spans="1:25" ht="12.45" x14ac:dyDescent="0.3">
      <c r="A231" s="260" t="s">
        <v>354</v>
      </c>
      <c r="B231" s="300">
        <f>SUM(B229:B230)</f>
        <v>981.93200000322099</v>
      </c>
      <c r="C231" s="300">
        <f t="shared" ref="C231" si="591">SUM(C229:C230)</f>
        <v>172.99000000387807</v>
      </c>
      <c r="D231" s="300">
        <f t="shared" ref="D231" si="592">SUM(D229:D230)</f>
        <v>78.00000000150618</v>
      </c>
      <c r="E231" s="300">
        <f t="shared" si="586"/>
        <v>1232.9220000086052</v>
      </c>
      <c r="F231" s="300"/>
      <c r="G231" s="300">
        <f>SUM(G229:G230)</f>
        <v>1039.9329999998467</v>
      </c>
      <c r="H231" s="300">
        <f t="shared" ref="H231" si="593">SUM(H229:H230)</f>
        <v>158.98900000276541</v>
      </c>
      <c r="I231" s="300">
        <f t="shared" ref="I231" si="594">SUM(I229:I230)</f>
        <v>61.973000000598645</v>
      </c>
      <c r="J231" s="300">
        <f t="shared" si="587"/>
        <v>1260.8950000032107</v>
      </c>
      <c r="K231" s="300"/>
      <c r="L231" s="300">
        <f>SUM(L229:L230)</f>
        <v>1024.9979999971151</v>
      </c>
      <c r="M231" s="300">
        <f t="shared" ref="M231" si="595">SUM(M229:M230)</f>
        <v>159.99800000166837</v>
      </c>
      <c r="N231" s="300">
        <f t="shared" ref="N231" si="596">SUM(N229:N230)</f>
        <v>70.998000000411167</v>
      </c>
      <c r="O231" s="300">
        <f t="shared" si="588"/>
        <v>1255.9939999991946</v>
      </c>
      <c r="P231" s="300"/>
      <c r="Q231" s="300">
        <f>SUM(Q229:Q230)</f>
        <v>1041.4570000118695</v>
      </c>
      <c r="R231" s="300">
        <f t="shared" ref="R231" si="597">SUM(R229:R230)</f>
        <v>156.82600000289369</v>
      </c>
      <c r="S231" s="300">
        <f t="shared" ref="S231" si="598">SUM(S229:S230)</f>
        <v>72.054000001306179</v>
      </c>
      <c r="T231" s="300">
        <f t="shared" si="589"/>
        <v>1270.3370000160694</v>
      </c>
      <c r="U231" s="300"/>
      <c r="V231" s="300">
        <f>SUM(V229:V230)</f>
        <v>1056.8479999990955</v>
      </c>
      <c r="W231" s="300">
        <f t="shared" ref="W231" si="599">SUM(W229:W230)</f>
        <v>147.64499999902878</v>
      </c>
      <c r="X231" s="300">
        <f t="shared" ref="X231" si="600">SUM(X229:X230)</f>
        <v>72.953000001036983</v>
      </c>
      <c r="Y231" s="300">
        <f t="shared" si="590"/>
        <v>1277.4459999991614</v>
      </c>
    </row>
    <row r="232" spans="1:25" ht="12.45" x14ac:dyDescent="0.3">
      <c r="C232" s="319"/>
      <c r="D232" s="319"/>
      <c r="E232" s="319"/>
      <c r="F232" s="319"/>
      <c r="G232" s="319"/>
      <c r="H232" s="319"/>
      <c r="I232" s="319"/>
      <c r="J232" s="319"/>
      <c r="K232" s="319"/>
      <c r="L232" s="319"/>
      <c r="M232" s="319"/>
      <c r="N232" s="319"/>
      <c r="O232" s="319"/>
      <c r="P232" s="319"/>
      <c r="Q232" s="319"/>
      <c r="R232" s="319"/>
      <c r="S232" s="319"/>
      <c r="T232" s="319"/>
      <c r="U232" s="319"/>
      <c r="V232" s="319"/>
      <c r="W232" s="319"/>
      <c r="X232" s="319"/>
      <c r="Y232" s="319"/>
    </row>
    <row r="233" spans="1:25" ht="12.45" x14ac:dyDescent="0.3">
      <c r="A233" s="261" t="str">
        <f>name!A36</f>
        <v>Retail trade</v>
      </c>
      <c r="C233" s="263"/>
    </row>
    <row r="234" spans="1:25" ht="12.45" x14ac:dyDescent="0.3">
      <c r="A234" s="260" t="s">
        <v>356</v>
      </c>
      <c r="B234" s="300">
        <v>598.16400000003216</v>
      </c>
      <c r="C234" s="300">
        <v>1149.3150000591702</v>
      </c>
      <c r="D234" s="300">
        <v>99.43000000174726</v>
      </c>
      <c r="E234" s="300">
        <f>SUM(B234:D234)</f>
        <v>1846.9090000609497</v>
      </c>
      <c r="F234" s="300"/>
      <c r="G234" s="300">
        <v>619.32199999640306</v>
      </c>
      <c r="H234" s="300">
        <v>1092.5660000434211</v>
      </c>
      <c r="I234" s="300">
        <v>90.960000001479543</v>
      </c>
      <c r="J234" s="300">
        <f>SUM(G234:I234)</f>
        <v>1802.8480000413037</v>
      </c>
      <c r="K234" s="300"/>
      <c r="L234" s="300">
        <v>607.99999999611919</v>
      </c>
      <c r="M234" s="300">
        <v>1110.0000000475577</v>
      </c>
      <c r="N234" s="300">
        <v>100.99899999833313</v>
      </c>
      <c r="O234" s="300">
        <f>SUM(L234:N234)</f>
        <v>1818.99900004201</v>
      </c>
      <c r="P234" s="300"/>
      <c r="Q234" s="300">
        <v>623.11600001619092</v>
      </c>
      <c r="R234" s="300">
        <v>1070.1410000743758</v>
      </c>
      <c r="S234" s="300">
        <v>104.96799999987486</v>
      </c>
      <c r="T234" s="300">
        <f>SUM(Q234:S234)</f>
        <v>1798.2250000904414</v>
      </c>
      <c r="U234" s="300"/>
      <c r="V234" s="300">
        <v>658.89799999392824</v>
      </c>
      <c r="W234" s="300">
        <v>999.17399998785982</v>
      </c>
      <c r="X234" s="300">
        <v>113.85400000137463</v>
      </c>
      <c r="Y234" s="300">
        <f>SUM(V234:X234)</f>
        <v>1771.9259999831625</v>
      </c>
    </row>
    <row r="235" spans="1:25" ht="12.45" x14ac:dyDescent="0.3">
      <c r="A235" s="260" t="s">
        <v>355</v>
      </c>
      <c r="B235" s="300">
        <v>677.18500000408994</v>
      </c>
      <c r="C235" s="300">
        <v>493.13500000974949</v>
      </c>
      <c r="D235" s="300">
        <v>131.57100000271794</v>
      </c>
      <c r="E235" s="300">
        <f t="shared" ref="E235:E236" si="601">SUM(B235:D235)</f>
        <v>1301.8910000165574</v>
      </c>
      <c r="F235" s="300"/>
      <c r="G235" s="300">
        <v>684.95700000322188</v>
      </c>
      <c r="H235" s="300">
        <v>471.97100000825543</v>
      </c>
      <c r="I235" s="300">
        <v>101.95800000145198</v>
      </c>
      <c r="J235" s="300">
        <f t="shared" ref="J235:J236" si="602">SUM(G235:I235)</f>
        <v>1258.8860000129293</v>
      </c>
      <c r="K235" s="300"/>
      <c r="L235" s="300">
        <v>667.99999999903685</v>
      </c>
      <c r="M235" s="300">
        <v>519.00099999725126</v>
      </c>
      <c r="N235" s="300">
        <v>97.999000001007303</v>
      </c>
      <c r="O235" s="300">
        <f t="shared" ref="O235:O236" si="603">SUM(L235:N235)</f>
        <v>1284.9999999972954</v>
      </c>
      <c r="P235" s="300"/>
      <c r="Q235" s="300">
        <v>685.16400000140948</v>
      </c>
      <c r="R235" s="300">
        <v>519.4590000012148</v>
      </c>
      <c r="S235" s="300">
        <v>98.37000000177089</v>
      </c>
      <c r="T235" s="300">
        <f t="shared" ref="T235:T236" si="604">SUM(Q235:S235)</f>
        <v>1302.9930000043953</v>
      </c>
      <c r="U235" s="300"/>
      <c r="V235" s="300">
        <v>725.59700000147689</v>
      </c>
      <c r="W235" s="300">
        <v>524.85900000235529</v>
      </c>
      <c r="X235" s="300">
        <v>99.964000001833156</v>
      </c>
      <c r="Y235" s="300">
        <f t="shared" ref="Y235:Y236" si="605">SUM(V235:X235)</f>
        <v>1350.4200000056655</v>
      </c>
    </row>
    <row r="236" spans="1:25" ht="12.45" x14ac:dyDescent="0.3">
      <c r="A236" s="260" t="s">
        <v>354</v>
      </c>
      <c r="B236" s="300">
        <f>SUM(B234:B235)</f>
        <v>1275.349000004122</v>
      </c>
      <c r="C236" s="300">
        <f t="shared" ref="C236" si="606">SUM(C234:C235)</f>
        <v>1642.4500000689197</v>
      </c>
      <c r="D236" s="300">
        <f t="shared" ref="D236" si="607">SUM(D234:D235)</f>
        <v>231.0010000044652</v>
      </c>
      <c r="E236" s="300">
        <f t="shared" si="601"/>
        <v>3148.8000000775069</v>
      </c>
      <c r="F236" s="300"/>
      <c r="G236" s="300">
        <f>SUM(G234:G235)</f>
        <v>1304.2789999996248</v>
      </c>
      <c r="H236" s="300">
        <f t="shared" ref="H236" si="608">SUM(H234:H235)</f>
        <v>1564.5370000516766</v>
      </c>
      <c r="I236" s="300">
        <f t="shared" ref="I236" si="609">SUM(I234:I235)</f>
        <v>192.91800000293154</v>
      </c>
      <c r="J236" s="300">
        <f t="shared" si="602"/>
        <v>3061.7340000542331</v>
      </c>
      <c r="K236" s="300"/>
      <c r="L236" s="300">
        <f>SUM(L234:L235)</f>
        <v>1275.999999995156</v>
      </c>
      <c r="M236" s="300">
        <f t="shared" ref="M236" si="610">SUM(M234:M235)</f>
        <v>1629.001000044809</v>
      </c>
      <c r="N236" s="300">
        <f t="shared" ref="N236" si="611">SUM(N234:N235)</f>
        <v>198.99799999934044</v>
      </c>
      <c r="O236" s="300">
        <f t="shared" si="603"/>
        <v>3103.9990000393054</v>
      </c>
      <c r="P236" s="300"/>
      <c r="Q236" s="300">
        <f>SUM(Q234:Q235)</f>
        <v>1308.2800000176003</v>
      </c>
      <c r="R236" s="300">
        <f t="shared" ref="R236" si="612">SUM(R234:R235)</f>
        <v>1589.6000000755907</v>
      </c>
      <c r="S236" s="300">
        <f t="shared" ref="S236" si="613">SUM(S234:S235)</f>
        <v>203.33800000164575</v>
      </c>
      <c r="T236" s="300">
        <f t="shared" si="604"/>
        <v>3101.218000094837</v>
      </c>
      <c r="U236" s="300"/>
      <c r="V236" s="300">
        <f>SUM(V234:V235)</f>
        <v>1384.4949999954051</v>
      </c>
      <c r="W236" s="300">
        <f t="shared" ref="W236" si="614">SUM(W234:W235)</f>
        <v>1524.0329999902151</v>
      </c>
      <c r="X236" s="300">
        <f t="shared" ref="X236" si="615">SUM(X234:X235)</f>
        <v>213.81800000320777</v>
      </c>
      <c r="Y236" s="300">
        <f t="shared" si="605"/>
        <v>3122.3459999888282</v>
      </c>
    </row>
    <row r="237" spans="1:25" ht="12.45" x14ac:dyDescent="0.3">
      <c r="C237" s="263"/>
    </row>
    <row r="238" spans="1:25" ht="12.45" x14ac:dyDescent="0.3">
      <c r="A238" s="261" t="s">
        <v>367</v>
      </c>
      <c r="C238" s="263"/>
    </row>
    <row r="239" spans="1:25" ht="12.45" x14ac:dyDescent="0.3">
      <c r="A239" s="260" t="s">
        <v>356</v>
      </c>
      <c r="B239" s="300">
        <f>SUM(B224,B229,B234)</f>
        <v>943.14000000005296</v>
      </c>
      <c r="C239" s="300">
        <f t="shared" ref="C239:D239" si="616">SUM(C224,C229,C234)</f>
        <v>1295.3070000631924</v>
      </c>
      <c r="D239" s="300">
        <f t="shared" si="616"/>
        <v>125.35500000215515</v>
      </c>
      <c r="E239" s="300">
        <f>SUM(B239:D239)</f>
        <v>2363.8020000654005</v>
      </c>
      <c r="F239" s="300"/>
      <c r="G239" s="300">
        <f>SUM(G224,G229,G234)</f>
        <v>1009.2969999936925</v>
      </c>
      <c r="H239" s="300">
        <f t="shared" ref="H239:I239" si="617">SUM(H224,H229,H234)</f>
        <v>1238.5580000466559</v>
      </c>
      <c r="I239" s="300">
        <f t="shared" si="617"/>
        <v>117.6620000018261</v>
      </c>
      <c r="J239" s="300">
        <f>SUM(G239:I239)</f>
        <v>2365.5170000421745</v>
      </c>
      <c r="K239" s="300"/>
      <c r="L239" s="300">
        <f>SUM(L224,L229,L234)</f>
        <v>996.99799999332686</v>
      </c>
      <c r="M239" s="300">
        <f t="shared" ref="M239:N239" si="618">SUM(M224,M229,M234)</f>
        <v>1254.9990000502369</v>
      </c>
      <c r="N239" s="300">
        <f t="shared" si="618"/>
        <v>124.07999999803178</v>
      </c>
      <c r="O239" s="300">
        <f>SUM(L239:N239)</f>
        <v>2376.0770000415955</v>
      </c>
      <c r="P239" s="300"/>
      <c r="Q239" s="300">
        <f>SUM(Q224,Q229,Q234)</f>
        <v>1036.0470000269497</v>
      </c>
      <c r="R239" s="300">
        <f t="shared" ref="R239:S239" si="619">SUM(R224,R229,R234)</f>
        <v>1210.4400000787591</v>
      </c>
      <c r="S239" s="300">
        <f t="shared" si="619"/>
        <v>128.24699999984134</v>
      </c>
      <c r="T239" s="300">
        <f>SUM(Q239:S239)</f>
        <v>2374.73400010555</v>
      </c>
      <c r="U239" s="300"/>
      <c r="V239" s="300">
        <f>SUM(V224,V229,V234)</f>
        <v>1113.8739999894715</v>
      </c>
      <c r="W239" s="300">
        <f t="shared" ref="W239:X239" si="620">SUM(W224,W229,W234)</f>
        <v>1127.4179999862945</v>
      </c>
      <c r="X239" s="300">
        <f t="shared" si="620"/>
        <v>137.16000000134284</v>
      </c>
      <c r="Y239" s="300">
        <f>SUM(V239:X239)</f>
        <v>2378.4519999771087</v>
      </c>
    </row>
    <row r="240" spans="1:25" ht="12.45" x14ac:dyDescent="0.3">
      <c r="A240" s="260" t="s">
        <v>355</v>
      </c>
      <c r="B240" s="300">
        <f>SUM(B225,B230,B235)</f>
        <v>1768.198000008962</v>
      </c>
      <c r="C240" s="300">
        <f t="shared" ref="C240:D240" si="621">SUM(C225,C230,C235)</f>
        <v>590.04200001128811</v>
      </c>
      <c r="D240" s="300">
        <f t="shared" si="621"/>
        <v>248.64700000421698</v>
      </c>
      <c r="E240" s="300">
        <f t="shared" ref="E240:E241" si="622">SUM(B240:D240)</f>
        <v>2606.8870000244669</v>
      </c>
      <c r="F240" s="300"/>
      <c r="G240" s="300">
        <f>SUM(G225,G230,G235)</f>
        <v>1835.8820000069422</v>
      </c>
      <c r="H240" s="300">
        <f t="shared" ref="H240:I240" si="623">SUM(H225,H230,H235)</f>
        <v>563.96500000944741</v>
      </c>
      <c r="I240" s="300">
        <f t="shared" si="623"/>
        <v>226.19000000309632</v>
      </c>
      <c r="J240" s="300">
        <f t="shared" ref="J240:J241" si="624">SUM(G240:I240)</f>
        <v>2626.0370000194862</v>
      </c>
      <c r="K240" s="300"/>
      <c r="L240" s="300">
        <f>SUM(L225,L230,L235)</f>
        <v>1778.9019999985603</v>
      </c>
      <c r="M240" s="300">
        <f t="shared" ref="M240:N240" si="625">SUM(M225,M230,M235)</f>
        <v>619.0989999969504</v>
      </c>
      <c r="N240" s="300">
        <f t="shared" si="625"/>
        <v>205.91500000139547</v>
      </c>
      <c r="O240" s="300">
        <f t="shared" ref="O240:O241" si="626">SUM(L240:N240)</f>
        <v>2603.9159999969065</v>
      </c>
      <c r="P240" s="300"/>
      <c r="Q240" s="300">
        <f>SUM(Q225,Q230,Q235)</f>
        <v>1803.4420000057189</v>
      </c>
      <c r="R240" s="300">
        <f t="shared" ref="R240:S240" si="627">SUM(R225,R230,R235)</f>
        <v>620.28900000126976</v>
      </c>
      <c r="S240" s="300">
        <f t="shared" si="627"/>
        <v>208.72400000217431</v>
      </c>
      <c r="T240" s="300">
        <f t="shared" ref="T240:T241" si="628">SUM(Q240:S240)</f>
        <v>2632.4550000091631</v>
      </c>
      <c r="U240" s="300"/>
      <c r="V240" s="300">
        <f>SUM(V225,V230,V235)</f>
        <v>1841.2860000072333</v>
      </c>
      <c r="W240" s="300">
        <f t="shared" ref="W240:X240" si="629">SUM(W225,W230,W235)</f>
        <v>625.57500000264849</v>
      </c>
      <c r="X240" s="300">
        <f t="shared" si="629"/>
        <v>213.60800000267156</v>
      </c>
      <c r="Y240" s="300">
        <f t="shared" ref="Y240:Y241" si="630">SUM(V240:X240)</f>
        <v>2680.4690000125529</v>
      </c>
    </row>
    <row r="241" spans="1:25" ht="12.45" x14ac:dyDescent="0.3">
      <c r="A241" s="264" t="s">
        <v>354</v>
      </c>
      <c r="B241" s="301">
        <f>SUM(B239:B240)</f>
        <v>2711.3380000090151</v>
      </c>
      <c r="C241" s="301">
        <f t="shared" ref="C241" si="631">SUM(C239:C240)</f>
        <v>1885.3490000744805</v>
      </c>
      <c r="D241" s="301">
        <f t="shared" ref="D241" si="632">SUM(D239:D240)</f>
        <v>374.0020000063721</v>
      </c>
      <c r="E241" s="301">
        <f t="shared" si="622"/>
        <v>4970.6890000898675</v>
      </c>
      <c r="F241" s="301"/>
      <c r="G241" s="301">
        <f>SUM(G239:G240)</f>
        <v>2845.1790000006349</v>
      </c>
      <c r="H241" s="301">
        <f t="shared" ref="H241" si="633">SUM(H239:H240)</f>
        <v>1802.5230000561032</v>
      </c>
      <c r="I241" s="301">
        <f t="shared" ref="I241" si="634">SUM(I239:I240)</f>
        <v>343.85200000492239</v>
      </c>
      <c r="J241" s="301">
        <f t="shared" si="624"/>
        <v>4991.5540000616602</v>
      </c>
      <c r="K241" s="301"/>
      <c r="L241" s="301">
        <f>SUM(L239:L240)</f>
        <v>2775.8999999918869</v>
      </c>
      <c r="M241" s="301">
        <f t="shared" ref="M241" si="635">SUM(M239:M240)</f>
        <v>1874.0980000471873</v>
      </c>
      <c r="N241" s="301">
        <f t="shared" ref="N241" si="636">SUM(N239:N240)</f>
        <v>329.99499999942725</v>
      </c>
      <c r="O241" s="301">
        <f t="shared" si="626"/>
        <v>4979.9930000385011</v>
      </c>
      <c r="P241" s="301"/>
      <c r="Q241" s="301">
        <f>SUM(Q239:Q240)</f>
        <v>2839.4890000326686</v>
      </c>
      <c r="R241" s="301">
        <f t="shared" ref="R241" si="637">SUM(R239:R240)</f>
        <v>1830.729000080029</v>
      </c>
      <c r="S241" s="301">
        <f t="shared" ref="S241" si="638">SUM(S239:S240)</f>
        <v>336.97100000201567</v>
      </c>
      <c r="T241" s="301">
        <f t="shared" si="628"/>
        <v>5007.189000114714</v>
      </c>
      <c r="U241" s="301"/>
      <c r="V241" s="301">
        <f>SUM(V239:V240)</f>
        <v>2955.1599999967048</v>
      </c>
      <c r="W241" s="301">
        <f t="shared" ref="W241" si="639">SUM(W239:W240)</f>
        <v>1752.992999988943</v>
      </c>
      <c r="X241" s="301">
        <f t="shared" ref="X241" si="640">SUM(X239:X240)</f>
        <v>350.76800000401443</v>
      </c>
      <c r="Y241" s="301">
        <f t="shared" si="630"/>
        <v>5058.9209999896621</v>
      </c>
    </row>
    <row r="242" spans="1:25" ht="12.45" x14ac:dyDescent="0.3">
      <c r="A242" s="266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5" ht="12.45" x14ac:dyDescent="0.3">
      <c r="C243" s="263"/>
    </row>
    <row r="244" spans="1:25" x14ac:dyDescent="0.35">
      <c r="A244" s="261"/>
    </row>
    <row r="245" spans="1:25" ht="14.15" x14ac:dyDescent="0.35">
      <c r="A245" s="265" t="str">
        <f>"Industry 10 : "&amp; name!B13</f>
        <v>Industry 10 : Transport and storage</v>
      </c>
      <c r="B245" s="372">
        <f>$B$5</f>
        <v>2015</v>
      </c>
      <c r="C245" s="372"/>
      <c r="D245" s="372"/>
      <c r="E245" s="372"/>
      <c r="F245" s="320"/>
      <c r="G245" s="372">
        <f>$G$5</f>
        <v>2019</v>
      </c>
      <c r="H245" s="372"/>
      <c r="I245" s="372"/>
      <c r="J245" s="372"/>
      <c r="K245" s="320"/>
      <c r="L245" s="372">
        <f>$L$5</f>
        <v>2020</v>
      </c>
      <c r="M245" s="372"/>
      <c r="N245" s="372"/>
      <c r="O245" s="372"/>
      <c r="P245" s="318"/>
      <c r="Q245" s="372">
        <f>$Q$5</f>
        <v>2025</v>
      </c>
      <c r="R245" s="372"/>
      <c r="S245" s="372"/>
      <c r="T245" s="372"/>
      <c r="U245" s="320"/>
      <c r="V245" s="372">
        <f>$V$5</f>
        <v>2035</v>
      </c>
      <c r="W245" s="372"/>
      <c r="X245" s="372"/>
      <c r="Y245" s="372"/>
    </row>
    <row r="246" spans="1:25" ht="12.45" x14ac:dyDescent="0.3">
      <c r="A246" s="264"/>
      <c r="B246" s="268" t="str">
        <f>$B$6</f>
        <v>FT</v>
      </c>
      <c r="C246" s="268" t="str">
        <f>$C$6</f>
        <v>PT</v>
      </c>
      <c r="D246" s="268" t="str">
        <f>$D$6</f>
        <v>SE</v>
      </c>
      <c r="E246" s="268" t="str">
        <f>$E$6</f>
        <v>Total</v>
      </c>
      <c r="F246" s="268"/>
      <c r="G246" s="268" t="str">
        <f>$B$6</f>
        <v>FT</v>
      </c>
      <c r="H246" s="268" t="str">
        <f>$C$6</f>
        <v>PT</v>
      </c>
      <c r="I246" s="268" t="str">
        <f>$D$6</f>
        <v>SE</v>
      </c>
      <c r="J246" s="268" t="str">
        <f>$E$6</f>
        <v>Total</v>
      </c>
      <c r="K246" s="268"/>
      <c r="L246" s="268" t="str">
        <f>$L$6</f>
        <v>FT</v>
      </c>
      <c r="M246" s="268" t="str">
        <f>$M$6</f>
        <v>PT</v>
      </c>
      <c r="N246" s="268" t="str">
        <f>$N$6</f>
        <v>SE</v>
      </c>
      <c r="O246" s="268" t="str">
        <f>$O$6</f>
        <v>Total</v>
      </c>
      <c r="P246" s="268"/>
      <c r="Q246" s="268" t="str">
        <f>$L$6</f>
        <v>FT</v>
      </c>
      <c r="R246" s="268" t="str">
        <f>$M$6</f>
        <v>PT</v>
      </c>
      <c r="S246" s="268" t="str">
        <f>$N$6</f>
        <v>SE</v>
      </c>
      <c r="T246" s="268" t="str">
        <f>$O$6</f>
        <v>Total</v>
      </c>
      <c r="U246" s="268"/>
      <c r="V246" s="268" t="str">
        <f>$V$6</f>
        <v>FT</v>
      </c>
      <c r="W246" s="268" t="str">
        <f>$W$6</f>
        <v>PT</v>
      </c>
      <c r="X246" s="268" t="str">
        <f>$X$6</f>
        <v>SE</v>
      </c>
      <c r="Y246" s="268" t="str">
        <f>$Y$6</f>
        <v>Total</v>
      </c>
    </row>
    <row r="247" spans="1:25" ht="12.45" x14ac:dyDescent="0.3">
      <c r="C247" s="319"/>
      <c r="D247" s="319"/>
      <c r="E247" s="319"/>
      <c r="F247" s="319"/>
      <c r="G247" s="319"/>
      <c r="H247" s="319"/>
      <c r="I247" s="319"/>
      <c r="J247" s="319"/>
      <c r="K247" s="319"/>
      <c r="L247" s="319"/>
      <c r="M247" s="319"/>
      <c r="N247" s="319"/>
      <c r="O247" s="319"/>
      <c r="P247" s="319"/>
      <c r="Q247" s="319"/>
      <c r="R247" s="319"/>
      <c r="S247" s="319"/>
      <c r="T247" s="319"/>
      <c r="U247" s="319"/>
      <c r="V247" s="319"/>
      <c r="W247" s="319"/>
      <c r="X247" s="319"/>
      <c r="Y247" s="319"/>
    </row>
    <row r="248" spans="1:25" ht="12.45" x14ac:dyDescent="0.3">
      <c r="A248" s="261" t="str">
        <f>name!A37</f>
        <v>Land transport, etc</v>
      </c>
      <c r="C248" s="263"/>
    </row>
    <row r="249" spans="1:25" ht="12.45" x14ac:dyDescent="0.3">
      <c r="A249" s="260" t="s">
        <v>356</v>
      </c>
      <c r="B249" s="300">
        <v>56.646999999709294</v>
      </c>
      <c r="C249" s="300">
        <v>30.346000000622706</v>
      </c>
      <c r="D249" s="300">
        <v>7.0340000001574206</v>
      </c>
      <c r="E249" s="300">
        <f>SUM(B249:D249)</f>
        <v>94.027000000489423</v>
      </c>
      <c r="F249" s="300"/>
      <c r="G249" s="300">
        <v>68.619999999369682</v>
      </c>
      <c r="H249" s="300">
        <v>41.374000000539169</v>
      </c>
      <c r="I249" s="300">
        <v>9.9960000001653064</v>
      </c>
      <c r="J249" s="300">
        <f>SUM(G249:I249)</f>
        <v>119.99000000007416</v>
      </c>
      <c r="K249" s="300"/>
      <c r="L249" s="300">
        <v>72.069999999426656</v>
      </c>
      <c r="M249" s="300">
        <v>47.046000000364231</v>
      </c>
      <c r="N249" s="300">
        <v>16.998999999921253</v>
      </c>
      <c r="O249" s="300">
        <f>SUM(L249:N249)</f>
        <v>136.11499999971215</v>
      </c>
      <c r="P249" s="300"/>
      <c r="Q249" s="300">
        <v>80.222000001772599</v>
      </c>
      <c r="R249" s="300">
        <v>52.650000000507134</v>
      </c>
      <c r="S249" s="300">
        <v>18.493000000085274</v>
      </c>
      <c r="T249" s="300">
        <f>SUM(Q249:S249)</f>
        <v>151.36500000236498</v>
      </c>
      <c r="U249" s="300"/>
      <c r="V249" s="300">
        <v>85.066999999781956</v>
      </c>
      <c r="W249" s="300">
        <v>56.386999999272255</v>
      </c>
      <c r="X249" s="300">
        <v>18.773000000101693</v>
      </c>
      <c r="Y249" s="300">
        <f>SUM(V249:X249)</f>
        <v>160.22699999915591</v>
      </c>
    </row>
    <row r="250" spans="1:25" ht="12.45" x14ac:dyDescent="0.3">
      <c r="A250" s="260" t="s">
        <v>355</v>
      </c>
      <c r="B250" s="300">
        <v>415.97100000290385</v>
      </c>
      <c r="C250" s="300">
        <v>31.996000000649413</v>
      </c>
      <c r="D250" s="300">
        <v>203.96800000294817</v>
      </c>
      <c r="E250" s="300">
        <f t="shared" ref="E250:E251" si="641">SUM(B250:D250)</f>
        <v>651.93500000650147</v>
      </c>
      <c r="F250" s="300"/>
      <c r="G250" s="300">
        <v>441.97100000201345</v>
      </c>
      <c r="H250" s="300">
        <v>42.995000000746209</v>
      </c>
      <c r="I250" s="300">
        <v>251.89199998378621</v>
      </c>
      <c r="J250" s="300">
        <f t="shared" ref="J250:J251" si="642">SUM(G250:I250)</f>
        <v>736.85799998654579</v>
      </c>
      <c r="K250" s="300"/>
      <c r="L250" s="300">
        <v>436.42899999929938</v>
      </c>
      <c r="M250" s="300">
        <v>55.053999999676357</v>
      </c>
      <c r="N250" s="300">
        <v>176.99900000366017</v>
      </c>
      <c r="O250" s="300">
        <f t="shared" ref="O250:O251" si="643">SUM(L250:N250)</f>
        <v>668.48200000263591</v>
      </c>
      <c r="P250" s="300"/>
      <c r="Q250" s="300">
        <v>462.41100000093905</v>
      </c>
      <c r="R250" s="300">
        <v>60.582999999781073</v>
      </c>
      <c r="S250" s="300">
        <v>198.11700001480366</v>
      </c>
      <c r="T250" s="300">
        <f t="shared" ref="T250:T251" si="644">SUM(Q250:S250)</f>
        <v>721.11100001552381</v>
      </c>
      <c r="U250" s="300"/>
      <c r="V250" s="300">
        <v>444.41900000079681</v>
      </c>
      <c r="W250" s="300">
        <v>62.869000000031733</v>
      </c>
      <c r="X250" s="300">
        <v>212.2510000121575</v>
      </c>
      <c r="Y250" s="300">
        <f t="shared" ref="Y250:Y251" si="645">SUM(V250:X250)</f>
        <v>719.53900001298609</v>
      </c>
    </row>
    <row r="251" spans="1:25" ht="12.45" x14ac:dyDescent="0.3">
      <c r="A251" s="260" t="s">
        <v>354</v>
      </c>
      <c r="B251" s="300">
        <f>SUM(B249:B250)</f>
        <v>472.61800000261314</v>
      </c>
      <c r="C251" s="300">
        <f t="shared" ref="C251" si="646">SUM(C249:C250)</f>
        <v>62.342000001272119</v>
      </c>
      <c r="D251" s="300">
        <f t="shared" ref="D251" si="647">SUM(D249:D250)</f>
        <v>211.00200000310559</v>
      </c>
      <c r="E251" s="300">
        <f t="shared" si="641"/>
        <v>745.96200000699082</v>
      </c>
      <c r="F251" s="300"/>
      <c r="G251" s="300">
        <f>SUM(G249:G250)</f>
        <v>510.59100000138312</v>
      </c>
      <c r="H251" s="300">
        <f t="shared" ref="H251" si="648">SUM(H249:H250)</f>
        <v>84.369000001285372</v>
      </c>
      <c r="I251" s="300">
        <f t="shared" ref="I251" si="649">SUM(I249:I250)</f>
        <v>261.88799998395149</v>
      </c>
      <c r="J251" s="300">
        <f t="shared" si="642"/>
        <v>856.84799998661993</v>
      </c>
      <c r="K251" s="300"/>
      <c r="L251" s="300">
        <f>SUM(L249:L250)</f>
        <v>508.49899999872605</v>
      </c>
      <c r="M251" s="300">
        <f t="shared" ref="M251" si="650">SUM(M249:M250)</f>
        <v>102.10000000004058</v>
      </c>
      <c r="N251" s="300">
        <f t="shared" ref="N251" si="651">SUM(N249:N250)</f>
        <v>193.99800000358141</v>
      </c>
      <c r="O251" s="300">
        <f t="shared" si="643"/>
        <v>804.59700000234807</v>
      </c>
      <c r="P251" s="300"/>
      <c r="Q251" s="300">
        <f>SUM(Q249:Q250)</f>
        <v>542.6330000027117</v>
      </c>
      <c r="R251" s="300">
        <f t="shared" ref="R251" si="652">SUM(R249:R250)</f>
        <v>113.2330000002882</v>
      </c>
      <c r="S251" s="300">
        <f t="shared" ref="S251" si="653">SUM(S249:S250)</f>
        <v>216.61000001488895</v>
      </c>
      <c r="T251" s="300">
        <f t="shared" si="644"/>
        <v>872.47600001788896</v>
      </c>
      <c r="U251" s="300"/>
      <c r="V251" s="300">
        <f>SUM(V249:V250)</f>
        <v>529.48600000057877</v>
      </c>
      <c r="W251" s="300">
        <f t="shared" ref="W251" si="654">SUM(W249:W250)</f>
        <v>119.25599999930398</v>
      </c>
      <c r="X251" s="300">
        <f t="shared" ref="X251" si="655">SUM(X249:X250)</f>
        <v>231.02400001225919</v>
      </c>
      <c r="Y251" s="300">
        <f t="shared" si="645"/>
        <v>879.76600001214194</v>
      </c>
    </row>
    <row r="252" spans="1:25" ht="12.45" x14ac:dyDescent="0.3">
      <c r="C252" s="319"/>
      <c r="D252" s="319"/>
      <c r="E252" s="319"/>
      <c r="F252" s="319"/>
      <c r="G252" s="319"/>
      <c r="H252" s="319"/>
      <c r="I252" s="319"/>
      <c r="J252" s="319"/>
      <c r="K252" s="319"/>
      <c r="L252" s="319"/>
      <c r="M252" s="319"/>
      <c r="N252" s="319"/>
      <c r="O252" s="319"/>
      <c r="P252" s="319"/>
      <c r="Q252" s="319"/>
      <c r="R252" s="319"/>
      <c r="S252" s="319"/>
      <c r="T252" s="319"/>
      <c r="U252" s="319"/>
      <c r="V252" s="319"/>
      <c r="W252" s="319"/>
      <c r="X252" s="319"/>
      <c r="Y252" s="319"/>
    </row>
    <row r="253" spans="1:25" ht="12.45" x14ac:dyDescent="0.3">
      <c r="A253" s="261" t="str">
        <f>name!A38</f>
        <v>Water transport</v>
      </c>
      <c r="C253" s="263"/>
    </row>
    <row r="254" spans="1:25" ht="12.45" x14ac:dyDescent="0.3">
      <c r="A254" s="260" t="s">
        <v>356</v>
      </c>
      <c r="B254" s="300">
        <v>4.9989999999827912</v>
      </c>
      <c r="C254" s="300">
        <v>1.9990000000300034</v>
      </c>
      <c r="D254" s="300">
        <v>0.50200000000714506</v>
      </c>
      <c r="E254" s="300">
        <f>SUM(B254:D254)</f>
        <v>7.5000000000199396</v>
      </c>
      <c r="F254" s="300"/>
      <c r="G254" s="300">
        <v>4.5899999999679109</v>
      </c>
      <c r="H254" s="300">
        <v>1.837000000051263</v>
      </c>
      <c r="I254" s="300">
        <v>0.4050000000098406</v>
      </c>
      <c r="J254" s="300">
        <f>SUM(G254:I254)</f>
        <v>6.832000000029014</v>
      </c>
      <c r="K254" s="300"/>
      <c r="L254" s="300">
        <v>4.2819999999715046</v>
      </c>
      <c r="M254" s="300">
        <v>2.1430000000386853</v>
      </c>
      <c r="N254" s="300">
        <v>0.40400000000304048</v>
      </c>
      <c r="O254" s="300">
        <f>SUM(L254:N254)</f>
        <v>6.82900000001323</v>
      </c>
      <c r="P254" s="300"/>
      <c r="Q254" s="300">
        <v>3.5920000000723955</v>
      </c>
      <c r="R254" s="300">
        <v>1.7940000000461223</v>
      </c>
      <c r="S254" s="300">
        <v>0.34400000000376929</v>
      </c>
      <c r="T254" s="300">
        <f>SUM(Q254:S254)</f>
        <v>5.7300000001222866</v>
      </c>
      <c r="U254" s="300"/>
      <c r="V254" s="300">
        <v>3.3759999999913202</v>
      </c>
      <c r="W254" s="300">
        <v>1.6879999999939652</v>
      </c>
      <c r="X254" s="300">
        <v>0.33500000000470315</v>
      </c>
      <c r="Y254" s="300">
        <f>SUM(V254:X254)</f>
        <v>5.3989999999899885</v>
      </c>
    </row>
    <row r="255" spans="1:25" ht="12.45" x14ac:dyDescent="0.3">
      <c r="A255" s="260" t="s">
        <v>355</v>
      </c>
      <c r="B255" s="300">
        <v>8.9990000000326091</v>
      </c>
      <c r="C255" s="300">
        <v>1.0000000000027756</v>
      </c>
      <c r="D255" s="300">
        <v>0.50000000001013878</v>
      </c>
      <c r="E255" s="300">
        <f t="shared" ref="E255:E256" si="656">SUM(B255:D255)</f>
        <v>10.499000000045523</v>
      </c>
      <c r="F255" s="300"/>
      <c r="G255" s="300">
        <v>7.5010000000241055</v>
      </c>
      <c r="H255" s="300">
        <v>1.0720000000023888</v>
      </c>
      <c r="I255" s="300">
        <v>3.5930000000384772</v>
      </c>
      <c r="J255" s="300">
        <f t="shared" ref="J255:J256" si="657">SUM(G255:I255)</f>
        <v>12.166000000064972</v>
      </c>
      <c r="K255" s="300"/>
      <c r="L255" s="300">
        <v>7.4959999999912847</v>
      </c>
      <c r="M255" s="300">
        <v>1.0719999999986403</v>
      </c>
      <c r="N255" s="300">
        <v>3.5960000000452474</v>
      </c>
      <c r="O255" s="300">
        <f t="shared" ref="O255:O256" si="658">SUM(L255:N255)</f>
        <v>12.164000000035173</v>
      </c>
      <c r="P255" s="300"/>
      <c r="Q255" s="300">
        <v>6.3930000000047462</v>
      </c>
      <c r="R255" s="300">
        <v>0.89700000000079794</v>
      </c>
      <c r="S255" s="300">
        <v>2.9400000000941757</v>
      </c>
      <c r="T255" s="300">
        <f t="shared" ref="T255:T256" si="659">SUM(Q255:S255)</f>
        <v>10.23000000009972</v>
      </c>
      <c r="U255" s="300"/>
      <c r="V255" s="300">
        <v>6.2080000000041542</v>
      </c>
      <c r="W255" s="300">
        <v>0.84399999999814268</v>
      </c>
      <c r="X255" s="300">
        <v>2.6230000000715448</v>
      </c>
      <c r="Y255" s="300">
        <f t="shared" ref="Y255:Y256" si="660">SUM(V255:X255)</f>
        <v>9.6750000000738403</v>
      </c>
    </row>
    <row r="256" spans="1:25" ht="12.45" x14ac:dyDescent="0.3">
      <c r="A256" s="260" t="s">
        <v>354</v>
      </c>
      <c r="B256" s="300">
        <f>SUM(B254:B255)</f>
        <v>13.9980000000154</v>
      </c>
      <c r="C256" s="300">
        <f t="shared" ref="C256" si="661">SUM(C254:C255)</f>
        <v>2.9990000000327788</v>
      </c>
      <c r="D256" s="300">
        <f t="shared" ref="D256" si="662">SUM(D254:D255)</f>
        <v>1.0020000000172837</v>
      </c>
      <c r="E256" s="300">
        <f t="shared" si="656"/>
        <v>17.999000000065461</v>
      </c>
      <c r="F256" s="300"/>
      <c r="G256" s="300">
        <f>SUM(G254:G255)</f>
        <v>12.090999999992016</v>
      </c>
      <c r="H256" s="300">
        <f t="shared" ref="H256" si="663">SUM(H254:H255)</f>
        <v>2.909000000053652</v>
      </c>
      <c r="I256" s="300">
        <f t="shared" ref="I256" si="664">SUM(I254:I255)</f>
        <v>3.998000000048318</v>
      </c>
      <c r="J256" s="300">
        <f t="shared" si="657"/>
        <v>18.998000000093988</v>
      </c>
      <c r="K256" s="300"/>
      <c r="L256" s="300">
        <f>SUM(L254:L255)</f>
        <v>11.777999999962789</v>
      </c>
      <c r="M256" s="300">
        <f t="shared" ref="M256" si="665">SUM(M254:M255)</f>
        <v>3.2150000000373256</v>
      </c>
      <c r="N256" s="300">
        <f t="shared" ref="N256" si="666">SUM(N254:N255)</f>
        <v>4.0000000000482876</v>
      </c>
      <c r="O256" s="300">
        <f t="shared" si="658"/>
        <v>18.993000000048404</v>
      </c>
      <c r="P256" s="300"/>
      <c r="Q256" s="300">
        <f>SUM(Q254:Q255)</f>
        <v>9.9850000000771413</v>
      </c>
      <c r="R256" s="300">
        <f t="shared" ref="R256" si="667">SUM(R254:R255)</f>
        <v>2.6910000000469201</v>
      </c>
      <c r="S256" s="300">
        <f t="shared" ref="S256" si="668">SUM(S254:S255)</f>
        <v>3.284000000097945</v>
      </c>
      <c r="T256" s="300">
        <f t="shared" si="659"/>
        <v>15.960000000222006</v>
      </c>
      <c r="U256" s="300"/>
      <c r="V256" s="300">
        <f>SUM(V254:V255)</f>
        <v>9.5839999999954735</v>
      </c>
      <c r="W256" s="300">
        <f t="shared" ref="W256" si="669">SUM(W254:W255)</f>
        <v>2.5319999999921077</v>
      </c>
      <c r="X256" s="300">
        <f t="shared" ref="X256" si="670">SUM(X254:X255)</f>
        <v>2.9580000000762481</v>
      </c>
      <c r="Y256" s="300">
        <f t="shared" si="660"/>
        <v>15.07400000006383</v>
      </c>
    </row>
    <row r="257" spans="1:25" ht="12.45" x14ac:dyDescent="0.3">
      <c r="C257" s="319"/>
      <c r="D257" s="319"/>
      <c r="E257" s="319"/>
      <c r="F257" s="319"/>
      <c r="G257" s="319"/>
      <c r="H257" s="319"/>
      <c r="I257" s="319"/>
      <c r="J257" s="319"/>
      <c r="K257" s="319"/>
      <c r="L257" s="319"/>
      <c r="M257" s="319"/>
      <c r="N257" s="319"/>
      <c r="O257" s="319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</row>
    <row r="258" spans="1:25" ht="12.45" x14ac:dyDescent="0.3">
      <c r="A258" s="261" t="str">
        <f>name!A39</f>
        <v>Air transport</v>
      </c>
      <c r="C258" s="263"/>
    </row>
    <row r="259" spans="1:25" ht="12.45" x14ac:dyDescent="0.3">
      <c r="A259" s="260" t="s">
        <v>356</v>
      </c>
      <c r="B259" s="300">
        <v>21.712999999922662</v>
      </c>
      <c r="C259" s="300">
        <v>14.804000000321107</v>
      </c>
      <c r="D259" s="300">
        <v>0.3100000000032232</v>
      </c>
      <c r="E259" s="300">
        <f>SUM(B259:D259)</f>
        <v>36.82700000024699</v>
      </c>
      <c r="F259" s="300"/>
      <c r="G259" s="300">
        <v>24.372999999811029</v>
      </c>
      <c r="H259" s="300">
        <v>14.623000000324778</v>
      </c>
      <c r="I259" s="300">
        <v>0.68900000000744055</v>
      </c>
      <c r="J259" s="300">
        <f>SUM(G259:I259)</f>
        <v>39.685000000143248</v>
      </c>
      <c r="K259" s="300"/>
      <c r="L259" s="300">
        <v>20.987999999860172</v>
      </c>
      <c r="M259" s="300">
        <v>13.990000000054492</v>
      </c>
      <c r="N259" s="300">
        <v>0.40499999999924424</v>
      </c>
      <c r="O259" s="300">
        <f>SUM(L259:N259)</f>
        <v>35.382999999913906</v>
      </c>
      <c r="P259" s="300"/>
      <c r="Q259" s="300">
        <v>22.813000000502143</v>
      </c>
      <c r="R259" s="300">
        <v>15.275000000163413</v>
      </c>
      <c r="S259" s="300">
        <v>0.44500000000090778</v>
      </c>
      <c r="T259" s="300">
        <f>SUM(Q259:S259)</f>
        <v>38.533000000666469</v>
      </c>
      <c r="U259" s="300"/>
      <c r="V259" s="300">
        <v>24.010999999949096</v>
      </c>
      <c r="W259" s="300">
        <v>16.212999999841941</v>
      </c>
      <c r="X259" s="300">
        <v>0.48100000000249082</v>
      </c>
      <c r="Y259" s="300">
        <f>SUM(V259:X259)</f>
        <v>40.704999999793522</v>
      </c>
    </row>
    <row r="260" spans="1:25" ht="12.45" x14ac:dyDescent="0.3">
      <c r="A260" s="260" t="s">
        <v>355</v>
      </c>
      <c r="B260" s="300">
        <v>31.584000000185558</v>
      </c>
      <c r="C260" s="300">
        <v>7.8970000000916309</v>
      </c>
      <c r="D260" s="300">
        <v>0.69000000001019701</v>
      </c>
      <c r="E260" s="300">
        <f t="shared" ref="E260:E261" si="671">SUM(B260:D260)</f>
        <v>40.171000000287385</v>
      </c>
      <c r="F260" s="300"/>
      <c r="G260" s="300">
        <v>34.84900000018002</v>
      </c>
      <c r="H260" s="300">
        <v>6.1480000000467365</v>
      </c>
      <c r="I260" s="300">
        <v>0.31100000000311051</v>
      </c>
      <c r="J260" s="300">
        <f t="shared" ref="J260:J261" si="672">SUM(G260:I260)</f>
        <v>41.308000000229868</v>
      </c>
      <c r="K260" s="300"/>
      <c r="L260" s="300">
        <v>31.97899999992141</v>
      </c>
      <c r="M260" s="300">
        <v>4.9979999999884894</v>
      </c>
      <c r="N260" s="300">
        <v>3.5949999999753146</v>
      </c>
      <c r="O260" s="300">
        <f t="shared" ref="O260:O261" si="673">SUM(L260:N260)</f>
        <v>40.571999999885215</v>
      </c>
      <c r="P260" s="300"/>
      <c r="Q260" s="300">
        <v>33.869999999976251</v>
      </c>
      <c r="R260" s="300">
        <v>5.3349999999883293</v>
      </c>
      <c r="S260" s="300">
        <v>3.8619999999616552</v>
      </c>
      <c r="T260" s="300">
        <f t="shared" ref="T260:T261" si="674">SUM(Q260:S260)</f>
        <v>43.066999999926232</v>
      </c>
      <c r="U260" s="300"/>
      <c r="V260" s="300">
        <v>33.843000000014889</v>
      </c>
      <c r="W260" s="300">
        <v>5.4249999999982839</v>
      </c>
      <c r="X260" s="300">
        <v>3.9709999999779457</v>
      </c>
      <c r="Y260" s="300">
        <f t="shared" ref="Y260:Y261" si="675">SUM(V260:X260)</f>
        <v>43.238999999991123</v>
      </c>
    </row>
    <row r="261" spans="1:25" ht="12.45" x14ac:dyDescent="0.3">
      <c r="A261" s="260" t="s">
        <v>354</v>
      </c>
      <c r="B261" s="300">
        <f>SUM(B259:B260)</f>
        <v>53.29700000010822</v>
      </c>
      <c r="C261" s="300">
        <f t="shared" ref="C261" si="676">SUM(C259:C260)</f>
        <v>22.701000000412737</v>
      </c>
      <c r="D261" s="300">
        <f t="shared" ref="D261" si="677">SUM(D259:D260)</f>
        <v>1.0000000000134202</v>
      </c>
      <c r="E261" s="300">
        <f t="shared" si="671"/>
        <v>76.998000000534375</v>
      </c>
      <c r="F261" s="300"/>
      <c r="G261" s="300">
        <f>SUM(G259:G260)</f>
        <v>59.221999999991048</v>
      </c>
      <c r="H261" s="300">
        <f t="shared" ref="H261" si="678">SUM(H259:H260)</f>
        <v>20.771000000371515</v>
      </c>
      <c r="I261" s="300">
        <f t="shared" ref="I261" si="679">SUM(I259:I260)</f>
        <v>1.0000000000105511</v>
      </c>
      <c r="J261" s="300">
        <f t="shared" si="672"/>
        <v>80.993000000373115</v>
      </c>
      <c r="K261" s="300"/>
      <c r="L261" s="300">
        <f>SUM(L259:L260)</f>
        <v>52.966999999781578</v>
      </c>
      <c r="M261" s="300">
        <f t="shared" ref="M261" si="680">SUM(M259:M260)</f>
        <v>18.98800000004298</v>
      </c>
      <c r="N261" s="300">
        <f t="shared" ref="N261" si="681">SUM(N259:N260)</f>
        <v>3.999999999974559</v>
      </c>
      <c r="O261" s="300">
        <f t="shared" si="673"/>
        <v>75.954999999799128</v>
      </c>
      <c r="P261" s="300"/>
      <c r="Q261" s="300">
        <f>SUM(Q259:Q260)</f>
        <v>56.683000000478394</v>
      </c>
      <c r="R261" s="300">
        <f t="shared" ref="R261" si="682">SUM(R259:R260)</f>
        <v>20.610000000151743</v>
      </c>
      <c r="S261" s="300">
        <f t="shared" ref="S261" si="683">SUM(S259:S260)</f>
        <v>4.3069999999625628</v>
      </c>
      <c r="T261" s="300">
        <f t="shared" si="674"/>
        <v>81.600000000592701</v>
      </c>
      <c r="U261" s="300"/>
      <c r="V261" s="300">
        <f>SUM(V259:V260)</f>
        <v>57.853999999963989</v>
      </c>
      <c r="W261" s="300">
        <f t="shared" ref="W261" si="684">SUM(W259:W260)</f>
        <v>21.637999999840225</v>
      </c>
      <c r="X261" s="300">
        <f t="shared" ref="X261" si="685">SUM(X259:X260)</f>
        <v>4.4519999999804369</v>
      </c>
      <c r="Y261" s="300">
        <f t="shared" si="675"/>
        <v>83.943999999784666</v>
      </c>
    </row>
    <row r="262" spans="1:25" ht="12.45" x14ac:dyDescent="0.3">
      <c r="C262" s="319"/>
      <c r="D262" s="319"/>
      <c r="E262" s="319"/>
      <c r="F262" s="319"/>
      <c r="G262" s="319"/>
      <c r="H262" s="319"/>
      <c r="I262" s="319"/>
      <c r="J262" s="319"/>
      <c r="K262" s="319"/>
      <c r="L262" s="319"/>
      <c r="M262" s="319"/>
      <c r="N262" s="319"/>
      <c r="O262" s="319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</row>
    <row r="263" spans="1:25" ht="12.45" x14ac:dyDescent="0.3">
      <c r="A263" s="261" t="str">
        <f>name!A40</f>
        <v>Warehousing, etc</v>
      </c>
      <c r="C263" s="263"/>
    </row>
    <row r="264" spans="1:25" ht="12.45" x14ac:dyDescent="0.3">
      <c r="A264" s="260" t="s">
        <v>356</v>
      </c>
      <c r="B264" s="300">
        <v>48.369999999803419</v>
      </c>
      <c r="C264" s="300">
        <v>25.426000000494511</v>
      </c>
      <c r="D264" s="300">
        <v>5.390000000109243</v>
      </c>
      <c r="E264" s="300">
        <f>SUM(B264:D264)</f>
        <v>79.186000000407176</v>
      </c>
      <c r="F264" s="300"/>
      <c r="G264" s="300">
        <v>63.259999999217115</v>
      </c>
      <c r="H264" s="300">
        <v>33.393000000538038</v>
      </c>
      <c r="I264" s="300">
        <v>10.286000000238479</v>
      </c>
      <c r="J264" s="300">
        <f>SUM(G264:I264)</f>
        <v>106.93899999999363</v>
      </c>
      <c r="K264" s="300"/>
      <c r="L264" s="300">
        <v>63.621999999507246</v>
      </c>
      <c r="M264" s="300">
        <v>37.644000000505031</v>
      </c>
      <c r="N264" s="300">
        <v>0.43099999999937216</v>
      </c>
      <c r="O264" s="300">
        <f>SUM(L264:N264)</f>
        <v>101.69700000001164</v>
      </c>
      <c r="P264" s="300"/>
      <c r="Q264" s="300">
        <v>68.867000001815939</v>
      </c>
      <c r="R264" s="300">
        <v>41.559000000675056</v>
      </c>
      <c r="S264" s="300">
        <v>0.47500000000329817</v>
      </c>
      <c r="T264" s="300">
        <f>SUM(Q264:S264)</f>
        <v>110.90100000249429</v>
      </c>
      <c r="U264" s="300"/>
      <c r="V264" s="300">
        <v>72.397999999453845</v>
      </c>
      <c r="W264" s="300">
        <v>46.152999999386005</v>
      </c>
      <c r="X264" s="300">
        <v>0.49200000000939803</v>
      </c>
      <c r="Y264" s="300">
        <f>SUM(V264:X264)</f>
        <v>119.04299999884924</v>
      </c>
    </row>
    <row r="265" spans="1:25" ht="12.45" x14ac:dyDescent="0.3">
      <c r="A265" s="260" t="s">
        <v>355</v>
      </c>
      <c r="B265" s="300">
        <v>342.36500000170582</v>
      </c>
      <c r="C265" s="300">
        <v>33.16800000050047</v>
      </c>
      <c r="D265" s="300">
        <v>28.840000000538407</v>
      </c>
      <c r="E265" s="300">
        <f t="shared" ref="E265:E266" si="686">SUM(B265:D265)</f>
        <v>404.37300000274467</v>
      </c>
      <c r="F265" s="300"/>
      <c r="G265" s="300">
        <v>368.94100000110291</v>
      </c>
      <c r="H265" s="300">
        <v>48.582000000546643</v>
      </c>
      <c r="I265" s="300">
        <v>26.684000000051036</v>
      </c>
      <c r="J265" s="300">
        <f t="shared" ref="J265:J266" si="687">SUM(G265:I265)</f>
        <v>444.20700000170058</v>
      </c>
      <c r="K265" s="300"/>
      <c r="L265" s="300">
        <v>376.45799999964237</v>
      </c>
      <c r="M265" s="300">
        <v>56.357999999871801</v>
      </c>
      <c r="N265" s="300">
        <v>32.868000000381045</v>
      </c>
      <c r="O265" s="300">
        <f t="shared" ref="O265:O266" si="688">SUM(L265:N265)</f>
        <v>465.68399999989526</v>
      </c>
      <c r="P265" s="300"/>
      <c r="Q265" s="300">
        <v>394.63700000096486</v>
      </c>
      <c r="R265" s="300">
        <v>58.58699999998408</v>
      </c>
      <c r="S265" s="300">
        <v>31.728000001034363</v>
      </c>
      <c r="T265" s="300">
        <f t="shared" ref="T265:T266" si="689">SUM(Q265:S265)</f>
        <v>484.95200000198332</v>
      </c>
      <c r="U265" s="300"/>
      <c r="V265" s="300">
        <v>398.75800000113082</v>
      </c>
      <c r="W265" s="300">
        <v>61.559000000151826</v>
      </c>
      <c r="X265" s="300">
        <v>31.286000000817943</v>
      </c>
      <c r="Y265" s="300">
        <f t="shared" ref="Y265:Y266" si="690">SUM(V265:X265)</f>
        <v>491.60300000210054</v>
      </c>
    </row>
    <row r="266" spans="1:25" ht="12.45" x14ac:dyDescent="0.3">
      <c r="A266" s="260" t="s">
        <v>354</v>
      </c>
      <c r="B266" s="300">
        <f>SUM(B264:B265)</f>
        <v>390.73500000150926</v>
      </c>
      <c r="C266" s="300">
        <f t="shared" ref="C266" si="691">SUM(C264:C265)</f>
        <v>58.594000000994981</v>
      </c>
      <c r="D266" s="300">
        <f t="shared" ref="D266" si="692">SUM(D264:D265)</f>
        <v>34.230000000647649</v>
      </c>
      <c r="E266" s="300">
        <f t="shared" si="686"/>
        <v>483.55900000315188</v>
      </c>
      <c r="F266" s="300"/>
      <c r="G266" s="300">
        <f>SUM(G264:G265)</f>
        <v>432.20100000032005</v>
      </c>
      <c r="H266" s="300">
        <f t="shared" ref="H266" si="693">SUM(H264:H265)</f>
        <v>81.97500000108468</v>
      </c>
      <c r="I266" s="300">
        <f t="shared" ref="I266" si="694">SUM(I264:I265)</f>
        <v>36.970000000289517</v>
      </c>
      <c r="J266" s="300">
        <f t="shared" si="687"/>
        <v>551.14600000169423</v>
      </c>
      <c r="K266" s="300"/>
      <c r="L266" s="300">
        <f>SUM(L264:L265)</f>
        <v>440.07999999914961</v>
      </c>
      <c r="M266" s="300">
        <f t="shared" ref="M266" si="695">SUM(M264:M265)</f>
        <v>94.002000000376825</v>
      </c>
      <c r="N266" s="300">
        <f t="shared" ref="N266" si="696">SUM(N264:N265)</f>
        <v>33.299000000380417</v>
      </c>
      <c r="O266" s="300">
        <f t="shared" si="688"/>
        <v>567.38099999990686</v>
      </c>
      <c r="P266" s="300"/>
      <c r="Q266" s="300">
        <f>SUM(Q264:Q265)</f>
        <v>463.5040000027808</v>
      </c>
      <c r="R266" s="300">
        <f t="shared" ref="R266" si="697">SUM(R264:R265)</f>
        <v>100.14600000065914</v>
      </c>
      <c r="S266" s="300">
        <f t="shared" ref="S266" si="698">SUM(S264:S265)</f>
        <v>32.203000001037658</v>
      </c>
      <c r="T266" s="300">
        <f t="shared" si="689"/>
        <v>595.85300000447762</v>
      </c>
      <c r="U266" s="300"/>
      <c r="V266" s="300">
        <f>SUM(V264:V265)</f>
        <v>471.15600000058464</v>
      </c>
      <c r="W266" s="300">
        <f t="shared" ref="W266" si="699">SUM(W264:W265)</f>
        <v>107.71199999953782</v>
      </c>
      <c r="X266" s="300">
        <f t="shared" ref="X266" si="700">SUM(X264:X265)</f>
        <v>31.77800000082734</v>
      </c>
      <c r="Y266" s="300">
        <f t="shared" si="690"/>
        <v>610.64600000094981</v>
      </c>
    </row>
    <row r="267" spans="1:25" ht="12.45" x14ac:dyDescent="0.3">
      <c r="C267" s="319"/>
      <c r="D267" s="319"/>
      <c r="E267" s="319"/>
      <c r="F267" s="319"/>
      <c r="G267" s="319"/>
      <c r="H267" s="319"/>
      <c r="I267" s="319"/>
      <c r="J267" s="319"/>
      <c r="K267" s="319"/>
      <c r="L267" s="319"/>
      <c r="M267" s="319"/>
      <c r="N267" s="319"/>
      <c r="O267" s="319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</row>
    <row r="268" spans="1:25" ht="12.45" x14ac:dyDescent="0.3">
      <c r="A268" s="261" t="str">
        <f>name!A41</f>
        <v>Postal and courier</v>
      </c>
      <c r="C268" s="263"/>
    </row>
    <row r="269" spans="1:25" ht="12.45" x14ac:dyDescent="0.3">
      <c r="A269" s="260" t="s">
        <v>356</v>
      </c>
      <c r="B269" s="300">
        <v>70.111999999937012</v>
      </c>
      <c r="C269" s="300">
        <v>43.282000001011163</v>
      </c>
      <c r="D269" s="300">
        <v>2.6100000000512926</v>
      </c>
      <c r="E269" s="300">
        <f>SUM(B269:D269)</f>
        <v>116.00400000099947</v>
      </c>
      <c r="F269" s="300"/>
      <c r="G269" s="300">
        <v>81.272999999481399</v>
      </c>
      <c r="H269" s="300">
        <v>49.367000001060724</v>
      </c>
      <c r="I269" s="300">
        <v>4.1430000000757685</v>
      </c>
      <c r="J269" s="300">
        <f>SUM(G269:I269)</f>
        <v>134.7830000006179</v>
      </c>
      <c r="K269" s="300"/>
      <c r="L269" s="300">
        <v>81.399999999354179</v>
      </c>
      <c r="M269" s="300">
        <v>55.399000001298887</v>
      </c>
      <c r="N269" s="300">
        <v>5.9969999999678691</v>
      </c>
      <c r="O269" s="300">
        <f>SUM(L269:N269)</f>
        <v>142.79600000062092</v>
      </c>
      <c r="P269" s="300"/>
      <c r="Q269" s="300">
        <v>87.799000002045574</v>
      </c>
      <c r="R269" s="300">
        <v>60.861000002042907</v>
      </c>
      <c r="S269" s="300">
        <v>5.4970000000233483</v>
      </c>
      <c r="T269" s="300">
        <f>SUM(Q269:S269)</f>
        <v>154.15700000411184</v>
      </c>
      <c r="U269" s="300"/>
      <c r="V269" s="300">
        <v>92.03099999933012</v>
      </c>
      <c r="W269" s="300">
        <v>67.268999999139282</v>
      </c>
      <c r="X269" s="300">
        <v>5.1370000000206097</v>
      </c>
      <c r="Y269" s="300">
        <f>SUM(V269:X269)</f>
        <v>164.43699999848999</v>
      </c>
    </row>
    <row r="270" spans="1:25" ht="12.45" x14ac:dyDescent="0.3">
      <c r="A270" s="260" t="s">
        <v>355</v>
      </c>
      <c r="B270" s="300">
        <v>129.28000000118195</v>
      </c>
      <c r="C270" s="300">
        <v>23.945000000419004</v>
      </c>
      <c r="D270" s="300">
        <v>15.161000000155411</v>
      </c>
      <c r="E270" s="300">
        <f t="shared" ref="E270:E271" si="701">SUM(B270:D270)</f>
        <v>168.38600000175637</v>
      </c>
      <c r="F270" s="300"/>
      <c r="G270" s="300">
        <v>124.64800000091574</v>
      </c>
      <c r="H270" s="300">
        <v>31.481000000495737</v>
      </c>
      <c r="I270" s="300">
        <v>12.86699999984895</v>
      </c>
      <c r="J270" s="300">
        <f t="shared" ref="J270:J271" si="702">SUM(G270:I270)</f>
        <v>168.99600000126043</v>
      </c>
      <c r="K270" s="300"/>
      <c r="L270" s="300">
        <v>127.15799999957983</v>
      </c>
      <c r="M270" s="300">
        <v>35.419000000064308</v>
      </c>
      <c r="N270" s="300">
        <v>15.703000000065982</v>
      </c>
      <c r="O270" s="300">
        <f t="shared" ref="O270:O271" si="703">SUM(L270:N270)</f>
        <v>178.2799999997101</v>
      </c>
      <c r="P270" s="300"/>
      <c r="Q270" s="300">
        <v>132.60800000013819</v>
      </c>
      <c r="R270" s="300">
        <v>36.669000000197556</v>
      </c>
      <c r="S270" s="300">
        <v>15.097000000367185</v>
      </c>
      <c r="T270" s="300">
        <f t="shared" ref="T270:T271" si="704">SUM(Q270:S270)</f>
        <v>184.37400000070295</v>
      </c>
      <c r="U270" s="300"/>
      <c r="V270" s="300">
        <v>133.47500000012124</v>
      </c>
      <c r="W270" s="300">
        <v>38.372000000301348</v>
      </c>
      <c r="X270" s="300">
        <v>14.834000000334076</v>
      </c>
      <c r="Y270" s="300">
        <f t="shared" ref="Y270:Y271" si="705">SUM(V270:X270)</f>
        <v>186.68100000075665</v>
      </c>
    </row>
    <row r="271" spans="1:25" ht="12.45" x14ac:dyDescent="0.3">
      <c r="A271" s="260" t="s">
        <v>354</v>
      </c>
      <c r="B271" s="300">
        <f>SUM(B269:B270)</f>
        <v>199.39200000111896</v>
      </c>
      <c r="C271" s="300">
        <f t="shared" ref="C271" si="706">SUM(C269:C270)</f>
        <v>67.22700000143017</v>
      </c>
      <c r="D271" s="300">
        <f t="shared" ref="D271" si="707">SUM(D269:D270)</f>
        <v>17.771000000206705</v>
      </c>
      <c r="E271" s="300">
        <f t="shared" si="701"/>
        <v>284.39000000275581</v>
      </c>
      <c r="F271" s="300"/>
      <c r="G271" s="300">
        <f>SUM(G269:G270)</f>
        <v>205.92100000039716</v>
      </c>
      <c r="H271" s="300">
        <f t="shared" ref="H271" si="708">SUM(H269:H270)</f>
        <v>80.848000001556457</v>
      </c>
      <c r="I271" s="300">
        <f t="shared" ref="I271" si="709">SUM(I269:I270)</f>
        <v>17.00999999992472</v>
      </c>
      <c r="J271" s="300">
        <f t="shared" si="702"/>
        <v>303.77900000187833</v>
      </c>
      <c r="K271" s="300"/>
      <c r="L271" s="300">
        <f>SUM(L269:L270)</f>
        <v>208.55799999893401</v>
      </c>
      <c r="M271" s="300">
        <f t="shared" ref="M271" si="710">SUM(M269:M270)</f>
        <v>90.818000001363203</v>
      </c>
      <c r="N271" s="300">
        <f t="shared" ref="N271" si="711">SUM(N269:N270)</f>
        <v>21.700000000033853</v>
      </c>
      <c r="O271" s="300">
        <f t="shared" si="703"/>
        <v>321.07600000033108</v>
      </c>
      <c r="P271" s="300"/>
      <c r="Q271" s="300">
        <f>SUM(Q269:Q270)</f>
        <v>220.40700000218376</v>
      </c>
      <c r="R271" s="300">
        <f t="shared" ref="R271" si="712">SUM(R269:R270)</f>
        <v>97.530000002240456</v>
      </c>
      <c r="S271" s="300">
        <f t="shared" ref="S271" si="713">SUM(S269:S270)</f>
        <v>20.594000000390533</v>
      </c>
      <c r="T271" s="300">
        <f t="shared" si="704"/>
        <v>338.53100000481476</v>
      </c>
      <c r="U271" s="300"/>
      <c r="V271" s="300">
        <f>SUM(V269:V270)</f>
        <v>225.50599999945138</v>
      </c>
      <c r="W271" s="300">
        <f t="shared" ref="W271" si="714">SUM(W269:W270)</f>
        <v>105.64099999944062</v>
      </c>
      <c r="X271" s="300">
        <f t="shared" ref="X271" si="715">SUM(X269:X270)</f>
        <v>19.971000000354685</v>
      </c>
      <c r="Y271" s="300">
        <f t="shared" si="705"/>
        <v>351.11799999924671</v>
      </c>
    </row>
    <row r="272" spans="1:25" ht="12.45" x14ac:dyDescent="0.3">
      <c r="C272" s="263"/>
    </row>
    <row r="273" spans="1:25" x14ac:dyDescent="0.35">
      <c r="A273" s="261" t="s">
        <v>366</v>
      </c>
    </row>
    <row r="274" spans="1:25" ht="12.45" x14ac:dyDescent="0.3">
      <c r="A274" s="260" t="s">
        <v>356</v>
      </c>
      <c r="B274" s="300">
        <f>SUM(B249,B254,B259,B264,B269)</f>
        <v>201.84099999935518</v>
      </c>
      <c r="C274" s="300">
        <f t="shared" ref="C274:D275" si="716">SUM(C249,C254,C259,C264,C269)</f>
        <v>115.85700000247948</v>
      </c>
      <c r="D274" s="300">
        <f t="shared" si="716"/>
        <v>15.846000000328324</v>
      </c>
      <c r="E274" s="300">
        <f>SUM(B274:D274)</f>
        <v>333.54400000216299</v>
      </c>
      <c r="F274" s="300"/>
      <c r="G274" s="300">
        <f>SUM(G249,G254,G259,G264,G269)</f>
        <v>242.11599999784715</v>
      </c>
      <c r="H274" s="300">
        <f t="shared" ref="H274:I274" si="717">SUM(H249,H254,H259,H264,H269)</f>
        <v>140.59400000251398</v>
      </c>
      <c r="I274" s="300">
        <f t="shared" si="717"/>
        <v>25.519000000496835</v>
      </c>
      <c r="J274" s="300">
        <f>SUM(G274:I274)</f>
        <v>408.22900000085792</v>
      </c>
      <c r="K274" s="300"/>
      <c r="L274" s="300">
        <f>SUM(L249,L254,L259,L264,L269)</f>
        <v>242.36199999811976</v>
      </c>
      <c r="M274" s="300">
        <f t="shared" ref="M274:N274" si="718">SUM(M249,M254,M259,M264,M269)</f>
        <v>156.22200000226132</v>
      </c>
      <c r="N274" s="300">
        <f t="shared" si="718"/>
        <v>24.23599999989078</v>
      </c>
      <c r="O274" s="300">
        <f>SUM(L274:N274)</f>
        <v>422.82000000027188</v>
      </c>
      <c r="P274" s="300"/>
      <c r="Q274" s="300">
        <f>SUM(Q249,Q254,Q259,Q264,Q269)</f>
        <v>263.29300000620867</v>
      </c>
      <c r="R274" s="300">
        <f t="shared" ref="R274:S274" si="719">SUM(R249,R254,R259,R264,R269)</f>
        <v>172.13900000343463</v>
      </c>
      <c r="S274" s="300">
        <f t="shared" si="719"/>
        <v>25.254000000116598</v>
      </c>
      <c r="T274" s="300">
        <f>SUM(Q274:S274)</f>
        <v>460.68600000975988</v>
      </c>
      <c r="U274" s="300"/>
      <c r="V274" s="300">
        <f>SUM(V249,V254,V259,V264,V269)</f>
        <v>276.88299999850631</v>
      </c>
      <c r="W274" s="300">
        <f t="shared" ref="W274:X274" si="720">SUM(W249,W254,W259,W264,W269)</f>
        <v>187.70999999763345</v>
      </c>
      <c r="X274" s="300">
        <f t="shared" si="720"/>
        <v>25.218000000138897</v>
      </c>
      <c r="Y274" s="300">
        <f>SUM(V274:X274)</f>
        <v>489.81099999627861</v>
      </c>
    </row>
    <row r="275" spans="1:25" ht="12.45" x14ac:dyDescent="0.3">
      <c r="A275" s="260" t="s">
        <v>355</v>
      </c>
      <c r="B275" s="300">
        <f>SUM(B250,B255,B260,B265,B270)</f>
        <v>928.19900000600978</v>
      </c>
      <c r="C275" s="300">
        <f t="shared" si="716"/>
        <v>98.006000001663281</v>
      </c>
      <c r="D275" s="300">
        <f t="shared" si="716"/>
        <v>249.15900000366233</v>
      </c>
      <c r="E275" s="300">
        <f t="shared" ref="E275:E276" si="721">SUM(B275:D275)</f>
        <v>1275.3640000113355</v>
      </c>
      <c r="F275" s="300"/>
      <c r="G275" s="300">
        <f>SUM(G250,G255,G260,G265,G270)</f>
        <v>977.91000000423628</v>
      </c>
      <c r="H275" s="300">
        <f t="shared" ref="H275:I275" si="722">SUM(H250,H255,H260,H265,H270)</f>
        <v>130.27800000183771</v>
      </c>
      <c r="I275" s="300">
        <f t="shared" si="722"/>
        <v>295.34699998372776</v>
      </c>
      <c r="J275" s="300">
        <f t="shared" ref="J275:J276" si="723">SUM(G275:I275)</f>
        <v>1403.5349999898017</v>
      </c>
      <c r="K275" s="300"/>
      <c r="L275" s="300">
        <f>SUM(L250,L255,L260,L265,L270)</f>
        <v>979.51999999843429</v>
      </c>
      <c r="M275" s="300">
        <f t="shared" ref="M275:N275" si="724">SUM(M250,M255,M260,M265,M270)</f>
        <v>152.90099999959958</v>
      </c>
      <c r="N275" s="300">
        <f t="shared" si="724"/>
        <v>232.76100000412774</v>
      </c>
      <c r="O275" s="300">
        <f t="shared" ref="O275:O276" si="725">SUM(L275:N275)</f>
        <v>1365.1820000021617</v>
      </c>
      <c r="P275" s="300"/>
      <c r="Q275" s="300">
        <f>SUM(Q250,Q255,Q260,Q265,Q270)</f>
        <v>1029.919000002023</v>
      </c>
      <c r="R275" s="300">
        <f t="shared" ref="R275:S275" si="726">SUM(R250,R255,R260,R265,R270)</f>
        <v>162.07099999995182</v>
      </c>
      <c r="S275" s="300">
        <f t="shared" si="726"/>
        <v>251.74400001626105</v>
      </c>
      <c r="T275" s="300">
        <f t="shared" ref="T275:T276" si="727">SUM(Q275:S275)</f>
        <v>1443.7340000182357</v>
      </c>
      <c r="U275" s="300"/>
      <c r="V275" s="300">
        <f>SUM(V250,V255,V260,V265,V270)</f>
        <v>1016.7030000020679</v>
      </c>
      <c r="W275" s="300">
        <f t="shared" ref="W275:X275" si="728">SUM(W250,W255,W260,W265,W270)</f>
        <v>169.06900000048131</v>
      </c>
      <c r="X275" s="300">
        <f t="shared" si="728"/>
        <v>264.96500001335903</v>
      </c>
      <c r="Y275" s="300">
        <f t="shared" ref="Y275:Y276" si="729">SUM(V275:X275)</f>
        <v>1450.7370000159083</v>
      </c>
    </row>
    <row r="276" spans="1:25" ht="12.45" x14ac:dyDescent="0.3">
      <c r="A276" s="264" t="s">
        <v>354</v>
      </c>
      <c r="B276" s="301">
        <f>SUM(B274:B275)</f>
        <v>1130.0400000053651</v>
      </c>
      <c r="C276" s="301">
        <f t="shared" ref="C276" si="730">SUM(C274:C275)</f>
        <v>213.86300000414275</v>
      </c>
      <c r="D276" s="301">
        <f t="shared" ref="D276" si="731">SUM(D274:D275)</f>
        <v>265.00500000399063</v>
      </c>
      <c r="E276" s="301">
        <f t="shared" si="721"/>
        <v>1608.9080000134986</v>
      </c>
      <c r="F276" s="301"/>
      <c r="G276" s="301">
        <f>SUM(G274:G275)</f>
        <v>1220.0260000020835</v>
      </c>
      <c r="H276" s="301">
        <f t="shared" ref="H276" si="732">SUM(H274:H275)</f>
        <v>270.87200000435166</v>
      </c>
      <c r="I276" s="301">
        <f t="shared" ref="I276" si="733">SUM(I274:I275)</f>
        <v>320.86599998422457</v>
      </c>
      <c r="J276" s="301">
        <f t="shared" si="723"/>
        <v>1811.7639999906598</v>
      </c>
      <c r="K276" s="301"/>
      <c r="L276" s="301">
        <f>SUM(L274:L275)</f>
        <v>1221.881999996554</v>
      </c>
      <c r="M276" s="301">
        <f t="shared" ref="M276" si="734">SUM(M274:M275)</f>
        <v>309.12300000186087</v>
      </c>
      <c r="N276" s="301">
        <f t="shared" ref="N276" si="735">SUM(N274:N275)</f>
        <v>256.9970000040185</v>
      </c>
      <c r="O276" s="301">
        <f t="shared" si="725"/>
        <v>1788.0020000024333</v>
      </c>
      <c r="P276" s="301"/>
      <c r="Q276" s="301">
        <f>SUM(Q274:Q275)</f>
        <v>1293.2120000082318</v>
      </c>
      <c r="R276" s="301">
        <f t="shared" ref="R276" si="736">SUM(R274:R275)</f>
        <v>334.21000000338643</v>
      </c>
      <c r="S276" s="301">
        <f t="shared" ref="S276" si="737">SUM(S274:S275)</f>
        <v>276.99800001637766</v>
      </c>
      <c r="T276" s="301">
        <f t="shared" si="727"/>
        <v>1904.4200000279961</v>
      </c>
      <c r="U276" s="301"/>
      <c r="V276" s="301">
        <f>SUM(V274:V275)</f>
        <v>1293.5860000005741</v>
      </c>
      <c r="W276" s="301">
        <f t="shared" ref="W276" si="738">SUM(W274:W275)</f>
        <v>356.77899999811473</v>
      </c>
      <c r="X276" s="301">
        <f t="shared" ref="X276" si="739">SUM(X274:X275)</f>
        <v>290.18300001349792</v>
      </c>
      <c r="Y276" s="301">
        <f t="shared" si="729"/>
        <v>1940.5480000121865</v>
      </c>
    </row>
    <row r="277" spans="1:25" ht="12.45" x14ac:dyDescent="0.3">
      <c r="C277" s="263"/>
    </row>
    <row r="278" spans="1:25" ht="12.45" x14ac:dyDescent="0.3">
      <c r="C278" s="263"/>
    </row>
    <row r="279" spans="1:25" ht="12.45" x14ac:dyDescent="0.3">
      <c r="C279" s="263"/>
    </row>
    <row r="280" spans="1:25" ht="14.15" x14ac:dyDescent="0.35">
      <c r="A280" s="265" t="str">
        <f>"Industry 11 : "&amp; name!B14</f>
        <v>Industry 11 : Accommodation and food</v>
      </c>
      <c r="B280" s="372">
        <f>$B$5</f>
        <v>2015</v>
      </c>
      <c r="C280" s="372"/>
      <c r="D280" s="372"/>
      <c r="E280" s="372"/>
      <c r="F280" s="320"/>
      <c r="G280" s="372">
        <f>$G$5</f>
        <v>2019</v>
      </c>
      <c r="H280" s="372"/>
      <c r="I280" s="372"/>
      <c r="J280" s="372"/>
      <c r="K280" s="320"/>
      <c r="L280" s="372">
        <f>$L$5</f>
        <v>2020</v>
      </c>
      <c r="M280" s="372"/>
      <c r="N280" s="372"/>
      <c r="O280" s="372"/>
      <c r="P280" s="318"/>
      <c r="Q280" s="372">
        <f>$Q$5</f>
        <v>2025</v>
      </c>
      <c r="R280" s="372"/>
      <c r="S280" s="372"/>
      <c r="T280" s="372"/>
      <c r="U280" s="320"/>
      <c r="V280" s="372">
        <f>$V$5</f>
        <v>2035</v>
      </c>
      <c r="W280" s="372"/>
      <c r="X280" s="372"/>
      <c r="Y280" s="372"/>
    </row>
    <row r="281" spans="1:25" ht="12.45" x14ac:dyDescent="0.3">
      <c r="A281" s="264"/>
      <c r="B281" s="268" t="str">
        <f>$B$6</f>
        <v>FT</v>
      </c>
      <c r="C281" s="268" t="str">
        <f>$C$6</f>
        <v>PT</v>
      </c>
      <c r="D281" s="268" t="str">
        <f>$D$6</f>
        <v>SE</v>
      </c>
      <c r="E281" s="268" t="str">
        <f>$E$6</f>
        <v>Total</v>
      </c>
      <c r="F281" s="268"/>
      <c r="G281" s="268" t="str">
        <f>$B$6</f>
        <v>FT</v>
      </c>
      <c r="H281" s="268" t="str">
        <f>$C$6</f>
        <v>PT</v>
      </c>
      <c r="I281" s="268" t="str">
        <f>$D$6</f>
        <v>SE</v>
      </c>
      <c r="J281" s="268" t="str">
        <f>$E$6</f>
        <v>Total</v>
      </c>
      <c r="K281" s="268"/>
      <c r="L281" s="268" t="str">
        <f>$L$6</f>
        <v>FT</v>
      </c>
      <c r="M281" s="268" t="str">
        <f>$M$6</f>
        <v>PT</v>
      </c>
      <c r="N281" s="268" t="str">
        <f>$N$6</f>
        <v>SE</v>
      </c>
      <c r="O281" s="268" t="str">
        <f>$O$6</f>
        <v>Total</v>
      </c>
      <c r="P281" s="268"/>
      <c r="Q281" s="268" t="str">
        <f>$L$6</f>
        <v>FT</v>
      </c>
      <c r="R281" s="268" t="str">
        <f>$M$6</f>
        <v>PT</v>
      </c>
      <c r="S281" s="268" t="str">
        <f>$N$6</f>
        <v>SE</v>
      </c>
      <c r="T281" s="268" t="str">
        <f>$O$6</f>
        <v>Total</v>
      </c>
      <c r="U281" s="268"/>
      <c r="V281" s="268" t="str">
        <f>$V$6</f>
        <v>FT</v>
      </c>
      <c r="W281" s="268" t="str">
        <f>$W$6</f>
        <v>PT</v>
      </c>
      <c r="X281" s="268" t="str">
        <f>$X$6</f>
        <v>SE</v>
      </c>
      <c r="Y281" s="268" t="str">
        <f>$Y$6</f>
        <v>Total</v>
      </c>
    </row>
    <row r="282" spans="1:25" ht="12.45" x14ac:dyDescent="0.3">
      <c r="C282" s="319"/>
      <c r="D282" s="319"/>
      <c r="E282" s="319"/>
      <c r="F282" s="319"/>
      <c r="G282" s="319"/>
      <c r="H282" s="319"/>
      <c r="I282" s="319"/>
      <c r="J282" s="319"/>
      <c r="K282" s="319"/>
      <c r="L282" s="319"/>
      <c r="M282" s="319"/>
      <c r="N282" s="319"/>
      <c r="O282" s="319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</row>
    <row r="283" spans="1:25" ht="12.45" x14ac:dyDescent="0.3">
      <c r="A283" s="261" t="str">
        <f>name!A42</f>
        <v>Accommodation</v>
      </c>
      <c r="C283" s="263"/>
    </row>
    <row r="284" spans="1:25" ht="12.45" x14ac:dyDescent="0.3">
      <c r="A284" s="260" t="s">
        <v>356</v>
      </c>
      <c r="B284" s="300">
        <v>123.99000000012848</v>
      </c>
      <c r="C284" s="300">
        <v>123.99200000374991</v>
      </c>
      <c r="D284" s="300">
        <v>27.00000000075973</v>
      </c>
      <c r="E284" s="300">
        <f>SUM(B284:D284)</f>
        <v>274.98200000463811</v>
      </c>
      <c r="F284" s="300"/>
      <c r="G284" s="300">
        <v>142.0529999994032</v>
      </c>
      <c r="H284" s="300">
        <v>142.05000000370026</v>
      </c>
      <c r="I284" s="300">
        <v>35.622000001000103</v>
      </c>
      <c r="J284" s="300">
        <f>SUM(G284:I284)</f>
        <v>319.72500000410361</v>
      </c>
      <c r="K284" s="300"/>
      <c r="L284" s="300">
        <v>111.57399999929343</v>
      </c>
      <c r="M284" s="300">
        <v>150.42700000402277</v>
      </c>
      <c r="N284" s="300">
        <v>32.239999999568766</v>
      </c>
      <c r="O284" s="300">
        <f>SUM(L284:N284)</f>
        <v>294.24100000288502</v>
      </c>
      <c r="P284" s="300"/>
      <c r="Q284" s="300">
        <v>122.62200000287784</v>
      </c>
      <c r="R284" s="300">
        <v>170.45500000782084</v>
      </c>
      <c r="S284" s="300">
        <v>36.045000000133349</v>
      </c>
      <c r="T284" s="300">
        <f>SUM(Q284:S284)</f>
        <v>329.12200001083204</v>
      </c>
      <c r="U284" s="300"/>
      <c r="V284" s="300">
        <v>130.88699999927664</v>
      </c>
      <c r="W284" s="300">
        <v>193.27899999801176</v>
      </c>
      <c r="X284" s="300">
        <v>39.824999999741628</v>
      </c>
      <c r="Y284" s="300">
        <f>SUM(V284:X284)</f>
        <v>363.99099999703003</v>
      </c>
    </row>
    <row r="285" spans="1:25" ht="12.45" x14ac:dyDescent="0.3">
      <c r="A285" s="260" t="s">
        <v>355</v>
      </c>
      <c r="B285" s="300">
        <v>142.7030000007112</v>
      </c>
      <c r="C285" s="300">
        <v>57.282000001049447</v>
      </c>
      <c r="D285" s="300">
        <v>17.000000000319083</v>
      </c>
      <c r="E285" s="300">
        <f t="shared" ref="E285:E286" si="740">SUM(B285:D285)</f>
        <v>216.98500000207974</v>
      </c>
      <c r="F285" s="300"/>
      <c r="G285" s="300">
        <v>152.0540000005725</v>
      </c>
      <c r="H285" s="300">
        <v>69.025000001123999</v>
      </c>
      <c r="I285" s="300">
        <v>20.355000000160153</v>
      </c>
      <c r="J285" s="300">
        <f t="shared" ref="J285:J286" si="741">SUM(G285:I285)</f>
        <v>241.43400000185665</v>
      </c>
      <c r="K285" s="300"/>
      <c r="L285" s="300">
        <v>125.99999999930876</v>
      </c>
      <c r="M285" s="300">
        <v>75.99999999960896</v>
      </c>
      <c r="N285" s="300">
        <v>18.134000000196199</v>
      </c>
      <c r="O285" s="300">
        <f t="shared" ref="O285:O286" si="742">SUM(L285:N285)</f>
        <v>220.13399999911391</v>
      </c>
      <c r="P285" s="300"/>
      <c r="Q285" s="300">
        <v>137.95200000014574</v>
      </c>
      <c r="R285" s="300">
        <v>84.246000000287552</v>
      </c>
      <c r="S285" s="300">
        <v>20.280000000471187</v>
      </c>
      <c r="T285" s="300">
        <f t="shared" ref="T285:T286" si="743">SUM(Q285:S285)</f>
        <v>242.47800000090447</v>
      </c>
      <c r="U285" s="300"/>
      <c r="V285" s="300">
        <v>146.0859999997991</v>
      </c>
      <c r="W285" s="300">
        <v>91.516000000285132</v>
      </c>
      <c r="X285" s="300">
        <v>22.415000000309622</v>
      </c>
      <c r="Y285" s="300">
        <f t="shared" ref="Y285:Y286" si="744">SUM(V285:X285)</f>
        <v>260.01700000039386</v>
      </c>
    </row>
    <row r="286" spans="1:25" ht="12.45" x14ac:dyDescent="0.3">
      <c r="A286" s="260" t="s">
        <v>354</v>
      </c>
      <c r="B286" s="300">
        <f>SUM(B284:B285)</f>
        <v>266.69300000083967</v>
      </c>
      <c r="C286" s="300">
        <f t="shared" ref="C286" si="745">SUM(C284:C285)</f>
        <v>181.27400000479935</v>
      </c>
      <c r="D286" s="300">
        <f t="shared" ref="D286" si="746">SUM(D284:D285)</f>
        <v>44.000000001078817</v>
      </c>
      <c r="E286" s="300">
        <f t="shared" si="740"/>
        <v>491.96700000671785</v>
      </c>
      <c r="F286" s="300"/>
      <c r="G286" s="300">
        <f>SUM(G284:G285)</f>
        <v>294.1069999999757</v>
      </c>
      <c r="H286" s="300">
        <f t="shared" ref="H286" si="747">SUM(H284:H285)</f>
        <v>211.07500000482426</v>
      </c>
      <c r="I286" s="300">
        <f t="shared" ref="I286" si="748">SUM(I284:I285)</f>
        <v>55.977000001160256</v>
      </c>
      <c r="J286" s="300">
        <f t="shared" si="741"/>
        <v>561.15900000596025</v>
      </c>
      <c r="K286" s="300"/>
      <c r="L286" s="300">
        <f>SUM(L284:L285)</f>
        <v>237.57399999860218</v>
      </c>
      <c r="M286" s="300">
        <f t="shared" ref="M286" si="749">SUM(M284:M285)</f>
        <v>226.42700000363175</v>
      </c>
      <c r="N286" s="300">
        <f t="shared" ref="N286" si="750">SUM(N284:N285)</f>
        <v>50.373999999764962</v>
      </c>
      <c r="O286" s="300">
        <f t="shared" si="742"/>
        <v>514.37500000199884</v>
      </c>
      <c r="P286" s="300"/>
      <c r="Q286" s="300">
        <f>SUM(Q284:Q285)</f>
        <v>260.57400000302357</v>
      </c>
      <c r="R286" s="300">
        <f t="shared" ref="R286" si="751">SUM(R284:R285)</f>
        <v>254.70100000810839</v>
      </c>
      <c r="S286" s="300">
        <f t="shared" ref="S286" si="752">SUM(S284:S285)</f>
        <v>56.325000000604533</v>
      </c>
      <c r="T286" s="300">
        <f t="shared" si="743"/>
        <v>571.60000001173648</v>
      </c>
      <c r="U286" s="300"/>
      <c r="V286" s="300">
        <f>SUM(V284:V285)</f>
        <v>276.97299999907574</v>
      </c>
      <c r="W286" s="300">
        <f t="shared" ref="W286" si="753">SUM(W284:W285)</f>
        <v>284.79499999829687</v>
      </c>
      <c r="X286" s="300">
        <f t="shared" ref="X286" si="754">SUM(X284:X285)</f>
        <v>62.240000000051253</v>
      </c>
      <c r="Y286" s="300">
        <f t="shared" si="744"/>
        <v>624.00799999742389</v>
      </c>
    </row>
    <row r="287" spans="1:25" ht="12.45" x14ac:dyDescent="0.3">
      <c r="C287" s="319"/>
      <c r="D287" s="319"/>
      <c r="E287" s="319"/>
      <c r="F287" s="319"/>
      <c r="G287" s="319"/>
      <c r="H287" s="319"/>
      <c r="I287" s="319"/>
      <c r="J287" s="319"/>
      <c r="K287" s="319"/>
      <c r="L287" s="319"/>
      <c r="M287" s="319"/>
      <c r="N287" s="319"/>
      <c r="O287" s="319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</row>
    <row r="288" spans="1:25" ht="12.45" x14ac:dyDescent="0.3">
      <c r="A288" s="261" t="str">
        <f>name!A43</f>
        <v>Food and beverage services</v>
      </c>
      <c r="C288" s="263"/>
    </row>
    <row r="289" spans="1:25" ht="12.45" x14ac:dyDescent="0.3">
      <c r="A289" s="260" t="s">
        <v>356</v>
      </c>
      <c r="B289" s="300">
        <v>289.98100000045707</v>
      </c>
      <c r="C289" s="300">
        <v>562.96100001770935</v>
      </c>
      <c r="D289" s="300">
        <v>44.00100000126411</v>
      </c>
      <c r="E289" s="300">
        <f>SUM(B289:D289)</f>
        <v>896.94300001943054</v>
      </c>
      <c r="F289" s="300"/>
      <c r="G289" s="300">
        <v>349.76899999855362</v>
      </c>
      <c r="H289" s="300">
        <v>632.58100001689741</v>
      </c>
      <c r="I289" s="300">
        <v>46.979000001313949</v>
      </c>
      <c r="J289" s="300">
        <f>SUM(G289:I289)</f>
        <v>1029.3290000167651</v>
      </c>
      <c r="K289" s="300"/>
      <c r="L289" s="300">
        <v>328.18199999774077</v>
      </c>
      <c r="M289" s="300">
        <v>635.34900001566314</v>
      </c>
      <c r="N289" s="300">
        <v>50.374999999231342</v>
      </c>
      <c r="O289" s="300">
        <f>SUM(L289:N289)</f>
        <v>1013.9060000126352</v>
      </c>
      <c r="P289" s="300"/>
      <c r="Q289" s="300">
        <v>337.30900000761943</v>
      </c>
      <c r="R289" s="300">
        <v>643.03000002827957</v>
      </c>
      <c r="S289" s="300">
        <v>51.557000000117043</v>
      </c>
      <c r="T289" s="300">
        <f>SUM(Q289:S289)</f>
        <v>1031.8960000360162</v>
      </c>
      <c r="U289" s="300"/>
      <c r="V289" s="300">
        <v>393.14199999789264</v>
      </c>
      <c r="W289" s="300">
        <v>726.61499999232308</v>
      </c>
      <c r="X289" s="300">
        <v>59.584999999601578</v>
      </c>
      <c r="Y289" s="300">
        <f>SUM(V289:X289)</f>
        <v>1179.3419999898174</v>
      </c>
    </row>
    <row r="290" spans="1:25" ht="12.45" x14ac:dyDescent="0.3">
      <c r="A290" s="260" t="s">
        <v>355</v>
      </c>
      <c r="B290" s="300">
        <v>408.97100000235412</v>
      </c>
      <c r="C290" s="300">
        <v>388.97200000754037</v>
      </c>
      <c r="D290" s="300">
        <v>57.001000001083391</v>
      </c>
      <c r="E290" s="300">
        <f t="shared" ref="E290:E291" si="755">SUM(B290:D290)</f>
        <v>854.9440000109779</v>
      </c>
      <c r="F290" s="300"/>
      <c r="G290" s="300">
        <v>445.1600000016528</v>
      </c>
      <c r="H290" s="300">
        <v>429.15300000728212</v>
      </c>
      <c r="I290" s="300">
        <v>59.973000000468602</v>
      </c>
      <c r="J290" s="300">
        <f t="shared" ref="J290:J291" si="756">SUM(G290:I290)</f>
        <v>934.28600000940355</v>
      </c>
      <c r="K290" s="300"/>
      <c r="L290" s="300">
        <v>401.74899999800812</v>
      </c>
      <c r="M290" s="300">
        <v>452.71799999749072</v>
      </c>
      <c r="N290" s="300">
        <v>33.248000000344717</v>
      </c>
      <c r="O290" s="300">
        <f t="shared" ref="O290:O291" si="757">SUM(L290:N290)</f>
        <v>887.71499999584353</v>
      </c>
      <c r="P290" s="300"/>
      <c r="Q290" s="300">
        <v>415.78400000024305</v>
      </c>
      <c r="R290" s="300">
        <v>460.40500000022507</v>
      </c>
      <c r="S290" s="300">
        <v>34.091000000776759</v>
      </c>
      <c r="T290" s="300">
        <f t="shared" ref="T290:T291" si="758">SUM(Q290:S290)</f>
        <v>910.28000000124484</v>
      </c>
      <c r="U290" s="300"/>
      <c r="V290" s="300">
        <v>491.14099999922951</v>
      </c>
      <c r="W290" s="300">
        <v>525.39100000118037</v>
      </c>
      <c r="X290" s="300">
        <v>39.547000000573838</v>
      </c>
      <c r="Y290" s="300">
        <f t="shared" ref="Y290:Y291" si="759">SUM(V290:X290)</f>
        <v>1056.0790000009838</v>
      </c>
    </row>
    <row r="291" spans="1:25" ht="12.45" x14ac:dyDescent="0.3">
      <c r="A291" s="260" t="s">
        <v>354</v>
      </c>
      <c r="B291" s="300">
        <f>SUM(B289:B290)</f>
        <v>698.95200000281125</v>
      </c>
      <c r="C291" s="300">
        <f t="shared" ref="C291" si="760">SUM(C289:C290)</f>
        <v>951.93300002524973</v>
      </c>
      <c r="D291" s="300">
        <f t="shared" ref="D291" si="761">SUM(D289:D290)</f>
        <v>101.0020000023475</v>
      </c>
      <c r="E291" s="300">
        <f t="shared" si="755"/>
        <v>1751.8870000304084</v>
      </c>
      <c r="F291" s="300"/>
      <c r="G291" s="300">
        <f>SUM(G289:G290)</f>
        <v>794.92900000020643</v>
      </c>
      <c r="H291" s="300">
        <f t="shared" ref="H291" si="762">SUM(H289:H290)</f>
        <v>1061.7340000241795</v>
      </c>
      <c r="I291" s="300">
        <f t="shared" ref="I291" si="763">SUM(I289:I290)</f>
        <v>106.95200000178255</v>
      </c>
      <c r="J291" s="300">
        <f t="shared" si="756"/>
        <v>1963.6150000261684</v>
      </c>
      <c r="K291" s="300"/>
      <c r="L291" s="300">
        <f>SUM(L289:L290)</f>
        <v>729.93099999574883</v>
      </c>
      <c r="M291" s="300">
        <f t="shared" ref="M291" si="764">SUM(M289:M290)</f>
        <v>1088.0670000131538</v>
      </c>
      <c r="N291" s="300">
        <f t="shared" ref="N291" si="765">SUM(N289:N290)</f>
        <v>83.622999999576052</v>
      </c>
      <c r="O291" s="300">
        <f t="shared" si="757"/>
        <v>1901.6210000084786</v>
      </c>
      <c r="P291" s="300"/>
      <c r="Q291" s="300">
        <f>SUM(Q289:Q290)</f>
        <v>753.09300000786243</v>
      </c>
      <c r="R291" s="300">
        <f t="shared" ref="R291" si="766">SUM(R289:R290)</f>
        <v>1103.4350000285046</v>
      </c>
      <c r="S291" s="300">
        <f t="shared" ref="S291" si="767">SUM(S289:S290)</f>
        <v>85.648000000893802</v>
      </c>
      <c r="T291" s="300">
        <f t="shared" si="758"/>
        <v>1942.1760000372608</v>
      </c>
      <c r="U291" s="300"/>
      <c r="V291" s="300">
        <f>SUM(V289:V290)</f>
        <v>884.28299999712215</v>
      </c>
      <c r="W291" s="300">
        <f t="shared" ref="W291" si="768">SUM(W289:W290)</f>
        <v>1252.0059999935033</v>
      </c>
      <c r="X291" s="300">
        <f t="shared" ref="X291" si="769">SUM(X289:X290)</f>
        <v>99.132000000175424</v>
      </c>
      <c r="Y291" s="300">
        <f t="shared" si="759"/>
        <v>2235.4209999908012</v>
      </c>
    </row>
    <row r="292" spans="1:25" ht="12.45" x14ac:dyDescent="0.3">
      <c r="C292" s="263"/>
    </row>
    <row r="293" spans="1:25" x14ac:dyDescent="0.35">
      <c r="A293" s="261" t="s">
        <v>365</v>
      </c>
    </row>
    <row r="294" spans="1:25" ht="12.45" x14ac:dyDescent="0.3">
      <c r="A294" s="260" t="s">
        <v>356</v>
      </c>
      <c r="B294" s="300">
        <f>SUM(B284,B289)</f>
        <v>413.97100000058555</v>
      </c>
      <c r="C294" s="300">
        <f t="shared" ref="C294:D295" si="770">SUM(C284,C289)</f>
        <v>686.95300002145927</v>
      </c>
      <c r="D294" s="300">
        <f t="shared" si="770"/>
        <v>71.001000002023844</v>
      </c>
      <c r="E294" s="300">
        <f>SUM(B294:D294)</f>
        <v>1171.9250000240686</v>
      </c>
      <c r="F294" s="300"/>
      <c r="G294" s="300">
        <f>SUM(G284,G289)</f>
        <v>491.82199999795682</v>
      </c>
      <c r="H294" s="300">
        <f t="shared" ref="H294:I294" si="771">SUM(H284,H289)</f>
        <v>774.63100002059764</v>
      </c>
      <c r="I294" s="300">
        <f t="shared" si="771"/>
        <v>82.601000002314052</v>
      </c>
      <c r="J294" s="300">
        <f>SUM(G294:I294)</f>
        <v>1349.0540000208687</v>
      </c>
      <c r="K294" s="300"/>
      <c r="L294" s="300">
        <f>SUM(L284,L289)</f>
        <v>439.75599999703422</v>
      </c>
      <c r="M294" s="300">
        <f t="shared" ref="M294:N294" si="772">SUM(M284,M289)</f>
        <v>785.77600001968585</v>
      </c>
      <c r="N294" s="300">
        <f t="shared" si="772"/>
        <v>82.614999998800101</v>
      </c>
      <c r="O294" s="300">
        <f>SUM(L294:N294)</f>
        <v>1308.1470000155202</v>
      </c>
      <c r="P294" s="300"/>
      <c r="Q294" s="300">
        <f>SUM(Q284,Q289)</f>
        <v>459.93100001049726</v>
      </c>
      <c r="R294" s="300">
        <f t="shared" ref="R294:S294" si="773">SUM(R284,R289)</f>
        <v>813.48500003610047</v>
      </c>
      <c r="S294" s="300">
        <f t="shared" si="773"/>
        <v>87.602000000250399</v>
      </c>
      <c r="T294" s="300">
        <f>SUM(Q294:S294)</f>
        <v>1361.0180000468481</v>
      </c>
      <c r="U294" s="300"/>
      <c r="V294" s="300">
        <f>SUM(V284,V289)</f>
        <v>524.02899999716931</v>
      </c>
      <c r="W294" s="300">
        <f t="shared" ref="W294:X294" si="774">SUM(W284,W289)</f>
        <v>919.89399999033481</v>
      </c>
      <c r="X294" s="300">
        <f t="shared" si="774"/>
        <v>99.409999999343199</v>
      </c>
      <c r="Y294" s="300">
        <f>SUM(V294:X294)</f>
        <v>1543.3329999868474</v>
      </c>
    </row>
    <row r="295" spans="1:25" ht="12.45" x14ac:dyDescent="0.3">
      <c r="A295" s="260" t="s">
        <v>355</v>
      </c>
      <c r="B295" s="300">
        <f>SUM(B285,B290)</f>
        <v>551.67400000306532</v>
      </c>
      <c r="C295" s="300">
        <f t="shared" si="770"/>
        <v>446.2540000085898</v>
      </c>
      <c r="D295" s="300">
        <f t="shared" si="770"/>
        <v>74.001000001402474</v>
      </c>
      <c r="E295" s="300">
        <f t="shared" ref="E295:E296" si="775">SUM(B295:D295)</f>
        <v>1071.9290000130575</v>
      </c>
      <c r="F295" s="300"/>
      <c r="G295" s="300">
        <f>SUM(G285,G290)</f>
        <v>597.21400000222525</v>
      </c>
      <c r="H295" s="300">
        <f t="shared" ref="H295:I295" si="776">SUM(H285,H290)</f>
        <v>498.17800000840612</v>
      </c>
      <c r="I295" s="300">
        <f t="shared" si="776"/>
        <v>80.328000000628748</v>
      </c>
      <c r="J295" s="300">
        <f t="shared" ref="J295:J296" si="777">SUM(G295:I295)</f>
        <v>1175.72000001126</v>
      </c>
      <c r="K295" s="300"/>
      <c r="L295" s="300">
        <f>SUM(L285,L290)</f>
        <v>527.7489999973169</v>
      </c>
      <c r="M295" s="300">
        <f t="shared" ref="M295:N295" si="778">SUM(M285,M290)</f>
        <v>528.7179999970997</v>
      </c>
      <c r="N295" s="300">
        <f t="shared" si="778"/>
        <v>51.382000000540913</v>
      </c>
      <c r="O295" s="300">
        <f t="shared" ref="O295:O296" si="779">SUM(L295:N295)</f>
        <v>1107.8489999949577</v>
      </c>
      <c r="P295" s="300"/>
      <c r="Q295" s="300">
        <f>SUM(Q285,Q290)</f>
        <v>553.7360000003888</v>
      </c>
      <c r="R295" s="300">
        <f t="shared" ref="R295:S295" si="780">SUM(R285,R290)</f>
        <v>544.65100000051257</v>
      </c>
      <c r="S295" s="300">
        <f t="shared" si="780"/>
        <v>54.37100000124795</v>
      </c>
      <c r="T295" s="300">
        <f t="shared" ref="T295:T296" si="781">SUM(Q295:S295)</f>
        <v>1152.7580000021494</v>
      </c>
      <c r="U295" s="300"/>
      <c r="V295" s="300">
        <f>SUM(V285,V290)</f>
        <v>637.22699999902864</v>
      </c>
      <c r="W295" s="300">
        <f t="shared" ref="W295:X295" si="782">SUM(W285,W290)</f>
        <v>616.90700000146546</v>
      </c>
      <c r="X295" s="300">
        <f t="shared" si="782"/>
        <v>61.962000000883464</v>
      </c>
      <c r="Y295" s="300">
        <f t="shared" ref="Y295:Y296" si="783">SUM(V295:X295)</f>
        <v>1316.0960000013777</v>
      </c>
    </row>
    <row r="296" spans="1:25" ht="12.45" x14ac:dyDescent="0.3">
      <c r="A296" s="264" t="s">
        <v>354</v>
      </c>
      <c r="B296" s="301">
        <f>SUM(B294:B295)</f>
        <v>965.64500000365092</v>
      </c>
      <c r="C296" s="301">
        <f t="shared" ref="C296" si="784">SUM(C294:C295)</f>
        <v>1133.2070000300491</v>
      </c>
      <c r="D296" s="301">
        <f t="shared" ref="D296" si="785">SUM(D294:D295)</f>
        <v>145.0020000034263</v>
      </c>
      <c r="E296" s="301">
        <f t="shared" si="775"/>
        <v>2243.8540000371268</v>
      </c>
      <c r="F296" s="301"/>
      <c r="G296" s="301">
        <f>SUM(G294:G295)</f>
        <v>1089.036000000182</v>
      </c>
      <c r="H296" s="301">
        <f t="shared" ref="H296" si="786">SUM(H294:H295)</f>
        <v>1272.8090000290038</v>
      </c>
      <c r="I296" s="301">
        <f t="shared" ref="I296" si="787">SUM(I294:I295)</f>
        <v>162.92900000294281</v>
      </c>
      <c r="J296" s="301">
        <f t="shared" si="777"/>
        <v>2524.7740000321287</v>
      </c>
      <c r="K296" s="301"/>
      <c r="L296" s="301">
        <f>SUM(L294:L295)</f>
        <v>967.50499999435112</v>
      </c>
      <c r="M296" s="301">
        <f t="shared" ref="M296" si="788">SUM(M294:M295)</f>
        <v>1314.4940000167855</v>
      </c>
      <c r="N296" s="301">
        <f t="shared" ref="N296" si="789">SUM(N294:N295)</f>
        <v>133.99699999934103</v>
      </c>
      <c r="O296" s="301">
        <f t="shared" si="779"/>
        <v>2415.9960000104775</v>
      </c>
      <c r="P296" s="301"/>
      <c r="Q296" s="301">
        <f>SUM(Q294:Q295)</f>
        <v>1013.6670000108861</v>
      </c>
      <c r="R296" s="301">
        <f t="shared" ref="R296" si="790">SUM(R294:R295)</f>
        <v>1358.136000036613</v>
      </c>
      <c r="S296" s="301">
        <f t="shared" ref="S296" si="791">SUM(S294:S295)</f>
        <v>141.97300000149835</v>
      </c>
      <c r="T296" s="301">
        <f t="shared" si="781"/>
        <v>2513.7760000489975</v>
      </c>
      <c r="U296" s="301"/>
      <c r="V296" s="301">
        <f>SUM(V294:V295)</f>
        <v>1161.2559999961979</v>
      </c>
      <c r="W296" s="301">
        <f t="shared" ref="W296" si="792">SUM(W294:W295)</f>
        <v>1536.8009999918004</v>
      </c>
      <c r="X296" s="301">
        <f t="shared" ref="X296" si="793">SUM(X294:X295)</f>
        <v>161.37200000022665</v>
      </c>
      <c r="Y296" s="301">
        <f t="shared" si="783"/>
        <v>2859.4289999882249</v>
      </c>
    </row>
    <row r="297" spans="1:25" ht="12.45" x14ac:dyDescent="0.3">
      <c r="C297" s="263"/>
    </row>
    <row r="298" spans="1:25" ht="12.45" x14ac:dyDescent="0.3">
      <c r="C298" s="263"/>
    </row>
    <row r="299" spans="1:25" ht="12.45" x14ac:dyDescent="0.3">
      <c r="C299" s="263"/>
    </row>
    <row r="300" spans="1:25" ht="14.15" x14ac:dyDescent="0.35">
      <c r="A300" s="265" t="str">
        <f>"Industry 12 : "&amp; name!B15</f>
        <v>Industry 12 : Media</v>
      </c>
      <c r="B300" s="372">
        <f>$B$5</f>
        <v>2015</v>
      </c>
      <c r="C300" s="372"/>
      <c r="D300" s="372"/>
      <c r="E300" s="372"/>
      <c r="F300" s="320"/>
      <c r="G300" s="372">
        <f>$G$5</f>
        <v>2019</v>
      </c>
      <c r="H300" s="372"/>
      <c r="I300" s="372"/>
      <c r="J300" s="372"/>
      <c r="K300" s="320"/>
      <c r="L300" s="372">
        <f>$L$5</f>
        <v>2020</v>
      </c>
      <c r="M300" s="372"/>
      <c r="N300" s="372"/>
      <c r="O300" s="372"/>
      <c r="P300" s="318"/>
      <c r="Q300" s="372">
        <f>$Q$5</f>
        <v>2025</v>
      </c>
      <c r="R300" s="372"/>
      <c r="S300" s="372"/>
      <c r="T300" s="372"/>
      <c r="U300" s="320"/>
      <c r="V300" s="372">
        <f>$V$5</f>
        <v>2035</v>
      </c>
      <c r="W300" s="372"/>
      <c r="X300" s="372"/>
      <c r="Y300" s="372"/>
    </row>
    <row r="301" spans="1:25" ht="12.45" x14ac:dyDescent="0.3">
      <c r="A301" s="264"/>
      <c r="B301" s="268" t="str">
        <f>$B$6</f>
        <v>FT</v>
      </c>
      <c r="C301" s="268" t="str">
        <f>$C$6</f>
        <v>PT</v>
      </c>
      <c r="D301" s="268" t="str">
        <f>$D$6</f>
        <v>SE</v>
      </c>
      <c r="E301" s="268" t="str">
        <f>$E$6</f>
        <v>Total</v>
      </c>
      <c r="F301" s="268"/>
      <c r="G301" s="268" t="str">
        <f>$B$6</f>
        <v>FT</v>
      </c>
      <c r="H301" s="268" t="str">
        <f>$C$6</f>
        <v>PT</v>
      </c>
      <c r="I301" s="268" t="str">
        <f>$D$6</f>
        <v>SE</v>
      </c>
      <c r="J301" s="268" t="str">
        <f>$E$6</f>
        <v>Total</v>
      </c>
      <c r="K301" s="268"/>
      <c r="L301" s="268" t="str">
        <f>$L$6</f>
        <v>FT</v>
      </c>
      <c r="M301" s="268" t="str">
        <f>$M$6</f>
        <v>PT</v>
      </c>
      <c r="N301" s="268" t="str">
        <f>$N$6</f>
        <v>SE</v>
      </c>
      <c r="O301" s="268" t="str">
        <f>$O$6</f>
        <v>Total</v>
      </c>
      <c r="P301" s="268"/>
      <c r="Q301" s="268" t="str">
        <f>$L$6</f>
        <v>FT</v>
      </c>
      <c r="R301" s="268" t="str">
        <f>$M$6</f>
        <v>PT</v>
      </c>
      <c r="S301" s="268" t="str">
        <f>$N$6</f>
        <v>SE</v>
      </c>
      <c r="T301" s="268" t="str">
        <f>$O$6</f>
        <v>Total</v>
      </c>
      <c r="U301" s="268"/>
      <c r="V301" s="268" t="str">
        <f>$V$6</f>
        <v>FT</v>
      </c>
      <c r="W301" s="268" t="str">
        <f>$W$6</f>
        <v>PT</v>
      </c>
      <c r="X301" s="268" t="str">
        <f>$X$6</f>
        <v>SE</v>
      </c>
      <c r="Y301" s="268" t="str">
        <f>$Y$6</f>
        <v>Total</v>
      </c>
    </row>
    <row r="302" spans="1:25" ht="12.45" x14ac:dyDescent="0.3">
      <c r="C302" s="319"/>
      <c r="D302" s="319"/>
      <c r="E302" s="319"/>
      <c r="F302" s="319"/>
      <c r="G302" s="319"/>
      <c r="H302" s="319"/>
      <c r="I302" s="319"/>
      <c r="J302" s="319"/>
      <c r="K302" s="319"/>
      <c r="L302" s="319"/>
      <c r="M302" s="319"/>
      <c r="N302" s="319"/>
      <c r="O302" s="319"/>
      <c r="P302" s="319"/>
      <c r="Q302" s="319"/>
      <c r="R302" s="319"/>
      <c r="S302" s="319"/>
      <c r="T302" s="319"/>
      <c r="U302" s="319"/>
      <c r="V302" s="319"/>
      <c r="W302" s="319"/>
      <c r="X302" s="319"/>
      <c r="Y302" s="319"/>
    </row>
    <row r="303" spans="1:25" ht="12.45" x14ac:dyDescent="0.3">
      <c r="A303" s="261" t="str">
        <f>name!A44</f>
        <v>Publishing activities</v>
      </c>
      <c r="C303" s="263"/>
    </row>
    <row r="304" spans="1:25" ht="12.45" x14ac:dyDescent="0.3">
      <c r="A304" s="260" t="s">
        <v>356</v>
      </c>
      <c r="B304" s="300">
        <v>37.138999999542179</v>
      </c>
      <c r="C304" s="300">
        <v>14.027000000046637</v>
      </c>
      <c r="D304" s="300">
        <v>16.909000000095883</v>
      </c>
      <c r="E304" s="300">
        <f>SUM(B304:D304)</f>
        <v>68.074999999684707</v>
      </c>
      <c r="F304" s="300"/>
      <c r="G304" s="300">
        <v>34.778999999459423</v>
      </c>
      <c r="H304" s="300">
        <v>10.115000000031236</v>
      </c>
      <c r="I304" s="300">
        <v>19.38400000017052</v>
      </c>
      <c r="J304" s="300">
        <f>SUM(G304:I304)</f>
        <v>64.277999999661176</v>
      </c>
      <c r="K304" s="300"/>
      <c r="L304" s="300">
        <v>37.434999999816135</v>
      </c>
      <c r="M304" s="300">
        <v>9.9549999999811423</v>
      </c>
      <c r="N304" s="300">
        <v>19.88799999957844</v>
      </c>
      <c r="O304" s="300">
        <f>SUM(L304:N304)</f>
        <v>67.277999999375709</v>
      </c>
      <c r="P304" s="300"/>
      <c r="Q304" s="300">
        <v>37.79300000084833</v>
      </c>
      <c r="R304" s="300">
        <v>10.084999999984451</v>
      </c>
      <c r="S304" s="300">
        <v>19.375999999800928</v>
      </c>
      <c r="T304" s="300">
        <f>SUM(Q304:S304)</f>
        <v>67.25400000063371</v>
      </c>
      <c r="U304" s="300"/>
      <c r="V304" s="300">
        <v>38.440000000020582</v>
      </c>
      <c r="W304" s="300">
        <v>10.148999999958541</v>
      </c>
      <c r="X304" s="300">
        <v>18.353000000095179</v>
      </c>
      <c r="Y304" s="300">
        <f>SUM(V304:X304)</f>
        <v>66.942000000074302</v>
      </c>
    </row>
    <row r="305" spans="1:25" ht="12.45" x14ac:dyDescent="0.3">
      <c r="A305" s="260" t="s">
        <v>355</v>
      </c>
      <c r="B305" s="300">
        <v>63.205999999284039</v>
      </c>
      <c r="C305" s="300">
        <v>13.200999999999246</v>
      </c>
      <c r="D305" s="300">
        <v>28.419000000399848</v>
      </c>
      <c r="E305" s="300">
        <f t="shared" ref="E305:E306" si="794">SUM(B305:D305)</f>
        <v>104.82599999968313</v>
      </c>
      <c r="F305" s="300"/>
      <c r="G305" s="300">
        <v>60.831999999465943</v>
      </c>
      <c r="H305" s="300">
        <v>6.8629999999767222</v>
      </c>
      <c r="I305" s="300">
        <v>25.675999999955113</v>
      </c>
      <c r="J305" s="300">
        <f t="shared" ref="J305:J306" si="795">SUM(G305:I305)</f>
        <v>93.370999999397782</v>
      </c>
      <c r="K305" s="300"/>
      <c r="L305" s="300">
        <v>60.969999999954595</v>
      </c>
      <c r="M305" s="300">
        <v>9.3990000000066445</v>
      </c>
      <c r="N305" s="300">
        <v>21.102000000538695</v>
      </c>
      <c r="O305" s="300">
        <f t="shared" ref="O305:O306" si="796">SUM(L305:N305)</f>
        <v>91.471000000499927</v>
      </c>
      <c r="P305" s="300"/>
      <c r="Q305" s="300">
        <v>60.933000000103561</v>
      </c>
      <c r="R305" s="300">
        <v>9.7320000000067584</v>
      </c>
      <c r="S305" s="300">
        <v>21.321000001189478</v>
      </c>
      <c r="T305" s="300">
        <f t="shared" ref="T305:T306" si="797">SUM(Q305:S305)</f>
        <v>91.9860000012998</v>
      </c>
      <c r="U305" s="300"/>
      <c r="V305" s="300">
        <v>60.776000000024283</v>
      </c>
      <c r="W305" s="300">
        <v>10.354000000006788</v>
      </c>
      <c r="X305" s="300">
        <v>21.693000000873202</v>
      </c>
      <c r="Y305" s="300">
        <f t="shared" ref="Y305:Y306" si="798">SUM(V305:X305)</f>
        <v>92.823000000904273</v>
      </c>
    </row>
    <row r="306" spans="1:25" ht="12.45" x14ac:dyDescent="0.3">
      <c r="A306" s="260" t="s">
        <v>354</v>
      </c>
      <c r="B306" s="300">
        <f>SUM(B304:B305)</f>
        <v>100.34499999882621</v>
      </c>
      <c r="C306" s="300">
        <f t="shared" ref="C306" si="799">SUM(C304:C305)</f>
        <v>27.228000000045881</v>
      </c>
      <c r="D306" s="300">
        <f t="shared" ref="D306" si="800">SUM(D304:D305)</f>
        <v>45.328000000495734</v>
      </c>
      <c r="E306" s="300">
        <f t="shared" si="794"/>
        <v>172.90099999936783</v>
      </c>
      <c r="F306" s="300"/>
      <c r="G306" s="300">
        <f>SUM(G304:G305)</f>
        <v>95.610999998925365</v>
      </c>
      <c r="H306" s="300">
        <f t="shared" ref="H306" si="801">SUM(H304:H305)</f>
        <v>16.97800000000796</v>
      </c>
      <c r="I306" s="300">
        <f t="shared" ref="I306" si="802">SUM(I304:I305)</f>
        <v>45.060000000125633</v>
      </c>
      <c r="J306" s="300">
        <f t="shared" si="795"/>
        <v>157.64899999905896</v>
      </c>
      <c r="K306" s="300"/>
      <c r="L306" s="300">
        <f>SUM(L304:L305)</f>
        <v>98.404999999770723</v>
      </c>
      <c r="M306" s="300">
        <f t="shared" ref="M306" si="803">SUM(M304:M305)</f>
        <v>19.353999999987785</v>
      </c>
      <c r="N306" s="300">
        <f t="shared" ref="N306" si="804">SUM(N304:N305)</f>
        <v>40.990000000117135</v>
      </c>
      <c r="O306" s="300">
        <f t="shared" si="796"/>
        <v>158.74899999987565</v>
      </c>
      <c r="P306" s="300"/>
      <c r="Q306" s="300">
        <f>SUM(Q304:Q305)</f>
        <v>98.726000000951899</v>
      </c>
      <c r="R306" s="300">
        <f t="shared" ref="R306" si="805">SUM(R304:R305)</f>
        <v>19.816999999991211</v>
      </c>
      <c r="S306" s="300">
        <f t="shared" ref="S306" si="806">SUM(S304:S305)</f>
        <v>40.697000000990407</v>
      </c>
      <c r="T306" s="300">
        <f t="shared" si="797"/>
        <v>159.24000000193351</v>
      </c>
      <c r="U306" s="300"/>
      <c r="V306" s="300">
        <f>SUM(V304:V305)</f>
        <v>99.216000000044858</v>
      </c>
      <c r="W306" s="300">
        <f t="shared" ref="W306" si="807">SUM(W304:W305)</f>
        <v>20.502999999965329</v>
      </c>
      <c r="X306" s="300">
        <f t="shared" ref="X306" si="808">SUM(X304:X305)</f>
        <v>40.046000000968377</v>
      </c>
      <c r="Y306" s="300">
        <f t="shared" si="798"/>
        <v>159.76500000097855</v>
      </c>
    </row>
    <row r="307" spans="1:25" ht="12.45" x14ac:dyDescent="0.3">
      <c r="C307" s="319"/>
      <c r="D307" s="319"/>
      <c r="E307" s="319"/>
      <c r="F307" s="319"/>
      <c r="G307" s="319"/>
      <c r="H307" s="319"/>
      <c r="I307" s="319"/>
      <c r="J307" s="319"/>
      <c r="K307" s="319"/>
      <c r="L307" s="319"/>
      <c r="M307" s="319"/>
      <c r="N307" s="319"/>
      <c r="O307" s="319"/>
      <c r="P307" s="319"/>
      <c r="Q307" s="319"/>
      <c r="R307" s="319"/>
      <c r="S307" s="319"/>
      <c r="T307" s="319"/>
      <c r="U307" s="319"/>
      <c r="V307" s="319"/>
      <c r="W307" s="319"/>
      <c r="X307" s="319"/>
      <c r="Y307" s="319"/>
    </row>
    <row r="308" spans="1:25" ht="12.45" x14ac:dyDescent="0.3">
      <c r="A308" s="261" t="str">
        <f>name!A45</f>
        <v>Film and music</v>
      </c>
      <c r="C308" s="263"/>
    </row>
    <row r="309" spans="1:25" ht="12.45" x14ac:dyDescent="0.3">
      <c r="A309" s="260" t="s">
        <v>356</v>
      </c>
      <c r="B309" s="300">
        <v>47.619999999632036</v>
      </c>
      <c r="C309" s="300">
        <v>18.772000000175218</v>
      </c>
      <c r="D309" s="300">
        <v>11.938000000102408</v>
      </c>
      <c r="E309" s="300">
        <f>SUM(B309:D309)</f>
        <v>78.32999999990966</v>
      </c>
      <c r="F309" s="300"/>
      <c r="G309" s="300">
        <v>52.355999999546682</v>
      </c>
      <c r="H309" s="300">
        <v>25.842000000222626</v>
      </c>
      <c r="I309" s="300">
        <v>8.954000000095343</v>
      </c>
      <c r="J309" s="300">
        <f>SUM(G309:I309)</f>
        <v>87.151999999864657</v>
      </c>
      <c r="K309" s="300"/>
      <c r="L309" s="300">
        <v>53.985999999931749</v>
      </c>
      <c r="M309" s="300">
        <v>24.912000000143724</v>
      </c>
      <c r="N309" s="300">
        <v>10.210999999737082</v>
      </c>
      <c r="O309" s="300">
        <f>SUM(L309:N309)</f>
        <v>89.108999999812553</v>
      </c>
      <c r="P309" s="300"/>
      <c r="Q309" s="300">
        <v>54.789000000700398</v>
      </c>
      <c r="R309" s="300">
        <v>25.08600000021956</v>
      </c>
      <c r="S309" s="300">
        <v>10.386999999889817</v>
      </c>
      <c r="T309" s="300">
        <f>SUM(Q309:S309)</f>
        <v>90.262000000809763</v>
      </c>
      <c r="U309" s="300"/>
      <c r="V309" s="300">
        <v>55.992000000137871</v>
      </c>
      <c r="W309" s="300">
        <v>25.375999999907396</v>
      </c>
      <c r="X309" s="300">
        <v>10.573000000165949</v>
      </c>
      <c r="Y309" s="300">
        <f>SUM(V309:X309)</f>
        <v>91.941000000211218</v>
      </c>
    </row>
    <row r="310" spans="1:25" ht="12.45" x14ac:dyDescent="0.3">
      <c r="A310" s="260" t="s">
        <v>355</v>
      </c>
      <c r="B310" s="300">
        <v>40.667999999898001</v>
      </c>
      <c r="C310" s="300">
        <v>8.9820000000889131</v>
      </c>
      <c r="D310" s="300">
        <v>23.039000000529605</v>
      </c>
      <c r="E310" s="300">
        <f t="shared" ref="E310:E311" si="809">SUM(B310:D310)</f>
        <v>72.689000000516529</v>
      </c>
      <c r="F310" s="300"/>
      <c r="G310" s="300">
        <v>44.910999999956466</v>
      </c>
      <c r="H310" s="300">
        <v>10.905000000088165</v>
      </c>
      <c r="I310" s="300">
        <v>29.928000000008911</v>
      </c>
      <c r="J310" s="300">
        <f t="shared" ref="J310:J311" si="810">SUM(G310:I310)</f>
        <v>85.744000000053546</v>
      </c>
      <c r="K310" s="300"/>
      <c r="L310" s="300">
        <v>45.536000000022874</v>
      </c>
      <c r="M310" s="300">
        <v>13.015000000016142</v>
      </c>
      <c r="N310" s="300">
        <v>22.664000000858007</v>
      </c>
      <c r="O310" s="300">
        <f t="shared" ref="O310:O311" si="811">SUM(L310:N310)</f>
        <v>81.215000000897021</v>
      </c>
      <c r="P310" s="300"/>
      <c r="Q310" s="300">
        <v>46.135000000057019</v>
      </c>
      <c r="R310" s="300">
        <v>13.550000000044898</v>
      </c>
      <c r="S310" s="300">
        <v>23.040000001879189</v>
      </c>
      <c r="T310" s="300">
        <f t="shared" ref="T310:T311" si="812">SUM(Q310:S310)</f>
        <v>82.725000001981101</v>
      </c>
      <c r="U310" s="300"/>
      <c r="V310" s="300">
        <v>46.385000000101897</v>
      </c>
      <c r="W310" s="300">
        <v>14.572000000062927</v>
      </c>
      <c r="X310" s="300">
        <v>23.583000001462501</v>
      </c>
      <c r="Y310" s="300">
        <f t="shared" ref="Y310:Y311" si="813">SUM(V310:X310)</f>
        <v>84.540000001627334</v>
      </c>
    </row>
    <row r="311" spans="1:25" ht="12.45" x14ac:dyDescent="0.3">
      <c r="A311" s="260" t="s">
        <v>354</v>
      </c>
      <c r="B311" s="300">
        <f>SUM(B309:B310)</f>
        <v>88.28799999953003</v>
      </c>
      <c r="C311" s="300">
        <f t="shared" ref="C311" si="814">SUM(C309:C310)</f>
        <v>27.754000000264131</v>
      </c>
      <c r="D311" s="300">
        <f t="shared" ref="D311" si="815">SUM(D309:D310)</f>
        <v>34.97700000063201</v>
      </c>
      <c r="E311" s="300">
        <f t="shared" si="809"/>
        <v>151.01900000042616</v>
      </c>
      <c r="F311" s="300"/>
      <c r="G311" s="300">
        <f>SUM(G309:G310)</f>
        <v>97.266999999503156</v>
      </c>
      <c r="H311" s="300">
        <f t="shared" ref="H311" si="816">SUM(H309:H310)</f>
        <v>36.747000000310791</v>
      </c>
      <c r="I311" s="300">
        <f t="shared" ref="I311" si="817">SUM(I309:I310)</f>
        <v>38.882000000104256</v>
      </c>
      <c r="J311" s="300">
        <f t="shared" si="810"/>
        <v>172.89599999991822</v>
      </c>
      <c r="K311" s="300"/>
      <c r="L311" s="300">
        <f>SUM(L309:L310)</f>
        <v>99.52199999995463</v>
      </c>
      <c r="M311" s="300">
        <f t="shared" ref="M311" si="818">SUM(M309:M310)</f>
        <v>37.927000000159865</v>
      </c>
      <c r="N311" s="300">
        <f t="shared" ref="N311" si="819">SUM(N309:N310)</f>
        <v>32.875000000595087</v>
      </c>
      <c r="O311" s="300">
        <f t="shared" si="811"/>
        <v>170.32400000070959</v>
      </c>
      <c r="P311" s="300"/>
      <c r="Q311" s="300">
        <f>SUM(Q309:Q310)</f>
        <v>100.92400000075742</v>
      </c>
      <c r="R311" s="300">
        <f t="shared" ref="R311" si="820">SUM(R309:R310)</f>
        <v>38.63600000026446</v>
      </c>
      <c r="S311" s="300">
        <f t="shared" ref="S311" si="821">SUM(S309:S310)</f>
        <v>33.427000001769002</v>
      </c>
      <c r="T311" s="300">
        <f t="shared" si="812"/>
        <v>172.98700000279086</v>
      </c>
      <c r="U311" s="300"/>
      <c r="V311" s="300">
        <f>SUM(V309:V310)</f>
        <v>102.37700000023978</v>
      </c>
      <c r="W311" s="300">
        <f t="shared" ref="W311" si="822">SUM(W309:W310)</f>
        <v>39.947999999970321</v>
      </c>
      <c r="X311" s="300">
        <f t="shared" ref="X311" si="823">SUM(X309:X310)</f>
        <v>34.156000001628449</v>
      </c>
      <c r="Y311" s="300">
        <f t="shared" si="813"/>
        <v>176.48100000183854</v>
      </c>
    </row>
    <row r="312" spans="1:25" ht="12.45" x14ac:dyDescent="0.3">
      <c r="C312" s="319"/>
      <c r="D312" s="319"/>
      <c r="E312" s="319"/>
      <c r="F312" s="319"/>
      <c r="G312" s="319"/>
      <c r="H312" s="319"/>
      <c r="I312" s="319"/>
      <c r="J312" s="319"/>
      <c r="K312" s="319"/>
      <c r="L312" s="319"/>
      <c r="M312" s="319"/>
      <c r="N312" s="319"/>
      <c r="O312" s="319"/>
      <c r="P312" s="319"/>
      <c r="Q312" s="319"/>
      <c r="R312" s="319"/>
      <c r="S312" s="319"/>
      <c r="T312" s="319"/>
      <c r="U312" s="319"/>
      <c r="V312" s="319"/>
      <c r="W312" s="319"/>
      <c r="X312" s="319"/>
      <c r="Y312" s="319"/>
    </row>
    <row r="313" spans="1:25" ht="12.45" x14ac:dyDescent="0.3">
      <c r="A313" s="261" t="str">
        <f>name!A46</f>
        <v>Broadcasting</v>
      </c>
      <c r="C313" s="263"/>
    </row>
    <row r="314" spans="1:25" ht="12.45" x14ac:dyDescent="0.3">
      <c r="A314" s="260" t="s">
        <v>356</v>
      </c>
      <c r="B314" s="300">
        <v>8.0959999999166214</v>
      </c>
      <c r="C314" s="300">
        <v>1.4480000000030875</v>
      </c>
      <c r="D314" s="300">
        <v>2.2120000000049838</v>
      </c>
      <c r="E314" s="300">
        <f>SUM(B314:D314)</f>
        <v>11.755999999924693</v>
      </c>
      <c r="F314" s="300"/>
      <c r="G314" s="300">
        <v>7.2869999999299218</v>
      </c>
      <c r="H314" s="300">
        <v>2.2510000000030206</v>
      </c>
      <c r="I314" s="300">
        <v>6.9540000000973858</v>
      </c>
      <c r="J314" s="300">
        <f>SUM(G314:I314)</f>
        <v>16.49200000003033</v>
      </c>
      <c r="K314" s="300"/>
      <c r="L314" s="300">
        <v>7.8670000000038804</v>
      </c>
      <c r="M314" s="300">
        <v>2.3029999999974273</v>
      </c>
      <c r="N314" s="300">
        <v>6.955999999892275</v>
      </c>
      <c r="O314" s="300">
        <f>SUM(L314:N314)</f>
        <v>17.125999999893583</v>
      </c>
      <c r="P314" s="300"/>
      <c r="Q314" s="300">
        <v>8.1170000001374252</v>
      </c>
      <c r="R314" s="300">
        <v>2.3950000000001483</v>
      </c>
      <c r="S314" s="300">
        <v>6.7850000000481998</v>
      </c>
      <c r="T314" s="300">
        <f>SUM(Q314:S314)</f>
        <v>17.297000000185776</v>
      </c>
      <c r="U314" s="300"/>
      <c r="V314" s="300">
        <v>8.354000000018738</v>
      </c>
      <c r="W314" s="300">
        <v>2.4439999999935362</v>
      </c>
      <c r="X314" s="300">
        <v>6.2970000000649771</v>
      </c>
      <c r="Y314" s="300">
        <f>SUM(V314:X314)</f>
        <v>17.095000000077253</v>
      </c>
    </row>
    <row r="315" spans="1:25" ht="12.45" x14ac:dyDescent="0.3">
      <c r="A315" s="260" t="s">
        <v>355</v>
      </c>
      <c r="B315" s="300">
        <v>19.497999999841024</v>
      </c>
      <c r="C315" s="300">
        <v>1.5540000000109955</v>
      </c>
      <c r="D315" s="300">
        <v>8.0070000001737203</v>
      </c>
      <c r="E315" s="300">
        <f t="shared" ref="E315:E316" si="824">SUM(B315:D315)</f>
        <v>29.05900000002574</v>
      </c>
      <c r="F315" s="300"/>
      <c r="G315" s="300">
        <v>20.926999999890501</v>
      </c>
      <c r="H315" s="300">
        <v>2.12600000001015</v>
      </c>
      <c r="I315" s="300">
        <v>9.4729999999918526</v>
      </c>
      <c r="J315" s="300">
        <f t="shared" ref="J315:J316" si="825">SUM(G315:I315)</f>
        <v>32.525999999892505</v>
      </c>
      <c r="K315" s="300"/>
      <c r="L315" s="300">
        <v>20.888999999991274</v>
      </c>
      <c r="M315" s="300">
        <v>2.7380000000010956</v>
      </c>
      <c r="N315" s="300">
        <v>7.6970000003189796</v>
      </c>
      <c r="O315" s="300">
        <f t="shared" ref="O315:O316" si="826">SUM(L315:N315)</f>
        <v>31.324000000311351</v>
      </c>
      <c r="P315" s="300"/>
      <c r="Q315" s="300">
        <v>21.096000000046143</v>
      </c>
      <c r="R315" s="300">
        <v>2.8900000000036927</v>
      </c>
      <c r="S315" s="300">
        <v>7.8860000006864404</v>
      </c>
      <c r="T315" s="300">
        <f t="shared" ref="T315:T316" si="827">SUM(Q315:S315)</f>
        <v>31.872000000736275</v>
      </c>
      <c r="U315" s="300"/>
      <c r="V315" s="300">
        <v>21.188000000061969</v>
      </c>
      <c r="W315" s="300">
        <v>3.1200000000052781</v>
      </c>
      <c r="X315" s="300">
        <v>8.0840000005317627</v>
      </c>
      <c r="Y315" s="300">
        <f t="shared" ref="Y315:Y316" si="828">SUM(V315:X315)</f>
        <v>32.392000000599012</v>
      </c>
    </row>
    <row r="316" spans="1:25" ht="12.45" x14ac:dyDescent="0.3">
      <c r="A316" s="260" t="s">
        <v>354</v>
      </c>
      <c r="B316" s="300">
        <f>SUM(B314:B315)</f>
        <v>27.593999999757646</v>
      </c>
      <c r="C316" s="300">
        <f t="shared" ref="C316" si="829">SUM(C314:C315)</f>
        <v>3.0020000000140827</v>
      </c>
      <c r="D316" s="300">
        <f t="shared" ref="D316" si="830">SUM(D314:D315)</f>
        <v>10.219000000178704</v>
      </c>
      <c r="E316" s="300">
        <f t="shared" si="824"/>
        <v>40.81499999995043</v>
      </c>
      <c r="F316" s="300"/>
      <c r="G316" s="300">
        <f>SUM(G314:G315)</f>
        <v>28.213999999820423</v>
      </c>
      <c r="H316" s="300">
        <f t="shared" ref="H316" si="831">SUM(H314:H315)</f>
        <v>4.3770000000131706</v>
      </c>
      <c r="I316" s="300">
        <f t="shared" ref="I316" si="832">SUM(I314:I315)</f>
        <v>16.427000000089237</v>
      </c>
      <c r="J316" s="300">
        <f t="shared" si="825"/>
        <v>49.017999999922829</v>
      </c>
      <c r="K316" s="300"/>
      <c r="L316" s="300">
        <f>SUM(L314:L315)</f>
        <v>28.755999999995154</v>
      </c>
      <c r="M316" s="300">
        <f t="shared" ref="M316" si="833">SUM(M314:M315)</f>
        <v>5.0409999999985224</v>
      </c>
      <c r="N316" s="300">
        <f t="shared" ref="N316" si="834">SUM(N314:N315)</f>
        <v>14.653000000211254</v>
      </c>
      <c r="O316" s="300">
        <f t="shared" si="826"/>
        <v>48.450000000204923</v>
      </c>
      <c r="P316" s="300"/>
      <c r="Q316" s="300">
        <f>SUM(Q314:Q315)</f>
        <v>29.21300000018357</v>
      </c>
      <c r="R316" s="300">
        <f t="shared" ref="R316" si="835">SUM(R314:R315)</f>
        <v>5.2850000000038406</v>
      </c>
      <c r="S316" s="300">
        <f t="shared" ref="S316" si="836">SUM(S314:S315)</f>
        <v>14.67100000073464</v>
      </c>
      <c r="T316" s="300">
        <f t="shared" si="827"/>
        <v>49.169000000922054</v>
      </c>
      <c r="U316" s="300"/>
      <c r="V316" s="300">
        <f>SUM(V314:V315)</f>
        <v>29.542000000080705</v>
      </c>
      <c r="W316" s="300">
        <f t="shared" ref="W316" si="837">SUM(W314:W315)</f>
        <v>5.5639999999988143</v>
      </c>
      <c r="X316" s="300">
        <f t="shared" ref="X316" si="838">SUM(X314:X315)</f>
        <v>14.381000000596739</v>
      </c>
      <c r="Y316" s="300">
        <f t="shared" si="828"/>
        <v>49.487000000676261</v>
      </c>
    </row>
    <row r="317" spans="1:25" ht="12.45" x14ac:dyDescent="0.3">
      <c r="C317" s="263"/>
    </row>
    <row r="318" spans="1:25" ht="12.45" x14ac:dyDescent="0.3">
      <c r="A318" s="261" t="s">
        <v>364</v>
      </c>
      <c r="C318" s="263"/>
    </row>
    <row r="319" spans="1:25" ht="12.45" x14ac:dyDescent="0.3">
      <c r="A319" s="260" t="s">
        <v>356</v>
      </c>
      <c r="B319" s="300">
        <f>SUM(B304,B309,B314)</f>
        <v>92.854999999090836</v>
      </c>
      <c r="C319" s="300">
        <f t="shared" ref="C319:D319" si="839">SUM(C304,C309,C314)</f>
        <v>34.247000000224936</v>
      </c>
      <c r="D319" s="300">
        <f t="shared" si="839"/>
        <v>31.059000000203277</v>
      </c>
      <c r="E319" s="300">
        <f>SUM(B319:D319)</f>
        <v>158.16099999951905</v>
      </c>
      <c r="F319" s="300"/>
      <c r="G319" s="300">
        <f>SUM(G304,G309,G314)</f>
        <v>94.42199999893603</v>
      </c>
      <c r="H319" s="300">
        <f t="shared" ref="H319:I319" si="840">SUM(H304,H309,H314)</f>
        <v>38.208000000256881</v>
      </c>
      <c r="I319" s="300">
        <f t="shared" si="840"/>
        <v>35.292000000363252</v>
      </c>
      <c r="J319" s="300">
        <f>SUM(G319:I319)</f>
        <v>167.92199999955616</v>
      </c>
      <c r="K319" s="300"/>
      <c r="L319" s="300">
        <f>SUM(L304,L309,L314)</f>
        <v>99.287999999751776</v>
      </c>
      <c r="M319" s="300">
        <f t="shared" ref="M319:N319" si="841">SUM(M304,M309,M314)</f>
        <v>37.170000000122293</v>
      </c>
      <c r="N319" s="300">
        <f t="shared" si="841"/>
        <v>37.054999999207801</v>
      </c>
      <c r="O319" s="300">
        <f>SUM(L319:N319)</f>
        <v>173.51299999908187</v>
      </c>
      <c r="P319" s="300"/>
      <c r="Q319" s="300">
        <f>SUM(Q304,Q309,Q314)</f>
        <v>100.69900000168614</v>
      </c>
      <c r="R319" s="300">
        <f t="shared" ref="R319:S319" si="842">SUM(R304,R309,R314)</f>
        <v>37.566000000204156</v>
      </c>
      <c r="S319" s="300">
        <f t="shared" si="842"/>
        <v>36.547999999738948</v>
      </c>
      <c r="T319" s="300">
        <f>SUM(Q319:S319)</f>
        <v>174.81300000162926</v>
      </c>
      <c r="U319" s="300"/>
      <c r="V319" s="300">
        <f>SUM(V304,V309,V314)</f>
        <v>102.7860000001772</v>
      </c>
      <c r="W319" s="300">
        <f t="shared" ref="W319:X319" si="843">SUM(W304,W309,W314)</f>
        <v>37.968999999859477</v>
      </c>
      <c r="X319" s="300">
        <f t="shared" si="843"/>
        <v>35.223000000326103</v>
      </c>
      <c r="Y319" s="300">
        <f>SUM(V319:X319)</f>
        <v>175.97800000036275</v>
      </c>
    </row>
    <row r="320" spans="1:25" ht="12.45" x14ac:dyDescent="0.3">
      <c r="A320" s="260" t="s">
        <v>355</v>
      </c>
      <c r="B320" s="300">
        <f>SUM(B305,B310,B315)</f>
        <v>123.37199999902307</v>
      </c>
      <c r="C320" s="300">
        <f t="shared" ref="C320:D320" si="844">SUM(C305,C310,C315)</f>
        <v>23.737000000099151</v>
      </c>
      <c r="D320" s="300">
        <f t="shared" si="844"/>
        <v>59.465000001103171</v>
      </c>
      <c r="E320" s="300">
        <f t="shared" ref="E320:E321" si="845">SUM(B320:D320)</f>
        <v>206.5740000002254</v>
      </c>
      <c r="F320" s="300"/>
      <c r="G320" s="300">
        <f>SUM(G305,G310,G315)</f>
        <v>126.66999999931291</v>
      </c>
      <c r="H320" s="300">
        <f t="shared" ref="H320:I320" si="846">SUM(H305,H310,H315)</f>
        <v>19.894000000075039</v>
      </c>
      <c r="I320" s="300">
        <f t="shared" si="846"/>
        <v>65.076999999955873</v>
      </c>
      <c r="J320" s="300">
        <f t="shared" ref="J320:J321" si="847">SUM(G320:I320)</f>
        <v>211.64099999934382</v>
      </c>
      <c r="K320" s="300"/>
      <c r="L320" s="300">
        <f>SUM(L305,L310,L315)</f>
        <v>127.39499999996873</v>
      </c>
      <c r="M320" s="300">
        <f t="shared" ref="M320:N320" si="848">SUM(M305,M310,M315)</f>
        <v>25.152000000023882</v>
      </c>
      <c r="N320" s="300">
        <f t="shared" si="848"/>
        <v>51.463000001715685</v>
      </c>
      <c r="O320" s="300">
        <f t="shared" ref="O320:O321" si="849">SUM(L320:N320)</f>
        <v>204.01000000170831</v>
      </c>
      <c r="P320" s="300"/>
      <c r="Q320" s="300">
        <f>SUM(Q305,Q310,Q315)</f>
        <v>128.16400000020673</v>
      </c>
      <c r="R320" s="300">
        <f t="shared" ref="R320:S320" si="850">SUM(R305,R310,R315)</f>
        <v>26.172000000055348</v>
      </c>
      <c r="S320" s="300">
        <f t="shared" si="850"/>
        <v>52.247000003755105</v>
      </c>
      <c r="T320" s="300">
        <f t="shared" ref="T320:T321" si="851">SUM(Q320:S320)</f>
        <v>206.58300000401715</v>
      </c>
      <c r="U320" s="300"/>
      <c r="V320" s="300">
        <f>SUM(V305,V310,V315)</f>
        <v>128.34900000018814</v>
      </c>
      <c r="W320" s="300">
        <f t="shared" ref="W320:X320" si="852">SUM(W305,W310,W315)</f>
        <v>28.04600000007499</v>
      </c>
      <c r="X320" s="300">
        <f t="shared" si="852"/>
        <v>53.360000002867466</v>
      </c>
      <c r="Y320" s="300">
        <f t="shared" ref="Y320:Y321" si="853">SUM(V320:X320)</f>
        <v>209.75500000313059</v>
      </c>
    </row>
    <row r="321" spans="1:25" ht="12.45" x14ac:dyDescent="0.3">
      <c r="A321" s="264" t="s">
        <v>354</v>
      </c>
      <c r="B321" s="301">
        <f>SUM(B319:B320)</f>
        <v>216.22699999811391</v>
      </c>
      <c r="C321" s="301">
        <f t="shared" ref="C321" si="854">SUM(C319:C320)</f>
        <v>57.984000000324087</v>
      </c>
      <c r="D321" s="301">
        <f t="shared" ref="D321" si="855">SUM(D319:D320)</f>
        <v>90.524000001306447</v>
      </c>
      <c r="E321" s="301">
        <f t="shared" si="845"/>
        <v>364.73499999974445</v>
      </c>
      <c r="F321" s="301"/>
      <c r="G321" s="301">
        <f>SUM(G319:G320)</f>
        <v>221.09199999824892</v>
      </c>
      <c r="H321" s="301">
        <f t="shared" ref="H321" si="856">SUM(H319:H320)</f>
        <v>58.10200000033192</v>
      </c>
      <c r="I321" s="301">
        <f t="shared" ref="I321" si="857">SUM(I319:I320)</f>
        <v>100.36900000031912</v>
      </c>
      <c r="J321" s="301">
        <f t="shared" si="847"/>
        <v>379.56299999889995</v>
      </c>
      <c r="K321" s="301"/>
      <c r="L321" s="301">
        <f>SUM(L319:L320)</f>
        <v>226.68299999972049</v>
      </c>
      <c r="M321" s="301">
        <f t="shared" ref="M321" si="858">SUM(M319:M320)</f>
        <v>62.322000000146176</v>
      </c>
      <c r="N321" s="301">
        <f t="shared" ref="N321" si="859">SUM(N319:N320)</f>
        <v>88.518000000923479</v>
      </c>
      <c r="O321" s="301">
        <f t="shared" si="849"/>
        <v>377.52300000079015</v>
      </c>
      <c r="P321" s="301"/>
      <c r="Q321" s="301">
        <f>SUM(Q319:Q320)</f>
        <v>228.86300000189289</v>
      </c>
      <c r="R321" s="301">
        <f t="shared" ref="R321" si="860">SUM(R319:R320)</f>
        <v>63.738000000259504</v>
      </c>
      <c r="S321" s="301">
        <f t="shared" ref="S321" si="861">SUM(S319:S320)</f>
        <v>88.795000003494053</v>
      </c>
      <c r="T321" s="301">
        <f t="shared" si="851"/>
        <v>381.39600000564644</v>
      </c>
      <c r="U321" s="301"/>
      <c r="V321" s="301">
        <f>SUM(V319:V320)</f>
        <v>231.13500000036532</v>
      </c>
      <c r="W321" s="301">
        <f t="shared" ref="W321" si="862">SUM(W319:W320)</f>
        <v>66.014999999934474</v>
      </c>
      <c r="X321" s="301">
        <f t="shared" ref="X321" si="863">SUM(X319:X320)</f>
        <v>88.583000003193575</v>
      </c>
      <c r="Y321" s="301">
        <f t="shared" si="853"/>
        <v>385.73300000349332</v>
      </c>
    </row>
    <row r="322" spans="1:25" ht="12.45" x14ac:dyDescent="0.3">
      <c r="C322" s="263"/>
    </row>
    <row r="323" spans="1:25" ht="12.45" x14ac:dyDescent="0.3">
      <c r="C323" s="263"/>
    </row>
    <row r="324" spans="1:25" x14ac:dyDescent="0.35">
      <c r="A324" s="262"/>
    </row>
    <row r="325" spans="1:25" ht="14.15" x14ac:dyDescent="0.35">
      <c r="A325" s="265" t="str">
        <f>"Industry 13 : "&amp; name!B16</f>
        <v>Industry 13 : Information technology</v>
      </c>
      <c r="B325" s="372">
        <f>$B$5</f>
        <v>2015</v>
      </c>
      <c r="C325" s="372"/>
      <c r="D325" s="372"/>
      <c r="E325" s="372"/>
      <c r="F325" s="320"/>
      <c r="G325" s="372">
        <f>$G$5</f>
        <v>2019</v>
      </c>
      <c r="H325" s="372"/>
      <c r="I325" s="372"/>
      <c r="J325" s="372"/>
      <c r="K325" s="320"/>
      <c r="L325" s="372">
        <f>$L$5</f>
        <v>2020</v>
      </c>
      <c r="M325" s="372"/>
      <c r="N325" s="372"/>
      <c r="O325" s="372"/>
      <c r="P325" s="318"/>
      <c r="Q325" s="372">
        <f>$Q$5</f>
        <v>2025</v>
      </c>
      <c r="R325" s="372"/>
      <c r="S325" s="372"/>
      <c r="T325" s="372"/>
      <c r="U325" s="320"/>
      <c r="V325" s="372">
        <f>$V$5</f>
        <v>2035</v>
      </c>
      <c r="W325" s="372"/>
      <c r="X325" s="372"/>
      <c r="Y325" s="372"/>
    </row>
    <row r="326" spans="1:25" ht="12.45" x14ac:dyDescent="0.3">
      <c r="A326" s="264"/>
      <c r="B326" s="268" t="str">
        <f>$B$6</f>
        <v>FT</v>
      </c>
      <c r="C326" s="268" t="str">
        <f>$C$6</f>
        <v>PT</v>
      </c>
      <c r="D326" s="268" t="str">
        <f>$D$6</f>
        <v>SE</v>
      </c>
      <c r="E326" s="268" t="str">
        <f>$E$6</f>
        <v>Total</v>
      </c>
      <c r="F326" s="268"/>
      <c r="G326" s="268" t="str">
        <f>$B$6</f>
        <v>FT</v>
      </c>
      <c r="H326" s="268" t="str">
        <f>$C$6</f>
        <v>PT</v>
      </c>
      <c r="I326" s="268" t="str">
        <f>$D$6</f>
        <v>SE</v>
      </c>
      <c r="J326" s="268" t="str">
        <f>$E$6</f>
        <v>Total</v>
      </c>
      <c r="K326" s="268"/>
      <c r="L326" s="268" t="str">
        <f>$L$6</f>
        <v>FT</v>
      </c>
      <c r="M326" s="268" t="str">
        <f>$M$6</f>
        <v>PT</v>
      </c>
      <c r="N326" s="268" t="str">
        <f>$N$6</f>
        <v>SE</v>
      </c>
      <c r="O326" s="268" t="str">
        <f>$O$6</f>
        <v>Total</v>
      </c>
      <c r="P326" s="268"/>
      <c r="Q326" s="268" t="str">
        <f>$L$6</f>
        <v>FT</v>
      </c>
      <c r="R326" s="268" t="str">
        <f>$M$6</f>
        <v>PT</v>
      </c>
      <c r="S326" s="268" t="str">
        <f>$N$6</f>
        <v>SE</v>
      </c>
      <c r="T326" s="268" t="str">
        <f>$O$6</f>
        <v>Total</v>
      </c>
      <c r="U326" s="268"/>
      <c r="V326" s="268" t="str">
        <f>$V$6</f>
        <v>FT</v>
      </c>
      <c r="W326" s="268" t="str">
        <f>$W$6</f>
        <v>PT</v>
      </c>
      <c r="X326" s="268" t="str">
        <f>$X$6</f>
        <v>SE</v>
      </c>
      <c r="Y326" s="268" t="str">
        <f>$Y$6</f>
        <v>Total</v>
      </c>
    </row>
    <row r="327" spans="1:25" ht="12.45" x14ac:dyDescent="0.3">
      <c r="C327" s="319"/>
      <c r="D327" s="319"/>
      <c r="E327" s="319"/>
      <c r="F327" s="319"/>
      <c r="G327" s="319"/>
      <c r="H327" s="319"/>
      <c r="I327" s="319"/>
      <c r="J327" s="319"/>
      <c r="K327" s="319"/>
      <c r="L327" s="319"/>
      <c r="M327" s="319"/>
      <c r="N327" s="319"/>
      <c r="O327" s="319"/>
      <c r="P327" s="319"/>
      <c r="Q327" s="319"/>
      <c r="R327" s="319"/>
      <c r="S327" s="319"/>
      <c r="T327" s="319"/>
      <c r="U327" s="319"/>
      <c r="V327" s="319"/>
      <c r="W327" s="319"/>
      <c r="X327" s="319"/>
      <c r="Y327" s="319"/>
    </row>
    <row r="328" spans="1:25" ht="12.45" x14ac:dyDescent="0.3">
      <c r="A328" s="261" t="str">
        <f>name!A47</f>
        <v>Telecommunications</v>
      </c>
      <c r="C328" s="263"/>
    </row>
    <row r="329" spans="1:25" ht="12.45" x14ac:dyDescent="0.3">
      <c r="A329" s="260" t="s">
        <v>356</v>
      </c>
      <c r="B329" s="300">
        <v>30.935999999666951</v>
      </c>
      <c r="C329" s="300">
        <v>11.627000000153188</v>
      </c>
      <c r="D329" s="300">
        <v>3.9900000000274125</v>
      </c>
      <c r="E329" s="300">
        <f>SUM(B329:D329)</f>
        <v>46.55299999984755</v>
      </c>
      <c r="F329" s="300"/>
      <c r="G329" s="300">
        <v>30.343999999602399</v>
      </c>
      <c r="H329" s="300">
        <v>9.853000000125661</v>
      </c>
      <c r="I329" s="300">
        <v>1.0000000000105753</v>
      </c>
      <c r="J329" s="300">
        <f>SUM(G329:I329)</f>
        <v>41.196999999738637</v>
      </c>
      <c r="K329" s="300"/>
      <c r="L329" s="300">
        <v>32.491999999679216</v>
      </c>
      <c r="M329" s="300">
        <v>7.0350000001073498</v>
      </c>
      <c r="N329" s="300">
        <v>0.79999999999186155</v>
      </c>
      <c r="O329" s="300">
        <f>SUM(L329:N329)</f>
        <v>40.32699999977843</v>
      </c>
      <c r="P329" s="300"/>
      <c r="Q329" s="300">
        <v>35.664000000930585</v>
      </c>
      <c r="R329" s="300">
        <v>7.4600000002464801</v>
      </c>
      <c r="S329" s="300">
        <v>0.75699999999867107</v>
      </c>
      <c r="T329" s="300">
        <f>SUM(Q329:S329)</f>
        <v>43.881000001175735</v>
      </c>
      <c r="U329" s="300"/>
      <c r="V329" s="300">
        <v>40.065000000144614</v>
      </c>
      <c r="W329" s="300">
        <v>7.7830000001081769</v>
      </c>
      <c r="X329" s="300">
        <v>0.73100000000063281</v>
      </c>
      <c r="Y329" s="300">
        <f>SUM(V329:X329)</f>
        <v>48.579000000253423</v>
      </c>
    </row>
    <row r="330" spans="1:25" ht="12.45" x14ac:dyDescent="0.3">
      <c r="A330" s="260" t="s">
        <v>355</v>
      </c>
      <c r="B330" s="300">
        <v>152.15299999786714</v>
      </c>
      <c r="C330" s="300">
        <v>6.3500000000344397</v>
      </c>
      <c r="D330" s="300">
        <v>18.572000000084277</v>
      </c>
      <c r="E330" s="300">
        <f t="shared" ref="E330:E331" si="864">SUM(B330:D330)</f>
        <v>177.07499999798586</v>
      </c>
      <c r="F330" s="300"/>
      <c r="G330" s="300">
        <v>159.34899999838134</v>
      </c>
      <c r="H330" s="300">
        <v>4.8170000000362228</v>
      </c>
      <c r="I330" s="300">
        <v>13.266000000007114</v>
      </c>
      <c r="J330" s="300">
        <f t="shared" ref="J330:J331" si="865">SUM(G330:I330)</f>
        <v>177.43199999842469</v>
      </c>
      <c r="K330" s="300"/>
      <c r="L330" s="300">
        <v>148.37699999904362</v>
      </c>
      <c r="M330" s="300">
        <v>6.3109999999736086</v>
      </c>
      <c r="N330" s="300">
        <v>14.632000000188015</v>
      </c>
      <c r="O330" s="300">
        <f t="shared" ref="O330:O331" si="866">SUM(L330:N330)</f>
        <v>169.31999999920524</v>
      </c>
      <c r="P330" s="300"/>
      <c r="Q330" s="300">
        <v>157.89399999943322</v>
      </c>
      <c r="R330" s="300">
        <v>6.8249999999924036</v>
      </c>
      <c r="S330" s="300">
        <v>16.027000000380021</v>
      </c>
      <c r="T330" s="300">
        <f t="shared" ref="T330:T331" si="867">SUM(Q330:S330)</f>
        <v>180.74599999980563</v>
      </c>
      <c r="U330" s="300"/>
      <c r="V330" s="300">
        <v>168.09999999872963</v>
      </c>
      <c r="W330" s="300">
        <v>7.4110000000000218</v>
      </c>
      <c r="X330" s="300">
        <v>17.605000000216169</v>
      </c>
      <c r="Y330" s="300">
        <f t="shared" ref="Y330:Y331" si="868">SUM(V330:X330)</f>
        <v>193.11599999894582</v>
      </c>
    </row>
    <row r="331" spans="1:25" ht="12.45" x14ac:dyDescent="0.3">
      <c r="A331" s="260" t="s">
        <v>354</v>
      </c>
      <c r="B331" s="300">
        <f>SUM(B329:B330)</f>
        <v>183.0889999975341</v>
      </c>
      <c r="C331" s="300">
        <f t="shared" ref="C331" si="869">SUM(C329:C330)</f>
        <v>17.97700000018763</v>
      </c>
      <c r="D331" s="300">
        <f t="shared" ref="D331" si="870">SUM(D329:D330)</f>
        <v>22.562000000111688</v>
      </c>
      <c r="E331" s="300">
        <f t="shared" si="864"/>
        <v>223.62799999783343</v>
      </c>
      <c r="F331" s="300"/>
      <c r="G331" s="300">
        <f>SUM(G329:G330)</f>
        <v>189.69299999798375</v>
      </c>
      <c r="H331" s="300">
        <f t="shared" ref="H331" si="871">SUM(H329:H330)</f>
        <v>14.670000000161885</v>
      </c>
      <c r="I331" s="300">
        <f t="shared" ref="I331" si="872">SUM(I329:I330)</f>
        <v>14.266000000017689</v>
      </c>
      <c r="J331" s="300">
        <f t="shared" si="865"/>
        <v>218.62899999816332</v>
      </c>
      <c r="K331" s="300"/>
      <c r="L331" s="300">
        <f>SUM(L329:L330)</f>
        <v>180.86899999872284</v>
      </c>
      <c r="M331" s="300">
        <f t="shared" ref="M331" si="873">SUM(M329:M330)</f>
        <v>13.346000000080959</v>
      </c>
      <c r="N331" s="300">
        <f t="shared" ref="N331" si="874">SUM(N329:N330)</f>
        <v>15.432000000179876</v>
      </c>
      <c r="O331" s="300">
        <f t="shared" si="866"/>
        <v>209.64699999898366</v>
      </c>
      <c r="P331" s="300"/>
      <c r="Q331" s="300">
        <f>SUM(Q329:Q330)</f>
        <v>193.55800000036379</v>
      </c>
      <c r="R331" s="300">
        <f t="shared" ref="R331" si="875">SUM(R329:R330)</f>
        <v>14.285000000238885</v>
      </c>
      <c r="S331" s="300">
        <f t="shared" ref="S331" si="876">SUM(S329:S330)</f>
        <v>16.784000000378693</v>
      </c>
      <c r="T331" s="300">
        <f t="shared" si="867"/>
        <v>224.62700000098135</v>
      </c>
      <c r="U331" s="300"/>
      <c r="V331" s="300">
        <f>SUM(V329:V330)</f>
        <v>208.16499999887424</v>
      </c>
      <c r="W331" s="300">
        <f t="shared" ref="W331" si="877">SUM(W329:W330)</f>
        <v>15.194000000108199</v>
      </c>
      <c r="X331" s="300">
        <f t="shared" ref="X331" si="878">SUM(X329:X330)</f>
        <v>18.336000000216803</v>
      </c>
      <c r="Y331" s="300">
        <f t="shared" si="868"/>
        <v>241.69499999919924</v>
      </c>
    </row>
    <row r="332" spans="1:25" ht="12.45" x14ac:dyDescent="0.3">
      <c r="C332" s="319"/>
      <c r="D332" s="319"/>
      <c r="E332" s="319"/>
      <c r="F332" s="319"/>
      <c r="G332" s="319"/>
      <c r="H332" s="319"/>
      <c r="I332" s="319"/>
      <c r="J332" s="319"/>
      <c r="K332" s="319"/>
      <c r="L332" s="319"/>
      <c r="M332" s="319"/>
      <c r="N332" s="319"/>
      <c r="O332" s="319"/>
      <c r="P332" s="319"/>
      <c r="Q332" s="319"/>
      <c r="R332" s="319"/>
      <c r="S332" s="319"/>
      <c r="T332" s="319"/>
      <c r="U332" s="319"/>
      <c r="V332" s="319"/>
      <c r="W332" s="319"/>
      <c r="X332" s="319"/>
      <c r="Y332" s="319"/>
    </row>
    <row r="333" spans="1:25" ht="12.45" x14ac:dyDescent="0.3">
      <c r="A333" s="261" t="str">
        <f>name!A48</f>
        <v>Computing services</v>
      </c>
      <c r="C333" s="263"/>
    </row>
    <row r="334" spans="1:25" ht="12.45" x14ac:dyDescent="0.3">
      <c r="A334" s="260" t="s">
        <v>356</v>
      </c>
      <c r="B334" s="300">
        <v>138.17099999826542</v>
      </c>
      <c r="C334" s="300">
        <v>47.243999999437101</v>
      </c>
      <c r="D334" s="300">
        <v>15.08200000008509</v>
      </c>
      <c r="E334" s="300">
        <f>SUM(B334:D334)</f>
        <v>200.49699999778761</v>
      </c>
      <c r="F334" s="300"/>
      <c r="G334" s="300">
        <v>156.14399999787096</v>
      </c>
      <c r="H334" s="300">
        <v>60.693999999373695</v>
      </c>
      <c r="I334" s="300">
        <v>5.9590000000356635</v>
      </c>
      <c r="J334" s="300">
        <f>SUM(G334:I334)</f>
        <v>222.79699999728032</v>
      </c>
      <c r="K334" s="300"/>
      <c r="L334" s="300">
        <v>177.35099999855692</v>
      </c>
      <c r="M334" s="300">
        <v>45.289999999615553</v>
      </c>
      <c r="N334" s="300">
        <v>18.102999999657865</v>
      </c>
      <c r="O334" s="300">
        <f>SUM(L334:N334)</f>
        <v>240.74399999783034</v>
      </c>
      <c r="P334" s="300"/>
      <c r="Q334" s="300">
        <v>194.69600000392072</v>
      </c>
      <c r="R334" s="300">
        <v>47.880999999593975</v>
      </c>
      <c r="S334" s="300">
        <v>19.838999999827632</v>
      </c>
      <c r="T334" s="300">
        <f>SUM(Q334:S334)</f>
        <v>262.41600000334233</v>
      </c>
      <c r="U334" s="300"/>
      <c r="V334" s="300">
        <v>218.76500000021781</v>
      </c>
      <c r="W334" s="300">
        <v>49.781000000122532</v>
      </c>
      <c r="X334" s="300">
        <v>21.648000000022446</v>
      </c>
      <c r="Y334" s="300">
        <f>SUM(V334:X334)</f>
        <v>290.19400000036273</v>
      </c>
    </row>
    <row r="335" spans="1:25" ht="12.45" x14ac:dyDescent="0.3">
      <c r="A335" s="260" t="s">
        <v>355</v>
      </c>
      <c r="B335" s="300">
        <v>427.45499999247664</v>
      </c>
      <c r="C335" s="300">
        <v>21.700999999646637</v>
      </c>
      <c r="D335" s="300">
        <v>54.802000000389356</v>
      </c>
      <c r="E335" s="300">
        <f t="shared" ref="E335:E336" si="879">SUM(B335:D335)</f>
        <v>503.95799999251261</v>
      </c>
      <c r="F335" s="300"/>
      <c r="G335" s="300">
        <v>506.3629999931353</v>
      </c>
      <c r="H335" s="300">
        <v>27.611999999604091</v>
      </c>
      <c r="I335" s="300">
        <v>45.154999999786718</v>
      </c>
      <c r="J335" s="300">
        <f t="shared" ref="J335:J336" si="880">SUM(G335:I335)</f>
        <v>579.12999999252611</v>
      </c>
      <c r="K335" s="300"/>
      <c r="L335" s="300">
        <v>474.17099999827474</v>
      </c>
      <c r="M335" s="300">
        <v>35.481999999991103</v>
      </c>
      <c r="N335" s="300">
        <v>55.021000001060131</v>
      </c>
      <c r="O335" s="300">
        <f t="shared" ref="O335:O336" si="881">SUM(L335:N335)</f>
        <v>564.67399999932593</v>
      </c>
      <c r="P335" s="300"/>
      <c r="Q335" s="300">
        <v>505.06799999925221</v>
      </c>
      <c r="R335" s="300">
        <v>38.296999999893046</v>
      </c>
      <c r="S335" s="300">
        <v>60.326000002444808</v>
      </c>
      <c r="T335" s="300">
        <f t="shared" ref="T335:T336" si="882">SUM(Q335:S335)</f>
        <v>603.69100000159017</v>
      </c>
      <c r="U335" s="300"/>
      <c r="V335" s="300">
        <v>538.30999999663129</v>
      </c>
      <c r="W335" s="300">
        <v>41.533999999762877</v>
      </c>
      <c r="X335" s="300">
        <v>66.323000001448847</v>
      </c>
      <c r="Y335" s="300">
        <f t="shared" ref="Y335:Y336" si="883">SUM(V335:X335)</f>
        <v>646.16699999784294</v>
      </c>
    </row>
    <row r="336" spans="1:25" ht="12.45" x14ac:dyDescent="0.3">
      <c r="A336" s="260" t="s">
        <v>354</v>
      </c>
      <c r="B336" s="300">
        <f>SUM(B334:B335)</f>
        <v>565.625999990742</v>
      </c>
      <c r="C336" s="300">
        <f t="shared" ref="C336" si="884">SUM(C334:C335)</f>
        <v>68.944999999083734</v>
      </c>
      <c r="D336" s="300">
        <f t="shared" ref="D336" si="885">SUM(D334:D335)</f>
        <v>69.884000000474444</v>
      </c>
      <c r="E336" s="300">
        <f t="shared" si="879"/>
        <v>704.45499999030017</v>
      </c>
      <c r="F336" s="300"/>
      <c r="G336" s="300">
        <f>SUM(G334:G335)</f>
        <v>662.5069999910063</v>
      </c>
      <c r="H336" s="300">
        <f t="shared" ref="H336" si="886">SUM(H334:H335)</f>
        <v>88.305999998977782</v>
      </c>
      <c r="I336" s="300">
        <f t="shared" ref="I336" si="887">SUM(I334:I335)</f>
        <v>51.113999999822383</v>
      </c>
      <c r="J336" s="300">
        <f t="shared" si="880"/>
        <v>801.9269999898064</v>
      </c>
      <c r="K336" s="300"/>
      <c r="L336" s="300">
        <f>SUM(L334:L335)</f>
        <v>651.52199999683171</v>
      </c>
      <c r="M336" s="300">
        <f t="shared" ref="M336" si="888">SUM(M334:M335)</f>
        <v>80.771999999606663</v>
      </c>
      <c r="N336" s="300">
        <f t="shared" ref="N336" si="889">SUM(N334:N335)</f>
        <v>73.124000000717999</v>
      </c>
      <c r="O336" s="300">
        <f t="shared" si="881"/>
        <v>805.41799999715636</v>
      </c>
      <c r="P336" s="300"/>
      <c r="Q336" s="300">
        <f>SUM(Q334:Q335)</f>
        <v>699.7640000031729</v>
      </c>
      <c r="R336" s="300">
        <f t="shared" ref="R336" si="890">SUM(R334:R335)</f>
        <v>86.177999999487014</v>
      </c>
      <c r="S336" s="300">
        <f t="shared" ref="S336" si="891">SUM(S334:S335)</f>
        <v>80.165000002272436</v>
      </c>
      <c r="T336" s="300">
        <f t="shared" si="882"/>
        <v>866.10700000493239</v>
      </c>
      <c r="U336" s="300"/>
      <c r="V336" s="300">
        <f>SUM(V334:V335)</f>
        <v>757.0749999968491</v>
      </c>
      <c r="W336" s="300">
        <f t="shared" ref="W336" si="892">SUM(W334:W335)</f>
        <v>91.314999999885401</v>
      </c>
      <c r="X336" s="300">
        <f t="shared" ref="X336" si="893">SUM(X334:X335)</f>
        <v>87.971000001471296</v>
      </c>
      <c r="Y336" s="300">
        <f t="shared" si="883"/>
        <v>936.3609999982059</v>
      </c>
    </row>
    <row r="337" spans="1:25" ht="12.45" x14ac:dyDescent="0.3">
      <c r="C337" s="319"/>
      <c r="D337" s="319"/>
      <c r="E337" s="319"/>
      <c r="F337" s="319"/>
      <c r="G337" s="319"/>
      <c r="H337" s="319"/>
      <c r="I337" s="319"/>
      <c r="J337" s="319"/>
      <c r="K337" s="319"/>
      <c r="L337" s="319"/>
      <c r="M337" s="319"/>
      <c r="N337" s="319"/>
      <c r="O337" s="319"/>
      <c r="P337" s="319"/>
      <c r="Q337" s="319"/>
      <c r="R337" s="319"/>
      <c r="S337" s="319"/>
      <c r="T337" s="319"/>
      <c r="U337" s="319"/>
      <c r="V337" s="319"/>
      <c r="W337" s="319"/>
      <c r="X337" s="319"/>
      <c r="Y337" s="319"/>
    </row>
    <row r="338" spans="1:25" ht="12.45" x14ac:dyDescent="0.3">
      <c r="A338" s="261" t="str">
        <f>name!A49</f>
        <v>Information services</v>
      </c>
      <c r="C338" s="263"/>
    </row>
    <row r="339" spans="1:25" ht="12.45" x14ac:dyDescent="0.3">
      <c r="A339" s="260" t="s">
        <v>356</v>
      </c>
      <c r="B339" s="300">
        <v>32.82399999977887</v>
      </c>
      <c r="C339" s="300">
        <v>4.3950000000201142</v>
      </c>
      <c r="D339" s="300">
        <v>1.9920000000375599</v>
      </c>
      <c r="E339" s="300">
        <f>SUM(B339:D339)</f>
        <v>39.210999999836538</v>
      </c>
      <c r="F339" s="300"/>
      <c r="G339" s="300">
        <v>31.886999999737395</v>
      </c>
      <c r="H339" s="300">
        <v>6.5630000000395494</v>
      </c>
      <c r="I339" s="300">
        <v>0.99200000001926936</v>
      </c>
      <c r="J339" s="300">
        <f>SUM(G339:I339)</f>
        <v>39.441999999796209</v>
      </c>
      <c r="K339" s="300"/>
      <c r="L339" s="300">
        <v>36.156999999810488</v>
      </c>
      <c r="M339" s="300">
        <v>4.6740000000304702</v>
      </c>
      <c r="N339" s="300">
        <v>1.9889999999543277</v>
      </c>
      <c r="O339" s="300">
        <f>SUM(L339:N339)</f>
        <v>42.819999999795286</v>
      </c>
      <c r="P339" s="300"/>
      <c r="Q339" s="300">
        <v>39.833000000602119</v>
      </c>
      <c r="R339" s="300">
        <v>4.9540000000306925</v>
      </c>
      <c r="S339" s="300">
        <v>2.1889999999827601</v>
      </c>
      <c r="T339" s="300">
        <f>SUM(Q339:S339)</f>
        <v>46.976000000615578</v>
      </c>
      <c r="U339" s="300"/>
      <c r="V339" s="300">
        <v>44.961999999988386</v>
      </c>
      <c r="W339" s="300">
        <v>5.1650000000265388</v>
      </c>
      <c r="X339" s="300">
        <v>2.2919999999888194</v>
      </c>
      <c r="Y339" s="300">
        <f>SUM(V339:X339)</f>
        <v>52.419000000003741</v>
      </c>
    </row>
    <row r="340" spans="1:25" ht="12.45" x14ac:dyDescent="0.3">
      <c r="A340" s="260" t="s">
        <v>355</v>
      </c>
      <c r="B340" s="300">
        <v>48.872999999370904</v>
      </c>
      <c r="C340" s="300">
        <v>2.9750000000227246</v>
      </c>
      <c r="D340" s="300">
        <v>6.0380000000570586</v>
      </c>
      <c r="E340" s="300">
        <f t="shared" ref="E340:E341" si="894">SUM(B340:D340)</f>
        <v>57.885999999450689</v>
      </c>
      <c r="F340" s="300"/>
      <c r="G340" s="300">
        <v>49.470999999469882</v>
      </c>
      <c r="H340" s="300">
        <v>3.6190000000228504</v>
      </c>
      <c r="I340" s="300">
        <v>4.1859999999857918</v>
      </c>
      <c r="J340" s="300">
        <f t="shared" ref="J340:J341" si="895">SUM(G340:I340)</f>
        <v>57.275999999478522</v>
      </c>
      <c r="K340" s="300"/>
      <c r="L340" s="300">
        <v>46.451999999996154</v>
      </c>
      <c r="M340" s="300">
        <v>5.2080000000089983</v>
      </c>
      <c r="N340" s="300">
        <v>4.938000000105041</v>
      </c>
      <c r="O340" s="300">
        <f t="shared" ref="O340:O341" si="896">SUM(L340:N340)</f>
        <v>56.598000000110197</v>
      </c>
      <c r="P340" s="300"/>
      <c r="Q340" s="300">
        <v>49.641000000076886</v>
      </c>
      <c r="R340" s="300">
        <v>5.6230000000008342</v>
      </c>
      <c r="S340" s="300">
        <v>5.4290000002290526</v>
      </c>
      <c r="T340" s="300">
        <f t="shared" ref="T340:T341" si="897">SUM(Q340:S340)</f>
        <v>60.693000000306775</v>
      </c>
      <c r="U340" s="300"/>
      <c r="V340" s="300">
        <v>53.113999999952306</v>
      </c>
      <c r="W340" s="300">
        <v>6.0930000000039071</v>
      </c>
      <c r="X340" s="300">
        <v>5.9900000001641907</v>
      </c>
      <c r="Y340" s="300">
        <f t="shared" ref="Y340:Y341" si="898">SUM(V340:X340)</f>
        <v>65.197000000120397</v>
      </c>
    </row>
    <row r="341" spans="1:25" ht="12.45" x14ac:dyDescent="0.3">
      <c r="A341" s="260" t="s">
        <v>354</v>
      </c>
      <c r="B341" s="300">
        <f>SUM(B339:B340)</f>
        <v>81.696999999149767</v>
      </c>
      <c r="C341" s="300">
        <f t="shared" ref="C341" si="899">SUM(C339:C340)</f>
        <v>7.3700000000428387</v>
      </c>
      <c r="D341" s="300">
        <f t="shared" ref="D341" si="900">SUM(D339:D340)</f>
        <v>8.0300000000946188</v>
      </c>
      <c r="E341" s="300">
        <f t="shared" si="894"/>
        <v>97.09699999928722</v>
      </c>
      <c r="F341" s="300"/>
      <c r="G341" s="300">
        <f>SUM(G339:G340)</f>
        <v>81.35799999920728</v>
      </c>
      <c r="H341" s="300">
        <f t="shared" ref="H341" si="901">SUM(H339:H340)</f>
        <v>10.1820000000624</v>
      </c>
      <c r="I341" s="300">
        <f t="shared" ref="I341" si="902">SUM(I339:I340)</f>
        <v>5.1780000000050608</v>
      </c>
      <c r="J341" s="300">
        <f t="shared" si="895"/>
        <v>96.717999999274738</v>
      </c>
      <c r="K341" s="300"/>
      <c r="L341" s="300">
        <f>SUM(L339:L340)</f>
        <v>82.608999999806642</v>
      </c>
      <c r="M341" s="300">
        <f t="shared" ref="M341" si="903">SUM(M339:M340)</f>
        <v>9.8820000000394685</v>
      </c>
      <c r="N341" s="300">
        <f t="shared" ref="N341" si="904">SUM(N339:N340)</f>
        <v>6.927000000059369</v>
      </c>
      <c r="O341" s="300">
        <f t="shared" si="896"/>
        <v>99.417999999905476</v>
      </c>
      <c r="P341" s="300"/>
      <c r="Q341" s="300">
        <f>SUM(Q339:Q340)</f>
        <v>89.474000000679013</v>
      </c>
      <c r="R341" s="300">
        <f t="shared" ref="R341" si="905">SUM(R339:R340)</f>
        <v>10.577000000031527</v>
      </c>
      <c r="S341" s="300">
        <f t="shared" ref="S341" si="906">SUM(S339:S340)</f>
        <v>7.6180000002118131</v>
      </c>
      <c r="T341" s="300">
        <f t="shared" si="897"/>
        <v>107.66900000092235</v>
      </c>
      <c r="U341" s="300"/>
      <c r="V341" s="300">
        <f>SUM(V339:V340)</f>
        <v>98.075999999940692</v>
      </c>
      <c r="W341" s="300">
        <f t="shared" ref="W341" si="907">SUM(W339:W340)</f>
        <v>11.258000000030446</v>
      </c>
      <c r="X341" s="300">
        <f t="shared" ref="X341" si="908">SUM(X339:X340)</f>
        <v>8.2820000001530101</v>
      </c>
      <c r="Y341" s="300">
        <f t="shared" si="898"/>
        <v>117.61600000012415</v>
      </c>
    </row>
    <row r="342" spans="1:25" ht="12.45" x14ac:dyDescent="0.3">
      <c r="C342" s="263"/>
    </row>
    <row r="343" spans="1:25" ht="12.45" x14ac:dyDescent="0.3">
      <c r="A343" s="261" t="s">
        <v>363</v>
      </c>
      <c r="C343" s="263"/>
    </row>
    <row r="344" spans="1:25" ht="12.45" x14ac:dyDescent="0.3">
      <c r="A344" s="260" t="s">
        <v>356</v>
      </c>
      <c r="B344" s="300">
        <f>SUM(B329,B334,B339)</f>
        <v>201.93099999771124</v>
      </c>
      <c r="C344" s="300">
        <f t="shared" ref="C344:D344" si="909">SUM(C329,C334,C339)</f>
        <v>63.265999999610401</v>
      </c>
      <c r="D344" s="300">
        <f t="shared" si="909"/>
        <v>21.064000000150063</v>
      </c>
      <c r="E344" s="300">
        <f>SUM(B344:D344)</f>
        <v>286.26099999747174</v>
      </c>
      <c r="F344" s="300"/>
      <c r="G344" s="300">
        <f>SUM(G329,G334,G339)</f>
        <v>218.37499999721075</v>
      </c>
      <c r="H344" s="300">
        <f t="shared" ref="H344:I344" si="910">SUM(H329,H334,H339)</f>
        <v>77.1099999995389</v>
      </c>
      <c r="I344" s="300">
        <f t="shared" si="910"/>
        <v>7.9510000000655081</v>
      </c>
      <c r="J344" s="300">
        <f>SUM(G344:I344)</f>
        <v>303.43599999681516</v>
      </c>
      <c r="K344" s="300"/>
      <c r="L344" s="300">
        <f>SUM(L329,L334,L339)</f>
        <v>245.99999999804663</v>
      </c>
      <c r="M344" s="300">
        <f t="shared" ref="M344:N344" si="911">SUM(M329,M334,M339)</f>
        <v>56.998999999753373</v>
      </c>
      <c r="N344" s="300">
        <f t="shared" si="911"/>
        <v>20.891999999604053</v>
      </c>
      <c r="O344" s="300">
        <f>SUM(L344:N344)</f>
        <v>323.89099999740404</v>
      </c>
      <c r="P344" s="300"/>
      <c r="Q344" s="300">
        <f>SUM(Q329,Q334,Q339)</f>
        <v>270.19300000545343</v>
      </c>
      <c r="R344" s="300">
        <f t="shared" ref="R344:S344" si="912">SUM(R329,R334,R339)</f>
        <v>60.294999999871152</v>
      </c>
      <c r="S344" s="300">
        <f t="shared" si="912"/>
        <v>22.784999999809063</v>
      </c>
      <c r="T344" s="300">
        <f>SUM(Q344:S344)</f>
        <v>353.27300000513367</v>
      </c>
      <c r="U344" s="300"/>
      <c r="V344" s="300">
        <f>SUM(V329,V334,V339)</f>
        <v>303.79200000035081</v>
      </c>
      <c r="W344" s="300">
        <f t="shared" ref="W344:X344" si="913">SUM(W329,W334,W339)</f>
        <v>62.729000000257244</v>
      </c>
      <c r="X344" s="300">
        <f t="shared" si="913"/>
        <v>24.671000000011901</v>
      </c>
      <c r="Y344" s="300">
        <f>SUM(V344:X344)</f>
        <v>391.19200000061994</v>
      </c>
    </row>
    <row r="345" spans="1:25" ht="12.45" x14ac:dyDescent="0.3">
      <c r="A345" s="260" t="s">
        <v>355</v>
      </c>
      <c r="B345" s="300">
        <f>SUM(B330,B335,B340)</f>
        <v>628.48099998971475</v>
      </c>
      <c r="C345" s="300">
        <f t="shared" ref="C345:D345" si="914">SUM(C330,C335,C340)</f>
        <v>31.025999999703799</v>
      </c>
      <c r="D345" s="300">
        <f t="shared" si="914"/>
        <v>79.412000000530682</v>
      </c>
      <c r="E345" s="300">
        <f t="shared" ref="E345:E346" si="915">SUM(B345:D345)</f>
        <v>738.91899998994927</v>
      </c>
      <c r="F345" s="300"/>
      <c r="G345" s="300">
        <f>SUM(G330,G335,G340)</f>
        <v>715.18299999098656</v>
      </c>
      <c r="H345" s="300">
        <f t="shared" ref="H345:I345" si="916">SUM(H330,H335,H340)</f>
        <v>36.047999999663162</v>
      </c>
      <c r="I345" s="300">
        <f t="shared" si="916"/>
        <v>62.606999999779624</v>
      </c>
      <c r="J345" s="300">
        <f t="shared" ref="J345:J346" si="917">SUM(G345:I345)</f>
        <v>813.83799999042935</v>
      </c>
      <c r="K345" s="300"/>
      <c r="L345" s="300">
        <f>SUM(L330,L335,L340)</f>
        <v>668.99999999731449</v>
      </c>
      <c r="M345" s="300">
        <f t="shared" ref="M345:N345" si="918">SUM(M330,M335,M340)</f>
        <v>47.000999999973715</v>
      </c>
      <c r="N345" s="300">
        <f t="shared" si="918"/>
        <v>74.59100000135318</v>
      </c>
      <c r="O345" s="300">
        <f t="shared" ref="O345:O346" si="919">SUM(L345:N345)</f>
        <v>790.59199999864143</v>
      </c>
      <c r="P345" s="300"/>
      <c r="Q345" s="300">
        <f>SUM(Q330,Q335,Q340)</f>
        <v>712.60299999876236</v>
      </c>
      <c r="R345" s="300">
        <f t="shared" ref="R345:S345" si="920">SUM(R330,R335,R340)</f>
        <v>50.744999999886282</v>
      </c>
      <c r="S345" s="300">
        <f t="shared" si="920"/>
        <v>81.782000003053881</v>
      </c>
      <c r="T345" s="300">
        <f t="shared" ref="T345:T346" si="921">SUM(Q345:S345)</f>
        <v>845.13000000170257</v>
      </c>
      <c r="U345" s="300"/>
      <c r="V345" s="300">
        <f>SUM(V330,V335,V340)</f>
        <v>759.52399999531326</v>
      </c>
      <c r="W345" s="300">
        <f t="shared" ref="W345:X345" si="922">SUM(W330,W335,W340)</f>
        <v>55.037999999766804</v>
      </c>
      <c r="X345" s="300">
        <f t="shared" si="922"/>
        <v>89.918000001829199</v>
      </c>
      <c r="Y345" s="300">
        <f t="shared" ref="Y345:Y346" si="923">SUM(V345:X345)</f>
        <v>904.47999999690933</v>
      </c>
    </row>
    <row r="346" spans="1:25" ht="12.45" x14ac:dyDescent="0.3">
      <c r="A346" s="264" t="s">
        <v>354</v>
      </c>
      <c r="B346" s="301">
        <f>SUM(B344:B345)</f>
        <v>830.41199998742604</v>
      </c>
      <c r="C346" s="301">
        <f t="shared" ref="C346" si="924">SUM(C344:C345)</f>
        <v>94.2919999993142</v>
      </c>
      <c r="D346" s="301">
        <f t="shared" ref="D346" si="925">SUM(D344:D345)</f>
        <v>100.47600000068074</v>
      </c>
      <c r="E346" s="301">
        <f t="shared" si="915"/>
        <v>1025.1799999874208</v>
      </c>
      <c r="F346" s="301"/>
      <c r="G346" s="301">
        <f>SUM(G344:G345)</f>
        <v>933.55799998819725</v>
      </c>
      <c r="H346" s="301">
        <f t="shared" ref="H346" si="926">SUM(H344:H345)</f>
        <v>113.15799999920206</v>
      </c>
      <c r="I346" s="301">
        <f t="shared" ref="I346" si="927">SUM(I344:I345)</f>
        <v>70.557999999845137</v>
      </c>
      <c r="J346" s="301">
        <f t="shared" si="917"/>
        <v>1117.2739999872445</v>
      </c>
      <c r="K346" s="301"/>
      <c r="L346" s="301">
        <f>SUM(L344:L345)</f>
        <v>914.99999999536112</v>
      </c>
      <c r="M346" s="301">
        <f t="shared" ref="M346" si="928">SUM(M344:M345)</f>
        <v>103.99999999972709</v>
      </c>
      <c r="N346" s="301">
        <f t="shared" ref="N346" si="929">SUM(N344:N345)</f>
        <v>95.483000000957233</v>
      </c>
      <c r="O346" s="301">
        <f t="shared" si="919"/>
        <v>1114.4829999960455</v>
      </c>
      <c r="P346" s="301"/>
      <c r="Q346" s="301">
        <f>SUM(Q344:Q345)</f>
        <v>982.79600000421578</v>
      </c>
      <c r="R346" s="301">
        <f t="shared" ref="R346" si="930">SUM(R344:R345)</f>
        <v>111.03999999975744</v>
      </c>
      <c r="S346" s="301">
        <f t="shared" ref="S346" si="931">SUM(S344:S345)</f>
        <v>104.56700000286294</v>
      </c>
      <c r="T346" s="301">
        <f t="shared" si="921"/>
        <v>1198.403000006836</v>
      </c>
      <c r="U346" s="301"/>
      <c r="V346" s="301">
        <f>SUM(V344:V345)</f>
        <v>1063.315999995664</v>
      </c>
      <c r="W346" s="301">
        <f t="shared" ref="W346" si="932">SUM(W344:W345)</f>
        <v>117.76700000002404</v>
      </c>
      <c r="X346" s="301">
        <f t="shared" ref="X346" si="933">SUM(X344:X345)</f>
        <v>114.5890000018411</v>
      </c>
      <c r="Y346" s="301">
        <f t="shared" si="923"/>
        <v>1295.6719999975294</v>
      </c>
    </row>
    <row r="347" spans="1:25" x14ac:dyDescent="0.35">
      <c r="A347" s="262"/>
    </row>
    <row r="348" spans="1:25" x14ac:dyDescent="0.35">
      <c r="A348" s="261"/>
    </row>
    <row r="349" spans="1:25" ht="12.45" x14ac:dyDescent="0.3">
      <c r="C349" s="263"/>
    </row>
    <row r="350" spans="1:25" ht="14.15" x14ac:dyDescent="0.35">
      <c r="A350" s="265" t="str">
        <f>"Industry 14 : "&amp; name!B17</f>
        <v>Industry 14 : Finance and insurance</v>
      </c>
      <c r="B350" s="372">
        <f>$B$5</f>
        <v>2015</v>
      </c>
      <c r="C350" s="372"/>
      <c r="D350" s="372"/>
      <c r="E350" s="372"/>
      <c r="F350" s="320"/>
      <c r="G350" s="372">
        <f>$G$5</f>
        <v>2019</v>
      </c>
      <c r="H350" s="372"/>
      <c r="I350" s="372"/>
      <c r="J350" s="372"/>
      <c r="K350" s="320"/>
      <c r="L350" s="372">
        <f>$L$5</f>
        <v>2020</v>
      </c>
      <c r="M350" s="372"/>
      <c r="N350" s="372"/>
      <c r="O350" s="372"/>
      <c r="P350" s="318"/>
      <c r="Q350" s="372">
        <f>$Q$5</f>
        <v>2025</v>
      </c>
      <c r="R350" s="372"/>
      <c r="S350" s="372"/>
      <c r="T350" s="372"/>
      <c r="U350" s="320"/>
      <c r="V350" s="372">
        <f>$V$5</f>
        <v>2035</v>
      </c>
      <c r="W350" s="372"/>
      <c r="X350" s="372"/>
      <c r="Y350" s="372"/>
    </row>
    <row r="351" spans="1:25" ht="12.45" x14ac:dyDescent="0.3">
      <c r="A351" s="264"/>
      <c r="B351" s="268" t="str">
        <f>$B$6</f>
        <v>FT</v>
      </c>
      <c r="C351" s="268" t="str">
        <f>$C$6</f>
        <v>PT</v>
      </c>
      <c r="D351" s="268" t="str">
        <f>$D$6</f>
        <v>SE</v>
      </c>
      <c r="E351" s="268" t="str">
        <f>$E$6</f>
        <v>Total</v>
      </c>
      <c r="F351" s="268"/>
      <c r="G351" s="268" t="str">
        <f>$B$6</f>
        <v>FT</v>
      </c>
      <c r="H351" s="268" t="str">
        <f>$C$6</f>
        <v>PT</v>
      </c>
      <c r="I351" s="268" t="str">
        <f>$D$6</f>
        <v>SE</v>
      </c>
      <c r="J351" s="268" t="str">
        <f>$E$6</f>
        <v>Total</v>
      </c>
      <c r="K351" s="268"/>
      <c r="L351" s="268" t="str">
        <f>$L$6</f>
        <v>FT</v>
      </c>
      <c r="M351" s="268" t="str">
        <f>$M$6</f>
        <v>PT</v>
      </c>
      <c r="N351" s="268" t="str">
        <f>$N$6</f>
        <v>SE</v>
      </c>
      <c r="O351" s="268" t="str">
        <f>$O$6</f>
        <v>Total</v>
      </c>
      <c r="P351" s="268"/>
      <c r="Q351" s="268" t="str">
        <f>$L$6</f>
        <v>FT</v>
      </c>
      <c r="R351" s="268" t="str">
        <f>$M$6</f>
        <v>PT</v>
      </c>
      <c r="S351" s="268" t="str">
        <f>$N$6</f>
        <v>SE</v>
      </c>
      <c r="T351" s="268" t="str">
        <f>$O$6</f>
        <v>Total</v>
      </c>
      <c r="U351" s="268"/>
      <c r="V351" s="268" t="str">
        <f>$V$6</f>
        <v>FT</v>
      </c>
      <c r="W351" s="268" t="str">
        <f>$W$6</f>
        <v>PT</v>
      </c>
      <c r="X351" s="268" t="str">
        <f>$X$6</f>
        <v>SE</v>
      </c>
      <c r="Y351" s="268" t="str">
        <f>$Y$6</f>
        <v>Total</v>
      </c>
    </row>
    <row r="352" spans="1:25" ht="12.45" x14ac:dyDescent="0.3">
      <c r="C352" s="319"/>
      <c r="D352" s="319"/>
      <c r="E352" s="319"/>
      <c r="F352" s="319"/>
      <c r="G352" s="319"/>
      <c r="H352" s="319"/>
      <c r="I352" s="319"/>
      <c r="J352" s="319"/>
      <c r="K352" s="319"/>
      <c r="L352" s="319"/>
      <c r="M352" s="319"/>
      <c r="N352" s="319"/>
      <c r="O352" s="319"/>
      <c r="P352" s="319"/>
      <c r="Q352" s="319"/>
      <c r="R352" s="319"/>
      <c r="S352" s="319"/>
      <c r="T352" s="319"/>
      <c r="U352" s="319"/>
      <c r="V352" s="319"/>
      <c r="W352" s="319"/>
      <c r="X352" s="319"/>
      <c r="Y352" s="319"/>
    </row>
    <row r="353" spans="1:25" ht="12.45" x14ac:dyDescent="0.3">
      <c r="A353" s="261" t="str">
        <f>name!A50</f>
        <v>Financial services</v>
      </c>
      <c r="C353" s="263"/>
    </row>
    <row r="354" spans="1:25" ht="12.45" x14ac:dyDescent="0.3">
      <c r="A354" s="260" t="s">
        <v>356</v>
      </c>
      <c r="B354" s="300">
        <v>158.29599999829202</v>
      </c>
      <c r="C354" s="300">
        <v>81.093000000426557</v>
      </c>
      <c r="D354" s="300">
        <v>5.8260000001366787</v>
      </c>
      <c r="E354" s="300">
        <f>SUM(B354:D354)</f>
        <v>245.21499999885526</v>
      </c>
      <c r="F354" s="300"/>
      <c r="G354" s="300">
        <v>156.9209999976828</v>
      </c>
      <c r="H354" s="300">
        <v>67.21900000040408</v>
      </c>
      <c r="I354" s="300">
        <v>2.1480000000430182</v>
      </c>
      <c r="J354" s="300">
        <f>SUM(G354:I354)</f>
        <v>226.28799999812989</v>
      </c>
      <c r="K354" s="300"/>
      <c r="L354" s="300">
        <v>157.19699999839412</v>
      </c>
      <c r="M354" s="300">
        <v>73.88700000031551</v>
      </c>
      <c r="N354" s="300">
        <v>4.0619999999176093</v>
      </c>
      <c r="O354" s="300">
        <f>SUM(L354:N354)</f>
        <v>235.14599999862725</v>
      </c>
      <c r="P354" s="300"/>
      <c r="Q354" s="300">
        <v>157.55800000408033</v>
      </c>
      <c r="R354" s="300">
        <v>73.394000000793113</v>
      </c>
      <c r="S354" s="300">
        <v>3.9209999999864946</v>
      </c>
      <c r="T354" s="300">
        <f>SUM(Q354:S354)</f>
        <v>234.87300000485993</v>
      </c>
      <c r="U354" s="300"/>
      <c r="V354" s="300">
        <v>154.27900000060944</v>
      </c>
      <c r="W354" s="300">
        <v>71.229999999837915</v>
      </c>
      <c r="X354" s="300">
        <v>3.9249999999979206</v>
      </c>
      <c r="Y354" s="300">
        <f>SUM(V354:X354)</f>
        <v>229.43400000044528</v>
      </c>
    </row>
    <row r="355" spans="1:25" ht="12.45" x14ac:dyDescent="0.3">
      <c r="A355" s="260" t="s">
        <v>355</v>
      </c>
      <c r="B355" s="300">
        <v>244.10999999615959</v>
      </c>
      <c r="C355" s="300">
        <v>12.251000000015006</v>
      </c>
      <c r="D355" s="300">
        <v>26.416000000314135</v>
      </c>
      <c r="E355" s="300">
        <f t="shared" ref="E355:E356" si="934">SUM(B355:D355)</f>
        <v>282.77699999648871</v>
      </c>
      <c r="F355" s="300"/>
      <c r="G355" s="300">
        <v>248.56699999716582</v>
      </c>
      <c r="H355" s="300">
        <v>11.10600000003045</v>
      </c>
      <c r="I355" s="300">
        <v>21.051999999977109</v>
      </c>
      <c r="J355" s="300">
        <f t="shared" ref="J355:J356" si="935">SUM(G355:I355)</f>
        <v>280.72499999717337</v>
      </c>
      <c r="K355" s="300"/>
      <c r="L355" s="300">
        <v>246.34799999985307</v>
      </c>
      <c r="M355" s="300">
        <v>12.727999999963011</v>
      </c>
      <c r="N355" s="300">
        <v>11.160000000252785</v>
      </c>
      <c r="O355" s="300">
        <f t="shared" ref="O355:O356" si="936">SUM(L355:N355)</f>
        <v>270.23600000006888</v>
      </c>
      <c r="P355" s="300"/>
      <c r="Q355" s="300">
        <v>248.48400000092013</v>
      </c>
      <c r="R355" s="300">
        <v>13.382999999997152</v>
      </c>
      <c r="S355" s="300">
        <v>10.734000000514756</v>
      </c>
      <c r="T355" s="300">
        <f t="shared" ref="T355:T356" si="937">SUM(Q355:S355)</f>
        <v>272.60100000143206</v>
      </c>
      <c r="U355" s="300"/>
      <c r="V355" s="300">
        <v>245.47200000058817</v>
      </c>
      <c r="W355" s="300">
        <v>14.120000000011691</v>
      </c>
      <c r="X355" s="300">
        <v>10.662000000355004</v>
      </c>
      <c r="Y355" s="300">
        <f t="shared" ref="Y355:Y356" si="938">SUM(V355:X355)</f>
        <v>270.25400000095487</v>
      </c>
    </row>
    <row r="356" spans="1:25" ht="12.45" x14ac:dyDescent="0.3">
      <c r="A356" s="260" t="s">
        <v>354</v>
      </c>
      <c r="B356" s="300">
        <f>SUM(B354:B355)</f>
        <v>402.40599999445158</v>
      </c>
      <c r="C356" s="300">
        <f t="shared" ref="C356" si="939">SUM(C354:C355)</f>
        <v>93.344000000441568</v>
      </c>
      <c r="D356" s="300">
        <f t="shared" ref="D356" si="940">SUM(D354:D355)</f>
        <v>32.242000000450815</v>
      </c>
      <c r="E356" s="300">
        <f t="shared" si="934"/>
        <v>527.99199999534392</v>
      </c>
      <c r="F356" s="300"/>
      <c r="G356" s="300">
        <f>SUM(G354:G355)</f>
        <v>405.48799999484862</v>
      </c>
      <c r="H356" s="300">
        <f t="shared" ref="H356" si="941">SUM(H354:H355)</f>
        <v>78.325000000434528</v>
      </c>
      <c r="I356" s="300">
        <f t="shared" ref="I356" si="942">SUM(I354:I355)</f>
        <v>23.200000000020129</v>
      </c>
      <c r="J356" s="300">
        <f t="shared" si="935"/>
        <v>507.01299999530323</v>
      </c>
      <c r="K356" s="300"/>
      <c r="L356" s="300">
        <f>SUM(L354:L355)</f>
        <v>403.54499999824719</v>
      </c>
      <c r="M356" s="300">
        <f t="shared" ref="M356" si="943">SUM(M354:M355)</f>
        <v>86.615000000278513</v>
      </c>
      <c r="N356" s="300">
        <f t="shared" ref="N356" si="944">SUM(N354:N355)</f>
        <v>15.222000000170393</v>
      </c>
      <c r="O356" s="300">
        <f t="shared" si="936"/>
        <v>505.38199999869607</v>
      </c>
      <c r="P356" s="300"/>
      <c r="Q356" s="300">
        <f>SUM(Q354:Q355)</f>
        <v>406.04200000500043</v>
      </c>
      <c r="R356" s="300">
        <f t="shared" ref="R356" si="945">SUM(R354:R355)</f>
        <v>86.777000000790267</v>
      </c>
      <c r="S356" s="300">
        <f t="shared" ref="S356" si="946">SUM(S354:S355)</f>
        <v>14.65500000050125</v>
      </c>
      <c r="T356" s="300">
        <f t="shared" si="937"/>
        <v>507.47400000629199</v>
      </c>
      <c r="U356" s="300"/>
      <c r="V356" s="300">
        <f>SUM(V354:V355)</f>
        <v>399.75100000119761</v>
      </c>
      <c r="W356" s="300">
        <f t="shared" ref="W356" si="947">SUM(W354:W355)</f>
        <v>85.349999999849601</v>
      </c>
      <c r="X356" s="300">
        <f t="shared" ref="X356" si="948">SUM(X354:X355)</f>
        <v>14.587000000352925</v>
      </c>
      <c r="Y356" s="300">
        <f t="shared" si="938"/>
        <v>499.68800000140016</v>
      </c>
    </row>
    <row r="357" spans="1:25" ht="12.45" x14ac:dyDescent="0.3">
      <c r="C357" s="319"/>
      <c r="D357" s="319"/>
      <c r="E357" s="319"/>
      <c r="F357" s="319"/>
      <c r="G357" s="319"/>
      <c r="H357" s="319"/>
      <c r="I357" s="319"/>
      <c r="J357" s="319"/>
      <c r="K357" s="319"/>
      <c r="L357" s="319"/>
      <c r="M357" s="319"/>
      <c r="N357" s="319"/>
      <c r="O357" s="319"/>
      <c r="P357" s="319"/>
      <c r="Q357" s="319"/>
      <c r="R357" s="319"/>
      <c r="S357" s="319"/>
      <c r="T357" s="319"/>
      <c r="U357" s="319"/>
      <c r="V357" s="319"/>
      <c r="W357" s="319"/>
      <c r="X357" s="319"/>
      <c r="Y357" s="319"/>
    </row>
    <row r="358" spans="1:25" ht="12.45" x14ac:dyDescent="0.3">
      <c r="A358" s="261" t="str">
        <f>name!A51</f>
        <v>Insurance and pensions</v>
      </c>
      <c r="C358" s="263"/>
    </row>
    <row r="359" spans="1:25" ht="12.45" x14ac:dyDescent="0.3">
      <c r="A359" s="260" t="s">
        <v>356</v>
      </c>
      <c r="B359" s="300">
        <v>53.515999999495236</v>
      </c>
      <c r="C359" s="300">
        <v>11.068000000047778</v>
      </c>
      <c r="D359" s="300">
        <v>0.37200000000179756</v>
      </c>
      <c r="E359" s="300">
        <f>SUM(B359:D359)</f>
        <v>64.955999999544815</v>
      </c>
      <c r="F359" s="300"/>
      <c r="G359" s="300">
        <v>63.478999999143106</v>
      </c>
      <c r="H359" s="300">
        <v>10.557000000047116</v>
      </c>
      <c r="I359" s="300">
        <v>0.39300000000393687</v>
      </c>
      <c r="J359" s="300">
        <f>SUM(G359:I359)</f>
        <v>74.428999999194161</v>
      </c>
      <c r="K359" s="300"/>
      <c r="L359" s="300">
        <v>63.567999999494475</v>
      </c>
      <c r="M359" s="300">
        <v>11.121000000039908</v>
      </c>
      <c r="N359" s="300">
        <v>1.0149999999941288</v>
      </c>
      <c r="O359" s="300">
        <f>SUM(L359:N359)</f>
        <v>75.70399999952852</v>
      </c>
      <c r="P359" s="300"/>
      <c r="Q359" s="300">
        <v>63.340000001434177</v>
      </c>
      <c r="R359" s="300">
        <v>11.002000000115546</v>
      </c>
      <c r="S359" s="300">
        <v>0.91300000000400983</v>
      </c>
      <c r="T359" s="300">
        <f>SUM(Q359:S359)</f>
        <v>75.255000001553725</v>
      </c>
      <c r="U359" s="300"/>
      <c r="V359" s="300">
        <v>61.445000000283116</v>
      </c>
      <c r="W359" s="300">
        <v>10.597999999996027</v>
      </c>
      <c r="X359" s="300">
        <v>0.75200000000305944</v>
      </c>
      <c r="Y359" s="300">
        <f>SUM(V359:X359)</f>
        <v>72.795000000282201</v>
      </c>
    </row>
    <row r="360" spans="1:25" ht="12.45" x14ac:dyDescent="0.3">
      <c r="A360" s="260" t="s">
        <v>355</v>
      </c>
      <c r="B360" s="300">
        <v>49.189999999371317</v>
      </c>
      <c r="C360" s="300">
        <v>2.1300000000113624</v>
      </c>
      <c r="D360" s="300">
        <v>6.9080000000664636</v>
      </c>
      <c r="E360" s="300">
        <f t="shared" ref="E360:E361" si="949">SUM(B360:D360)</f>
        <v>58.227999999449146</v>
      </c>
      <c r="F360" s="300"/>
      <c r="G360" s="300">
        <v>54.962999999554931</v>
      </c>
      <c r="H360" s="300">
        <v>2.643000000010733</v>
      </c>
      <c r="I360" s="300">
        <v>5.2720000000085614</v>
      </c>
      <c r="J360" s="300">
        <f t="shared" ref="J360:J361" si="950">SUM(G360:I360)</f>
        <v>62.877999999574222</v>
      </c>
      <c r="K360" s="300"/>
      <c r="L360" s="300">
        <v>56.273999999749165</v>
      </c>
      <c r="M360" s="300">
        <v>2.4099999999960344</v>
      </c>
      <c r="N360" s="300">
        <v>3.042000000036452</v>
      </c>
      <c r="O360" s="300">
        <f t="shared" ref="O360:O361" si="951">SUM(L360:N360)</f>
        <v>61.725999999781649</v>
      </c>
      <c r="P360" s="300"/>
      <c r="Q360" s="300">
        <v>56.53899999992602</v>
      </c>
      <c r="R360" s="300">
        <v>2.5290000000032613</v>
      </c>
      <c r="S360" s="300">
        <v>2.7290000000711094</v>
      </c>
      <c r="T360" s="300">
        <f t="shared" ref="T360:T361" si="952">SUM(Q360:S360)</f>
        <v>61.797000000000395</v>
      </c>
      <c r="U360" s="300"/>
      <c r="V360" s="300">
        <v>55.254999999708197</v>
      </c>
      <c r="W360" s="300">
        <v>2.6490000000094822</v>
      </c>
      <c r="X360" s="300">
        <v>2.2240000000292452</v>
      </c>
      <c r="Y360" s="300">
        <f t="shared" ref="Y360:Y361" si="953">SUM(V360:X360)</f>
        <v>60.127999999746919</v>
      </c>
    </row>
    <row r="361" spans="1:25" ht="12.45" x14ac:dyDescent="0.3">
      <c r="A361" s="260" t="s">
        <v>354</v>
      </c>
      <c r="B361" s="300">
        <f>SUM(B359:B360)</f>
        <v>102.70599999886656</v>
      </c>
      <c r="C361" s="300">
        <f t="shared" ref="C361" si="954">SUM(C359:C360)</f>
        <v>13.198000000059141</v>
      </c>
      <c r="D361" s="300">
        <f t="shared" ref="D361" si="955">SUM(D359:D360)</f>
        <v>7.2800000000682612</v>
      </c>
      <c r="E361" s="300">
        <f t="shared" si="949"/>
        <v>123.18399999899395</v>
      </c>
      <c r="F361" s="300"/>
      <c r="G361" s="300">
        <f>SUM(G359:G360)</f>
        <v>118.44199999869804</v>
      </c>
      <c r="H361" s="300">
        <f t="shared" ref="H361" si="956">SUM(H359:H360)</f>
        <v>13.20000000005785</v>
      </c>
      <c r="I361" s="300">
        <f t="shared" ref="I361" si="957">SUM(I359:I360)</f>
        <v>5.6650000000124985</v>
      </c>
      <c r="J361" s="300">
        <f t="shared" si="950"/>
        <v>137.30699999876839</v>
      </c>
      <c r="K361" s="300"/>
      <c r="L361" s="300">
        <f>SUM(L359:L360)</f>
        <v>119.84199999924364</v>
      </c>
      <c r="M361" s="300">
        <f t="shared" ref="M361" si="958">SUM(M359:M360)</f>
        <v>13.531000000035942</v>
      </c>
      <c r="N361" s="300">
        <f t="shared" ref="N361" si="959">SUM(N359:N360)</f>
        <v>4.0570000000305804</v>
      </c>
      <c r="O361" s="300">
        <f t="shared" si="951"/>
        <v>137.42999999931016</v>
      </c>
      <c r="P361" s="300"/>
      <c r="Q361" s="300">
        <f>SUM(Q359:Q360)</f>
        <v>119.8790000013602</v>
      </c>
      <c r="R361" s="300">
        <f t="shared" ref="R361" si="960">SUM(R359:R360)</f>
        <v>13.531000000118807</v>
      </c>
      <c r="S361" s="300">
        <f t="shared" ref="S361" si="961">SUM(S359:S360)</f>
        <v>3.6420000000751194</v>
      </c>
      <c r="T361" s="300">
        <f t="shared" si="952"/>
        <v>137.05200000155412</v>
      </c>
      <c r="U361" s="300"/>
      <c r="V361" s="300">
        <f>SUM(V359:V360)</f>
        <v>116.69999999999132</v>
      </c>
      <c r="W361" s="300">
        <f t="shared" ref="W361" si="962">SUM(W359:W360)</f>
        <v>13.24700000000551</v>
      </c>
      <c r="X361" s="300">
        <f t="shared" ref="X361" si="963">SUM(X359:X360)</f>
        <v>2.9760000000323048</v>
      </c>
      <c r="Y361" s="300">
        <f t="shared" si="953"/>
        <v>132.92300000002913</v>
      </c>
    </row>
    <row r="362" spans="1:25" ht="12.45" x14ac:dyDescent="0.3">
      <c r="C362" s="319"/>
      <c r="D362" s="319"/>
      <c r="E362" s="319"/>
      <c r="F362" s="319"/>
      <c r="G362" s="319"/>
      <c r="H362" s="319"/>
      <c r="I362" s="319"/>
      <c r="J362" s="319"/>
      <c r="K362" s="319"/>
      <c r="L362" s="319"/>
      <c r="M362" s="319"/>
      <c r="N362" s="319"/>
      <c r="O362" s="319"/>
      <c r="P362" s="319"/>
      <c r="Q362" s="319"/>
      <c r="R362" s="319"/>
      <c r="S362" s="319"/>
      <c r="T362" s="319"/>
      <c r="U362" s="319"/>
      <c r="V362" s="319"/>
      <c r="W362" s="319"/>
      <c r="X362" s="319"/>
      <c r="Y362" s="319"/>
    </row>
    <row r="363" spans="1:25" ht="12.45" x14ac:dyDescent="0.3">
      <c r="A363" s="261" t="str">
        <f>name!A52</f>
        <v>Auxiliary financial services</v>
      </c>
      <c r="C363" s="263"/>
    </row>
    <row r="364" spans="1:25" ht="12.45" x14ac:dyDescent="0.3">
      <c r="A364" s="260" t="s">
        <v>356</v>
      </c>
      <c r="B364" s="300">
        <v>158.16299999818406</v>
      </c>
      <c r="C364" s="300">
        <v>42.831000000153466</v>
      </c>
      <c r="D364" s="300">
        <v>14.166000000153323</v>
      </c>
      <c r="E364" s="300">
        <f>SUM(B364:D364)</f>
        <v>215.15999999849086</v>
      </c>
      <c r="F364" s="300"/>
      <c r="G364" s="300">
        <v>170.5269999972522</v>
      </c>
      <c r="H364" s="300">
        <v>42.243000000162112</v>
      </c>
      <c r="I364" s="300">
        <v>18.984000000205114</v>
      </c>
      <c r="J364" s="300">
        <f>SUM(G364:I364)</f>
        <v>231.75399999761942</v>
      </c>
      <c r="K364" s="300"/>
      <c r="L364" s="300">
        <v>170.6229999984173</v>
      </c>
      <c r="M364" s="300">
        <v>45.105000000121194</v>
      </c>
      <c r="N364" s="300">
        <v>16.909999999793509</v>
      </c>
      <c r="O364" s="300">
        <f>SUM(L364:N364)</f>
        <v>232.63799999833202</v>
      </c>
      <c r="P364" s="300"/>
      <c r="Q364" s="300">
        <v>170.6730000044447</v>
      </c>
      <c r="R364" s="300">
        <v>44.548000000350257</v>
      </c>
      <c r="S364" s="300">
        <v>18.050999999972586</v>
      </c>
      <c r="T364" s="300">
        <f>SUM(Q364:S364)</f>
        <v>233.27200000476756</v>
      </c>
      <c r="U364" s="300"/>
      <c r="V364" s="300">
        <v>166.5800000007184</v>
      </c>
      <c r="W364" s="300">
        <v>42.882999999951195</v>
      </c>
      <c r="X364" s="300">
        <v>17.845000000012103</v>
      </c>
      <c r="Y364" s="300">
        <f>SUM(V364:X364)</f>
        <v>227.30800000068169</v>
      </c>
    </row>
    <row r="365" spans="1:25" ht="12.45" x14ac:dyDescent="0.3">
      <c r="A365" s="260" t="s">
        <v>355</v>
      </c>
      <c r="B365" s="300">
        <v>211.62199999656116</v>
      </c>
      <c r="C365" s="300">
        <v>7.659999999995927</v>
      </c>
      <c r="D365" s="300">
        <v>27.308000000317243</v>
      </c>
      <c r="E365" s="300">
        <f t="shared" ref="E365:E366" si="964">SUM(B365:D365)</f>
        <v>246.58999999687433</v>
      </c>
      <c r="F365" s="300"/>
      <c r="G365" s="300">
        <v>228.47699999714678</v>
      </c>
      <c r="H365" s="300">
        <v>8.2290000000148655</v>
      </c>
      <c r="I365" s="300">
        <v>22.121999999894776</v>
      </c>
      <c r="J365" s="300">
        <f t="shared" ref="J365:J366" si="965">SUM(G365:I365)</f>
        <v>258.82799999705645</v>
      </c>
      <c r="K365" s="300"/>
      <c r="L365" s="300">
        <v>227.89899999981586</v>
      </c>
      <c r="M365" s="300">
        <v>9.8409999999822393</v>
      </c>
      <c r="N365" s="300">
        <v>36.812000000767242</v>
      </c>
      <c r="O365" s="300">
        <f t="shared" ref="O365:O366" si="966">SUM(L365:N365)</f>
        <v>274.55200000056533</v>
      </c>
      <c r="P365" s="300"/>
      <c r="Q365" s="300">
        <v>228.86500000070077</v>
      </c>
      <c r="R365" s="300">
        <v>10.274999999981954</v>
      </c>
      <c r="S365" s="300">
        <v>40.01000000203959</v>
      </c>
      <c r="T365" s="300">
        <f t="shared" ref="T365:T366" si="967">SUM(Q365:S365)</f>
        <v>279.15000000272232</v>
      </c>
      <c r="U365" s="300"/>
      <c r="V365" s="300">
        <v>224.46200000017836</v>
      </c>
      <c r="W365" s="300">
        <v>10.711999999970585</v>
      </c>
      <c r="X365" s="300">
        <v>41.024000001512448</v>
      </c>
      <c r="Y365" s="300">
        <f t="shared" ref="Y365:Y366" si="968">SUM(V365:X365)</f>
        <v>276.1980000016614</v>
      </c>
    </row>
    <row r="366" spans="1:25" ht="12.45" x14ac:dyDescent="0.3">
      <c r="A366" s="260" t="s">
        <v>354</v>
      </c>
      <c r="B366" s="300">
        <f>SUM(B364:B365)</f>
        <v>369.78499999474525</v>
      </c>
      <c r="C366" s="300">
        <f t="shared" ref="C366" si="969">SUM(C364:C365)</f>
        <v>50.491000000149391</v>
      </c>
      <c r="D366" s="300">
        <f t="shared" ref="D366" si="970">SUM(D364:D365)</f>
        <v>41.474000000470568</v>
      </c>
      <c r="E366" s="300">
        <f t="shared" si="964"/>
        <v>461.74999999536521</v>
      </c>
      <c r="F366" s="300"/>
      <c r="G366" s="300">
        <f>SUM(G364:G365)</f>
        <v>399.00399999439901</v>
      </c>
      <c r="H366" s="300">
        <f t="shared" ref="H366" si="971">SUM(H364:H365)</f>
        <v>50.472000000176976</v>
      </c>
      <c r="I366" s="300">
        <f t="shared" ref="I366" si="972">SUM(I364:I365)</f>
        <v>41.10600000009989</v>
      </c>
      <c r="J366" s="300">
        <f t="shared" si="965"/>
        <v>490.58199999467587</v>
      </c>
      <c r="K366" s="300"/>
      <c r="L366" s="300">
        <f>SUM(L364:L365)</f>
        <v>398.52199999823313</v>
      </c>
      <c r="M366" s="300">
        <f t="shared" ref="M366" si="973">SUM(M364:M365)</f>
        <v>54.946000000103432</v>
      </c>
      <c r="N366" s="300">
        <f t="shared" ref="N366" si="974">SUM(N364:N365)</f>
        <v>53.722000000560755</v>
      </c>
      <c r="O366" s="300">
        <f t="shared" si="966"/>
        <v>507.18999999889729</v>
      </c>
      <c r="P366" s="300"/>
      <c r="Q366" s="300">
        <f>SUM(Q364:Q365)</f>
        <v>399.53800000514548</v>
      </c>
      <c r="R366" s="300">
        <f t="shared" ref="R366" si="975">SUM(R364:R365)</f>
        <v>54.823000000332215</v>
      </c>
      <c r="S366" s="300">
        <f t="shared" ref="S366" si="976">SUM(S364:S365)</f>
        <v>58.061000002012179</v>
      </c>
      <c r="T366" s="300">
        <f t="shared" si="967"/>
        <v>512.42200000748994</v>
      </c>
      <c r="U366" s="300"/>
      <c r="V366" s="300">
        <f>SUM(V364:V365)</f>
        <v>391.04200000089679</v>
      </c>
      <c r="W366" s="300">
        <f t="shared" ref="W366" si="977">SUM(W364:W365)</f>
        <v>53.594999999921782</v>
      </c>
      <c r="X366" s="300">
        <f t="shared" ref="X366" si="978">SUM(X364:X365)</f>
        <v>58.869000001524554</v>
      </c>
      <c r="Y366" s="300">
        <f t="shared" si="968"/>
        <v>503.50600000234317</v>
      </c>
    </row>
    <row r="367" spans="1:25" ht="12.45" x14ac:dyDescent="0.3">
      <c r="C367" s="263"/>
    </row>
    <row r="368" spans="1:25" ht="12.45" x14ac:dyDescent="0.3">
      <c r="A368" s="261" t="s">
        <v>362</v>
      </c>
      <c r="C368" s="263"/>
    </row>
    <row r="369" spans="1:25" ht="12.45" x14ac:dyDescent="0.3">
      <c r="A369" s="260" t="s">
        <v>356</v>
      </c>
      <c r="B369" s="300">
        <f>SUM(B354,B359,B364)</f>
        <v>369.9749999959713</v>
      </c>
      <c r="C369" s="300">
        <f t="shared" ref="C369:D369" si="979">SUM(C354,C359,C364)</f>
        <v>134.9920000006278</v>
      </c>
      <c r="D369" s="300">
        <f t="shared" si="979"/>
        <v>20.364000000291799</v>
      </c>
      <c r="E369" s="300">
        <f>SUM(B369:D369)</f>
        <v>525.33099999689091</v>
      </c>
      <c r="F369" s="300"/>
      <c r="G369" s="300">
        <f>SUM(G354,G359,G364)</f>
        <v>390.92699999407807</v>
      </c>
      <c r="H369" s="300">
        <f t="shared" ref="H369:I369" si="980">SUM(H354,H359,H364)</f>
        <v>120.0190000006133</v>
      </c>
      <c r="I369" s="300">
        <f t="shared" si="980"/>
        <v>21.525000000252071</v>
      </c>
      <c r="J369" s="300">
        <f>SUM(G369:I369)</f>
        <v>532.47099999494344</v>
      </c>
      <c r="K369" s="300"/>
      <c r="L369" s="300">
        <f>SUM(L354,L359,L364)</f>
        <v>391.38799999630589</v>
      </c>
      <c r="M369" s="300">
        <f t="shared" ref="M369:N369" si="981">SUM(M354,M359,M364)</f>
        <v>130.11300000047663</v>
      </c>
      <c r="N369" s="300">
        <f t="shared" si="981"/>
        <v>21.986999999705247</v>
      </c>
      <c r="O369" s="300">
        <f>SUM(L369:N369)</f>
        <v>543.48799999648782</v>
      </c>
      <c r="P369" s="300"/>
      <c r="Q369" s="300">
        <f>SUM(Q354,Q359,Q364)</f>
        <v>391.57100000995922</v>
      </c>
      <c r="R369" s="300">
        <f t="shared" ref="R369:S369" si="982">SUM(R354,R359,R364)</f>
        <v>128.94400000125893</v>
      </c>
      <c r="S369" s="300">
        <f t="shared" si="982"/>
        <v>22.884999999963089</v>
      </c>
      <c r="T369" s="300">
        <f>SUM(Q369:S369)</f>
        <v>543.40000001118119</v>
      </c>
      <c r="U369" s="300"/>
      <c r="V369" s="300">
        <f>SUM(V354,V359,V364)</f>
        <v>382.30400000161092</v>
      </c>
      <c r="W369" s="300">
        <f t="shared" ref="W369:X369" si="983">SUM(W354,W359,W364)</f>
        <v>124.71099999978513</v>
      </c>
      <c r="X369" s="300">
        <f t="shared" si="983"/>
        <v>22.522000000013083</v>
      </c>
      <c r="Y369" s="300">
        <f>SUM(V369:X369)</f>
        <v>529.53700000140918</v>
      </c>
    </row>
    <row r="370" spans="1:25" ht="12.45" x14ac:dyDescent="0.3">
      <c r="A370" s="260" t="s">
        <v>355</v>
      </c>
      <c r="B370" s="300">
        <f>SUM(B355,B360,B365)</f>
        <v>504.92199999209208</v>
      </c>
      <c r="C370" s="300">
        <f t="shared" ref="C370:D370" si="984">SUM(C355,C360,C365)</f>
        <v>22.041000000022294</v>
      </c>
      <c r="D370" s="300">
        <f t="shared" si="984"/>
        <v>60.632000000697843</v>
      </c>
      <c r="E370" s="300">
        <f t="shared" ref="E370:E371" si="985">SUM(B370:D370)</f>
        <v>587.59499999281229</v>
      </c>
      <c r="F370" s="300"/>
      <c r="G370" s="300">
        <f>SUM(G355,G360,G365)</f>
        <v>532.00699999386757</v>
      </c>
      <c r="H370" s="300">
        <f t="shared" ref="H370:I370" si="986">SUM(H355,H360,H365)</f>
        <v>21.978000000056049</v>
      </c>
      <c r="I370" s="300">
        <f t="shared" si="986"/>
        <v>48.445999999880442</v>
      </c>
      <c r="J370" s="300">
        <f t="shared" ref="J370:J371" si="987">SUM(G370:I370)</f>
        <v>602.43099999380399</v>
      </c>
      <c r="K370" s="300"/>
      <c r="L370" s="300">
        <f>SUM(L355,L360,L365)</f>
        <v>530.52099999941811</v>
      </c>
      <c r="M370" s="300">
        <f t="shared" ref="M370:N370" si="988">SUM(M355,M360,M365)</f>
        <v>24.978999999941287</v>
      </c>
      <c r="N370" s="300">
        <f t="shared" si="988"/>
        <v>51.01400000105648</v>
      </c>
      <c r="O370" s="300">
        <f t="shared" ref="O370:O371" si="989">SUM(L370:N370)</f>
        <v>606.51400000041588</v>
      </c>
      <c r="P370" s="300"/>
      <c r="Q370" s="300">
        <f>SUM(Q355,Q360,Q365)</f>
        <v>533.88800000154697</v>
      </c>
      <c r="R370" s="300">
        <f t="shared" ref="R370:S370" si="990">SUM(R355,R360,R365)</f>
        <v>26.186999999982369</v>
      </c>
      <c r="S370" s="300">
        <f t="shared" si="990"/>
        <v>53.473000002625454</v>
      </c>
      <c r="T370" s="300">
        <f t="shared" ref="T370:T371" si="991">SUM(Q370:S370)</f>
        <v>613.5480000041548</v>
      </c>
      <c r="U370" s="300"/>
      <c r="V370" s="300">
        <f>SUM(V355,V360,V365)</f>
        <v>525.18900000047472</v>
      </c>
      <c r="W370" s="300">
        <f t="shared" ref="W370:X370" si="992">SUM(W355,W360,W365)</f>
        <v>27.480999999991759</v>
      </c>
      <c r="X370" s="300">
        <f t="shared" si="992"/>
        <v>53.910000001896698</v>
      </c>
      <c r="Y370" s="300">
        <f t="shared" ref="Y370:Y371" si="993">SUM(V370:X370)</f>
        <v>606.58000000236325</v>
      </c>
    </row>
    <row r="371" spans="1:25" ht="12.45" x14ac:dyDescent="0.3">
      <c r="A371" s="264" t="s">
        <v>354</v>
      </c>
      <c r="B371" s="301">
        <f>SUM(B369:B370)</f>
        <v>874.89699998806338</v>
      </c>
      <c r="C371" s="301">
        <f t="shared" ref="C371" si="994">SUM(C369:C370)</f>
        <v>157.03300000065008</v>
      </c>
      <c r="D371" s="301">
        <f t="shared" ref="D371" si="995">SUM(D369:D370)</f>
        <v>80.996000000989639</v>
      </c>
      <c r="E371" s="301">
        <f t="shared" si="985"/>
        <v>1112.9259999897031</v>
      </c>
      <c r="F371" s="301"/>
      <c r="G371" s="301">
        <f>SUM(G369:G370)</f>
        <v>922.93399998794564</v>
      </c>
      <c r="H371" s="301">
        <f t="shared" ref="H371" si="996">SUM(H369:H370)</f>
        <v>141.99700000066935</v>
      </c>
      <c r="I371" s="301">
        <f t="shared" ref="I371" si="997">SUM(I369:I370)</f>
        <v>69.971000000132506</v>
      </c>
      <c r="J371" s="301">
        <f t="shared" si="987"/>
        <v>1134.9019999887475</v>
      </c>
      <c r="K371" s="301"/>
      <c r="L371" s="301">
        <f>SUM(L369:L370)</f>
        <v>921.908999995724</v>
      </c>
      <c r="M371" s="301">
        <f t="shared" ref="M371" si="998">SUM(M369:M370)</f>
        <v>155.09200000041793</v>
      </c>
      <c r="N371" s="301">
        <f t="shared" ref="N371" si="999">SUM(N369:N370)</f>
        <v>73.001000000761735</v>
      </c>
      <c r="O371" s="301">
        <f t="shared" si="989"/>
        <v>1150.0019999969036</v>
      </c>
      <c r="P371" s="301"/>
      <c r="Q371" s="301">
        <f>SUM(Q369:Q370)</f>
        <v>925.45900001150619</v>
      </c>
      <c r="R371" s="301">
        <f t="shared" ref="R371" si="1000">SUM(R369:R370)</f>
        <v>155.13100000124129</v>
      </c>
      <c r="S371" s="301">
        <f t="shared" ref="S371" si="1001">SUM(S369:S370)</f>
        <v>76.35800000258854</v>
      </c>
      <c r="T371" s="301">
        <f t="shared" si="991"/>
        <v>1156.948000015336</v>
      </c>
      <c r="U371" s="301"/>
      <c r="V371" s="301">
        <f>SUM(V369:V370)</f>
        <v>907.49300000208564</v>
      </c>
      <c r="W371" s="301">
        <f t="shared" ref="W371" si="1002">SUM(W369:W370)</f>
        <v>152.1919999997769</v>
      </c>
      <c r="X371" s="301">
        <f t="shared" ref="X371" si="1003">SUM(X369:X370)</f>
        <v>76.432000001909785</v>
      </c>
      <c r="Y371" s="301">
        <f t="shared" si="993"/>
        <v>1136.1170000037723</v>
      </c>
    </row>
    <row r="375" spans="1:25" ht="14.15" x14ac:dyDescent="0.35">
      <c r="A375" s="265" t="str">
        <f>"Industry 15 : "&amp; name!B18</f>
        <v>Industry 15 : Real estate</v>
      </c>
      <c r="B375" s="372">
        <f>$B$5</f>
        <v>2015</v>
      </c>
      <c r="C375" s="372"/>
      <c r="D375" s="372"/>
      <c r="E375" s="372"/>
      <c r="F375" s="320"/>
      <c r="G375" s="372">
        <f>$G$5</f>
        <v>2019</v>
      </c>
      <c r="H375" s="372"/>
      <c r="I375" s="372"/>
      <c r="J375" s="372"/>
      <c r="K375" s="320"/>
      <c r="L375" s="372">
        <f>$L$5</f>
        <v>2020</v>
      </c>
      <c r="M375" s="372"/>
      <c r="N375" s="372"/>
      <c r="O375" s="372"/>
      <c r="P375" s="318"/>
      <c r="Q375" s="372">
        <f>$Q$5</f>
        <v>2025</v>
      </c>
      <c r="R375" s="372"/>
      <c r="S375" s="372"/>
      <c r="T375" s="372"/>
      <c r="U375" s="320"/>
      <c r="V375" s="372">
        <f>$V$5</f>
        <v>2035</v>
      </c>
      <c r="W375" s="372"/>
      <c r="X375" s="372"/>
      <c r="Y375" s="372"/>
    </row>
    <row r="376" spans="1:25" ht="12.45" x14ac:dyDescent="0.3">
      <c r="A376" s="264"/>
      <c r="B376" s="268" t="str">
        <f>$B$6</f>
        <v>FT</v>
      </c>
      <c r="C376" s="268" t="str">
        <f>$C$6</f>
        <v>PT</v>
      </c>
      <c r="D376" s="268" t="str">
        <f>$D$6</f>
        <v>SE</v>
      </c>
      <c r="E376" s="268" t="str">
        <f>$E$6</f>
        <v>Total</v>
      </c>
      <c r="F376" s="268"/>
      <c r="G376" s="268" t="str">
        <f>$B$6</f>
        <v>FT</v>
      </c>
      <c r="H376" s="268" t="str">
        <f>$C$6</f>
        <v>PT</v>
      </c>
      <c r="I376" s="268" t="str">
        <f>$D$6</f>
        <v>SE</v>
      </c>
      <c r="J376" s="268" t="str">
        <f>$E$6</f>
        <v>Total</v>
      </c>
      <c r="K376" s="268"/>
      <c r="L376" s="268" t="str">
        <f>$L$6</f>
        <v>FT</v>
      </c>
      <c r="M376" s="268" t="str">
        <f>$M$6</f>
        <v>PT</v>
      </c>
      <c r="N376" s="268" t="str">
        <f>$N$6</f>
        <v>SE</v>
      </c>
      <c r="O376" s="268" t="str">
        <f>$O$6</f>
        <v>Total</v>
      </c>
      <c r="P376" s="268"/>
      <c r="Q376" s="268" t="str">
        <f>$L$6</f>
        <v>FT</v>
      </c>
      <c r="R376" s="268" t="str">
        <f>$M$6</f>
        <v>PT</v>
      </c>
      <c r="S376" s="268" t="str">
        <f>$N$6</f>
        <v>SE</v>
      </c>
      <c r="T376" s="268" t="str">
        <f>$O$6</f>
        <v>Total</v>
      </c>
      <c r="U376" s="268"/>
      <c r="V376" s="268" t="str">
        <f>$V$6</f>
        <v>FT</v>
      </c>
      <c r="W376" s="268" t="str">
        <f>$W$6</f>
        <v>PT</v>
      </c>
      <c r="X376" s="268" t="str">
        <f>$X$6</f>
        <v>SE</v>
      </c>
      <c r="Y376" s="268" t="str">
        <f>$Y$6</f>
        <v>Total</v>
      </c>
    </row>
    <row r="377" spans="1:25" ht="12.45" x14ac:dyDescent="0.3">
      <c r="C377" s="319"/>
      <c r="D377" s="319"/>
      <c r="E377" s="319"/>
      <c r="F377" s="319"/>
      <c r="G377" s="319"/>
      <c r="H377" s="319"/>
      <c r="I377" s="319"/>
      <c r="J377" s="319"/>
      <c r="K377" s="319"/>
      <c r="L377" s="319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19"/>
      <c r="X377" s="319"/>
      <c r="Y377" s="319"/>
    </row>
    <row r="378" spans="1:25" ht="12.45" x14ac:dyDescent="0.3">
      <c r="A378" s="261" t="str">
        <f>name!A53</f>
        <v>Real estate</v>
      </c>
      <c r="C378" s="263"/>
    </row>
    <row r="379" spans="1:25" ht="12.45" x14ac:dyDescent="0.3">
      <c r="A379" s="260" t="s">
        <v>356</v>
      </c>
      <c r="B379" s="300">
        <v>170.33699999890422</v>
      </c>
      <c r="C379" s="300">
        <v>106.21200000091493</v>
      </c>
      <c r="D379" s="300">
        <v>32.395000000442082</v>
      </c>
      <c r="E379" s="300">
        <f>SUM(B379:D379)</f>
        <v>308.94400000026121</v>
      </c>
      <c r="F379" s="300"/>
      <c r="G379" s="300">
        <v>178.98899999846037</v>
      </c>
      <c r="H379" s="300">
        <v>98.995000000892432</v>
      </c>
      <c r="I379" s="300">
        <v>40.983000000467769</v>
      </c>
      <c r="J379" s="300">
        <f>SUM(G379:I379)</f>
        <v>318.96699999982059</v>
      </c>
      <c r="K379" s="300"/>
      <c r="L379" s="300">
        <v>200.68899999860434</v>
      </c>
      <c r="M379" s="300">
        <v>101.84300000060207</v>
      </c>
      <c r="N379" s="300">
        <v>31.000999999360868</v>
      </c>
      <c r="O379" s="300">
        <f>SUM(L379:N379)</f>
        <v>333.53299999856728</v>
      </c>
      <c r="P379" s="300"/>
      <c r="Q379" s="300">
        <v>198.13400000364376</v>
      </c>
      <c r="R379" s="300">
        <v>93.539000001187432</v>
      </c>
      <c r="S379" s="300">
        <v>29.776999999853508</v>
      </c>
      <c r="T379" s="300">
        <f>SUM(Q379:S379)</f>
        <v>321.45000000468468</v>
      </c>
      <c r="U379" s="300"/>
      <c r="V379" s="300">
        <v>226.16299999974979</v>
      </c>
      <c r="W379" s="300">
        <v>91.936999999774315</v>
      </c>
      <c r="X379" s="300">
        <v>32.232000000030901</v>
      </c>
      <c r="Y379" s="300">
        <f>SUM(V379:X379)</f>
        <v>350.33199999955502</v>
      </c>
    </row>
    <row r="380" spans="1:25" ht="12.45" x14ac:dyDescent="0.3">
      <c r="A380" s="260" t="s">
        <v>355</v>
      </c>
      <c r="B380" s="300">
        <v>183.36399999805906</v>
      </c>
      <c r="C380" s="300">
        <v>26.050999999844624</v>
      </c>
      <c r="D380" s="300">
        <v>49.605000000142148</v>
      </c>
      <c r="E380" s="300">
        <f t="shared" ref="E380:E381" si="1004">SUM(B380:D380)</f>
        <v>259.01999999804582</v>
      </c>
      <c r="F380" s="300"/>
      <c r="G380" s="300">
        <v>189.98799999866114</v>
      </c>
      <c r="H380" s="300">
        <v>36.997999999906106</v>
      </c>
      <c r="I380" s="300">
        <v>43.982000000442838</v>
      </c>
      <c r="J380" s="300">
        <f t="shared" ref="J380:J381" si="1005">SUM(G380:I380)</f>
        <v>270.96799999901009</v>
      </c>
      <c r="K380" s="300"/>
      <c r="L380" s="300">
        <v>228.40099999947947</v>
      </c>
      <c r="M380" s="300">
        <v>37.064999999951496</v>
      </c>
      <c r="N380" s="300">
        <v>44.00000000000869</v>
      </c>
      <c r="O380" s="300">
        <f t="shared" ref="O380:O381" si="1006">SUM(L380:N380)</f>
        <v>309.46599999943965</v>
      </c>
      <c r="P380" s="300"/>
      <c r="Q380" s="300">
        <v>217.75100000043207</v>
      </c>
      <c r="R380" s="300">
        <v>35.841000000045327</v>
      </c>
      <c r="S380" s="300">
        <v>43.69200000007762</v>
      </c>
      <c r="T380" s="300">
        <f t="shared" ref="T380:T381" si="1007">SUM(Q380:S380)</f>
        <v>297.28400000055501</v>
      </c>
      <c r="U380" s="300"/>
      <c r="V380" s="300">
        <v>232.15500000027541</v>
      </c>
      <c r="W380" s="300">
        <v>39.322999999980901</v>
      </c>
      <c r="X380" s="300">
        <v>50.404000000114216</v>
      </c>
      <c r="Y380" s="300">
        <f t="shared" ref="Y380:Y381" si="1008">SUM(V380:X380)</f>
        <v>321.88200000037051</v>
      </c>
    </row>
    <row r="381" spans="1:25" ht="12.45" x14ac:dyDescent="0.3">
      <c r="A381" s="264" t="s">
        <v>354</v>
      </c>
      <c r="B381" s="301">
        <f>SUM(B379:B380)</f>
        <v>353.70099999696328</v>
      </c>
      <c r="C381" s="301">
        <f t="shared" ref="C381" si="1009">SUM(C379:C380)</f>
        <v>132.26300000075955</v>
      </c>
      <c r="D381" s="301">
        <f t="shared" ref="D381" si="1010">SUM(D379:D380)</f>
        <v>82.000000000584237</v>
      </c>
      <c r="E381" s="301">
        <f t="shared" si="1004"/>
        <v>567.96399999830703</v>
      </c>
      <c r="F381" s="301"/>
      <c r="G381" s="301">
        <f>SUM(G379:G380)</f>
        <v>368.97699999712154</v>
      </c>
      <c r="H381" s="301">
        <f t="shared" ref="H381" si="1011">SUM(H379:H380)</f>
        <v>135.99300000079853</v>
      </c>
      <c r="I381" s="301">
        <f t="shared" ref="I381" si="1012">SUM(I379:I380)</f>
        <v>84.965000000910607</v>
      </c>
      <c r="J381" s="301">
        <f t="shared" si="1005"/>
        <v>589.93499999883068</v>
      </c>
      <c r="K381" s="301"/>
      <c r="L381" s="301">
        <f>SUM(L379:L380)</f>
        <v>429.08999999808384</v>
      </c>
      <c r="M381" s="301">
        <f t="shared" ref="M381" si="1013">SUM(M379:M380)</f>
        <v>138.90800000055356</v>
      </c>
      <c r="N381" s="301">
        <f t="shared" ref="N381" si="1014">SUM(N379:N380)</f>
        <v>75.000999999369554</v>
      </c>
      <c r="O381" s="301">
        <f t="shared" si="1006"/>
        <v>642.99899999800698</v>
      </c>
      <c r="P381" s="301"/>
      <c r="Q381" s="301">
        <f>SUM(Q379:Q380)</f>
        <v>415.88500000407583</v>
      </c>
      <c r="R381" s="301">
        <f t="shared" ref="R381" si="1015">SUM(R379:R380)</f>
        <v>129.38000000123276</v>
      </c>
      <c r="S381" s="301">
        <f t="shared" ref="S381" si="1016">SUM(S379:S380)</f>
        <v>73.468999999931128</v>
      </c>
      <c r="T381" s="301">
        <f t="shared" si="1007"/>
        <v>618.73400000523975</v>
      </c>
      <c r="U381" s="301"/>
      <c r="V381" s="301">
        <f>SUM(V379:V380)</f>
        <v>458.31800000002522</v>
      </c>
      <c r="W381" s="301">
        <f t="shared" ref="W381" si="1017">SUM(W379:W380)</f>
        <v>131.25999999975522</v>
      </c>
      <c r="X381" s="301">
        <f t="shared" ref="X381" si="1018">SUM(X379:X380)</f>
        <v>82.636000000145117</v>
      </c>
      <c r="Y381" s="301">
        <f t="shared" si="1008"/>
        <v>672.21399999992559</v>
      </c>
    </row>
    <row r="382" spans="1:25" ht="12.45" x14ac:dyDescent="0.3">
      <c r="C382" s="263"/>
    </row>
    <row r="383" spans="1:25" x14ac:dyDescent="0.35">
      <c r="A383" s="261"/>
    </row>
    <row r="384" spans="1:25" ht="12.45" x14ac:dyDescent="0.3">
      <c r="C384" s="263"/>
    </row>
    <row r="385" spans="1:25" ht="14.15" x14ac:dyDescent="0.35">
      <c r="A385" s="265" t="str">
        <f>"Industry 16 : "&amp; name!B19</f>
        <v>Industry 16 : Professional services</v>
      </c>
      <c r="B385" s="372">
        <f>$B$5</f>
        <v>2015</v>
      </c>
      <c r="C385" s="372"/>
      <c r="D385" s="372"/>
      <c r="E385" s="372"/>
      <c r="F385" s="320"/>
      <c r="G385" s="372">
        <f>$G$5</f>
        <v>2019</v>
      </c>
      <c r="H385" s="372"/>
      <c r="I385" s="372"/>
      <c r="J385" s="372"/>
      <c r="K385" s="320"/>
      <c r="L385" s="372">
        <f>$L$5</f>
        <v>2020</v>
      </c>
      <c r="M385" s="372"/>
      <c r="N385" s="372"/>
      <c r="O385" s="372"/>
      <c r="P385" s="318"/>
      <c r="Q385" s="372">
        <f>$Q$5</f>
        <v>2025</v>
      </c>
      <c r="R385" s="372"/>
      <c r="S385" s="372"/>
      <c r="T385" s="372"/>
      <c r="U385" s="320"/>
      <c r="V385" s="372">
        <f>$V$5</f>
        <v>2035</v>
      </c>
      <c r="W385" s="372"/>
      <c r="X385" s="372"/>
      <c r="Y385" s="372"/>
    </row>
    <row r="386" spans="1:25" ht="12.45" x14ac:dyDescent="0.3">
      <c r="A386" s="264"/>
      <c r="B386" s="268" t="str">
        <f>$B$6</f>
        <v>FT</v>
      </c>
      <c r="C386" s="268" t="str">
        <f>$C$6</f>
        <v>PT</v>
      </c>
      <c r="D386" s="268" t="str">
        <f>$D$6</f>
        <v>SE</v>
      </c>
      <c r="E386" s="268" t="str">
        <f>$E$6</f>
        <v>Total</v>
      </c>
      <c r="F386" s="268"/>
      <c r="G386" s="268" t="str">
        <f>$B$6</f>
        <v>FT</v>
      </c>
      <c r="H386" s="268" t="str">
        <f>$C$6</f>
        <v>PT</v>
      </c>
      <c r="I386" s="268" t="str">
        <f>$D$6</f>
        <v>SE</v>
      </c>
      <c r="J386" s="268" t="str">
        <f>$E$6</f>
        <v>Total</v>
      </c>
      <c r="K386" s="268"/>
      <c r="L386" s="268" t="str">
        <f>$L$6</f>
        <v>FT</v>
      </c>
      <c r="M386" s="268" t="str">
        <f>$M$6</f>
        <v>PT</v>
      </c>
      <c r="N386" s="268" t="str">
        <f>$N$6</f>
        <v>SE</v>
      </c>
      <c r="O386" s="268" t="str">
        <f>$O$6</f>
        <v>Total</v>
      </c>
      <c r="P386" s="268"/>
      <c r="Q386" s="268" t="str">
        <f>$L$6</f>
        <v>FT</v>
      </c>
      <c r="R386" s="268" t="str">
        <f>$M$6</f>
        <v>PT</v>
      </c>
      <c r="S386" s="268" t="str">
        <f>$N$6</f>
        <v>SE</v>
      </c>
      <c r="T386" s="268" t="str">
        <f>$O$6</f>
        <v>Total</v>
      </c>
      <c r="U386" s="268"/>
      <c r="V386" s="268" t="str">
        <f>$V$6</f>
        <v>FT</v>
      </c>
      <c r="W386" s="268" t="str">
        <f>$W$6</f>
        <v>PT</v>
      </c>
      <c r="X386" s="268" t="str">
        <f>$X$6</f>
        <v>SE</v>
      </c>
      <c r="Y386" s="268" t="str">
        <f>$Y$6</f>
        <v>Total</v>
      </c>
    </row>
    <row r="387" spans="1:25" ht="12.45" x14ac:dyDescent="0.3">
      <c r="C387" s="319"/>
      <c r="D387" s="319"/>
      <c r="E387" s="319"/>
      <c r="F387" s="319"/>
      <c r="G387" s="319"/>
      <c r="H387" s="319"/>
      <c r="I387" s="319"/>
      <c r="J387" s="319"/>
      <c r="K387" s="319"/>
      <c r="L387" s="319"/>
      <c r="M387" s="319"/>
      <c r="N387" s="319"/>
      <c r="O387" s="319"/>
      <c r="P387" s="319"/>
      <c r="Q387" s="319"/>
      <c r="R387" s="319"/>
      <c r="S387" s="319"/>
      <c r="T387" s="319"/>
      <c r="U387" s="319"/>
      <c r="V387" s="319"/>
      <c r="W387" s="319"/>
      <c r="X387" s="319"/>
      <c r="Y387" s="319"/>
    </row>
    <row r="388" spans="1:25" ht="12.45" x14ac:dyDescent="0.3">
      <c r="A388" s="261" t="str">
        <f>name!A54</f>
        <v>Legal and accounting</v>
      </c>
      <c r="C388" s="263"/>
    </row>
    <row r="389" spans="1:25" ht="12.45" x14ac:dyDescent="0.3">
      <c r="A389" s="260" t="s">
        <v>356</v>
      </c>
      <c r="B389" s="300">
        <v>252.67399999530619</v>
      </c>
      <c r="C389" s="300">
        <v>98.873999999618079</v>
      </c>
      <c r="D389" s="300">
        <v>50.600000000072377</v>
      </c>
      <c r="E389" s="300">
        <f>SUM(B389:D389)</f>
        <v>402.14799999499667</v>
      </c>
      <c r="F389" s="300"/>
      <c r="G389" s="300">
        <v>286.79099999415729</v>
      </c>
      <c r="H389" s="300">
        <v>114.91699999971512</v>
      </c>
      <c r="I389" s="300">
        <v>53.88300000009199</v>
      </c>
      <c r="J389" s="300">
        <f>SUM(G389:I389)</f>
        <v>455.59099999396443</v>
      </c>
      <c r="K389" s="300"/>
      <c r="L389" s="300">
        <v>289.58499999669766</v>
      </c>
      <c r="M389" s="300">
        <v>130.80999999990942</v>
      </c>
      <c r="N389" s="300">
        <v>49.40599999899711</v>
      </c>
      <c r="O389" s="300">
        <f>SUM(L389:N389)</f>
        <v>469.80099999560423</v>
      </c>
      <c r="P389" s="300"/>
      <c r="Q389" s="300">
        <v>300.41100000723543</v>
      </c>
      <c r="R389" s="300">
        <v>138.03500000059637</v>
      </c>
      <c r="S389" s="300">
        <v>51.478999999711299</v>
      </c>
      <c r="T389" s="300">
        <f>SUM(Q389:S389)</f>
        <v>489.92500000754308</v>
      </c>
      <c r="U389" s="300"/>
      <c r="V389" s="300">
        <v>308.56700000194763</v>
      </c>
      <c r="W389" s="300">
        <v>146.74600000096368</v>
      </c>
      <c r="X389" s="300">
        <v>53.356000000422149</v>
      </c>
      <c r="Y389" s="300">
        <f>SUM(V389:X389)</f>
        <v>508.66900000333345</v>
      </c>
    </row>
    <row r="390" spans="1:25" ht="12.45" x14ac:dyDescent="0.3">
      <c r="A390" s="260" t="s">
        <v>355</v>
      </c>
      <c r="B390" s="300">
        <v>234.36599999454657</v>
      </c>
      <c r="C390" s="300">
        <v>29.046999999667857</v>
      </c>
      <c r="D390" s="300">
        <v>75.401000000812402</v>
      </c>
      <c r="E390" s="300">
        <f t="shared" ref="E390:E391" si="1019">SUM(B390:D390)</f>
        <v>338.81399999502685</v>
      </c>
      <c r="F390" s="300"/>
      <c r="G390" s="300">
        <v>269.70199999570582</v>
      </c>
      <c r="H390" s="300">
        <v>30.076999999729743</v>
      </c>
      <c r="I390" s="300">
        <v>98.785999999476644</v>
      </c>
      <c r="J390" s="300">
        <f t="shared" ref="J390:J391" si="1020">SUM(G390:I390)</f>
        <v>398.56499999491223</v>
      </c>
      <c r="K390" s="300"/>
      <c r="L390" s="300">
        <v>235.50899999878959</v>
      </c>
      <c r="M390" s="300">
        <v>43.091000000026717</v>
      </c>
      <c r="N390" s="300">
        <v>72.596000001869271</v>
      </c>
      <c r="O390" s="300">
        <f t="shared" ref="O390:O391" si="1021">SUM(L390:N390)</f>
        <v>351.19600000068556</v>
      </c>
      <c r="P390" s="300"/>
      <c r="Q390" s="300">
        <v>249.88699999962725</v>
      </c>
      <c r="R390" s="300">
        <v>46.557000000000869</v>
      </c>
      <c r="S390" s="300">
        <v>75.52100000485288</v>
      </c>
      <c r="T390" s="300">
        <f t="shared" ref="T390:T391" si="1022">SUM(Q390:S390)</f>
        <v>371.965000004481</v>
      </c>
      <c r="U390" s="300"/>
      <c r="V390" s="300">
        <v>268.54699999876897</v>
      </c>
      <c r="W390" s="300">
        <v>51.766000000001704</v>
      </c>
      <c r="X390" s="300">
        <v>78.019000003314304</v>
      </c>
      <c r="Y390" s="300">
        <f t="shared" ref="Y390:Y391" si="1023">SUM(V390:X390)</f>
        <v>398.33200000208501</v>
      </c>
    </row>
    <row r="391" spans="1:25" ht="12.45" x14ac:dyDescent="0.3">
      <c r="A391" s="260" t="s">
        <v>354</v>
      </c>
      <c r="B391" s="300">
        <f>SUM(B389:B390)</f>
        <v>487.03999998985273</v>
      </c>
      <c r="C391" s="300">
        <f t="shared" ref="C391" si="1024">SUM(C389:C390)</f>
        <v>127.92099999928594</v>
      </c>
      <c r="D391" s="300">
        <f t="shared" ref="D391" si="1025">SUM(D389:D390)</f>
        <v>126.00100000088477</v>
      </c>
      <c r="E391" s="300">
        <f t="shared" si="1019"/>
        <v>740.96199999002351</v>
      </c>
      <c r="F391" s="300"/>
      <c r="G391" s="300">
        <f>SUM(G389:G390)</f>
        <v>556.49299998986316</v>
      </c>
      <c r="H391" s="300">
        <f t="shared" ref="H391" si="1026">SUM(H389:H390)</f>
        <v>144.99399999944487</v>
      </c>
      <c r="I391" s="300">
        <f t="shared" ref="I391" si="1027">SUM(I389:I390)</f>
        <v>152.66899999956863</v>
      </c>
      <c r="J391" s="300">
        <f t="shared" si="1020"/>
        <v>854.15599998887672</v>
      </c>
      <c r="K391" s="300"/>
      <c r="L391" s="300">
        <f>SUM(L389:L390)</f>
        <v>525.09399999548725</v>
      </c>
      <c r="M391" s="300">
        <f t="shared" ref="M391" si="1028">SUM(M389:M390)</f>
        <v>173.90099999993615</v>
      </c>
      <c r="N391" s="300">
        <f t="shared" ref="N391" si="1029">SUM(N389:N390)</f>
        <v>122.00200000086639</v>
      </c>
      <c r="O391" s="300">
        <f t="shared" si="1021"/>
        <v>820.99699999628979</v>
      </c>
      <c r="P391" s="300"/>
      <c r="Q391" s="300">
        <f>SUM(Q389:Q390)</f>
        <v>550.29800000686271</v>
      </c>
      <c r="R391" s="300">
        <f t="shared" ref="R391" si="1030">SUM(R389:R390)</f>
        <v>184.59200000059724</v>
      </c>
      <c r="S391" s="300">
        <f t="shared" ref="S391" si="1031">SUM(S389:S390)</f>
        <v>127.00000000456419</v>
      </c>
      <c r="T391" s="300">
        <f t="shared" si="1022"/>
        <v>861.89000001202419</v>
      </c>
      <c r="U391" s="300"/>
      <c r="V391" s="300">
        <f>SUM(V389:V390)</f>
        <v>577.1140000007166</v>
      </c>
      <c r="W391" s="300">
        <f t="shared" ref="W391" si="1032">SUM(W389:W390)</f>
        <v>198.51200000096537</v>
      </c>
      <c r="X391" s="300">
        <f t="shared" ref="X391" si="1033">SUM(X389:X390)</f>
        <v>131.37500000373646</v>
      </c>
      <c r="Y391" s="300">
        <f t="shared" si="1023"/>
        <v>907.0010000054184</v>
      </c>
    </row>
    <row r="392" spans="1:25" ht="12.45" x14ac:dyDescent="0.3">
      <c r="C392" s="319"/>
      <c r="D392" s="319"/>
      <c r="E392" s="319"/>
      <c r="F392" s="319"/>
      <c r="G392" s="319"/>
      <c r="H392" s="319"/>
      <c r="I392" s="319"/>
      <c r="J392" s="319"/>
      <c r="K392" s="319"/>
      <c r="L392" s="319"/>
      <c r="M392" s="319"/>
      <c r="N392" s="319"/>
      <c r="O392" s="319"/>
      <c r="P392" s="319"/>
      <c r="Q392" s="319"/>
      <c r="R392" s="319"/>
      <c r="S392" s="319"/>
      <c r="T392" s="319"/>
      <c r="U392" s="319"/>
      <c r="V392" s="319"/>
      <c r="W392" s="319"/>
      <c r="X392" s="319"/>
      <c r="Y392" s="319"/>
    </row>
    <row r="393" spans="1:25" ht="12.45" x14ac:dyDescent="0.3">
      <c r="A393" s="261" t="str">
        <f>name!A55</f>
        <v>Head offices, etc</v>
      </c>
      <c r="C393" s="263"/>
    </row>
    <row r="394" spans="1:25" ht="12.45" x14ac:dyDescent="0.3">
      <c r="A394" s="260" t="s">
        <v>356</v>
      </c>
      <c r="B394" s="300">
        <v>209.98399999595671</v>
      </c>
      <c r="C394" s="300">
        <v>132.99099999936971</v>
      </c>
      <c r="D394" s="300">
        <v>44.998999999996663</v>
      </c>
      <c r="E394" s="300">
        <f>SUM(B394:D394)</f>
        <v>387.97399999532308</v>
      </c>
      <c r="F394" s="300"/>
      <c r="G394" s="300">
        <v>236.1659999950794</v>
      </c>
      <c r="H394" s="300">
        <v>146.1019999996692</v>
      </c>
      <c r="I394" s="300">
        <v>37.312000000016987</v>
      </c>
      <c r="J394" s="300">
        <f>SUM(G394:I394)</f>
        <v>419.57999999476561</v>
      </c>
      <c r="K394" s="300"/>
      <c r="L394" s="300">
        <v>228.71099999746559</v>
      </c>
      <c r="M394" s="300">
        <v>143.81999999980209</v>
      </c>
      <c r="N394" s="300">
        <v>35.999999999277954</v>
      </c>
      <c r="O394" s="300">
        <f>SUM(L394:N394)</f>
        <v>408.53099999654569</v>
      </c>
      <c r="P394" s="300"/>
      <c r="Q394" s="300">
        <v>239.60700000617331</v>
      </c>
      <c r="R394" s="300">
        <v>151.76700000063812</v>
      </c>
      <c r="S394" s="300">
        <v>35.973999999858279</v>
      </c>
      <c r="T394" s="300">
        <f>SUM(Q394:S394)</f>
        <v>427.34800000666974</v>
      </c>
      <c r="U394" s="300"/>
      <c r="V394" s="300">
        <v>254.20400000177844</v>
      </c>
      <c r="W394" s="300">
        <v>163.25900000100143</v>
      </c>
      <c r="X394" s="300">
        <v>34.603000000267173</v>
      </c>
      <c r="Y394" s="300">
        <f>SUM(V394:X394)</f>
        <v>452.06600000304701</v>
      </c>
    </row>
    <row r="395" spans="1:25" ht="12.45" x14ac:dyDescent="0.3">
      <c r="A395" s="260" t="s">
        <v>355</v>
      </c>
      <c r="B395" s="300">
        <v>338.97799999236474</v>
      </c>
      <c r="C395" s="300">
        <v>48.995999999374497</v>
      </c>
      <c r="D395" s="300">
        <v>53.001000000655431</v>
      </c>
      <c r="E395" s="300">
        <f t="shared" ref="E395:E396" si="1034">SUM(B395:D395)</f>
        <v>440.97499999239466</v>
      </c>
      <c r="F395" s="300"/>
      <c r="G395" s="300">
        <v>342.23899999456097</v>
      </c>
      <c r="H395" s="300">
        <v>53.036999999502548</v>
      </c>
      <c r="I395" s="300">
        <v>57.481999999654398</v>
      </c>
      <c r="J395" s="300">
        <f t="shared" ref="J395:J396" si="1035">SUM(G395:I395)</f>
        <v>452.75799999371793</v>
      </c>
      <c r="K395" s="300"/>
      <c r="L395" s="300">
        <v>351.55899999780411</v>
      </c>
      <c r="M395" s="300">
        <v>70.91000000007746</v>
      </c>
      <c r="N395" s="300">
        <v>50.999000001312893</v>
      </c>
      <c r="O395" s="300">
        <f t="shared" ref="O395:O396" si="1036">SUM(L395:N395)</f>
        <v>473.46799999919443</v>
      </c>
      <c r="P395" s="300"/>
      <c r="Q395" s="300">
        <v>358.07099999928266</v>
      </c>
      <c r="R395" s="300">
        <v>74.601000000030368</v>
      </c>
      <c r="S395" s="300">
        <v>52.948000003345449</v>
      </c>
      <c r="T395" s="300">
        <f t="shared" ref="T395:T396" si="1037">SUM(Q395:S395)</f>
        <v>485.62000000265846</v>
      </c>
      <c r="U395" s="300"/>
      <c r="V395" s="300">
        <v>358.92799999773302</v>
      </c>
      <c r="W395" s="300">
        <v>79.785000000038451</v>
      </c>
      <c r="X395" s="300">
        <v>55.194000002197569</v>
      </c>
      <c r="Y395" s="300">
        <f t="shared" ref="Y395:Y396" si="1038">SUM(V395:X395)</f>
        <v>493.90699999996906</v>
      </c>
    </row>
    <row r="396" spans="1:25" ht="12.45" x14ac:dyDescent="0.3">
      <c r="A396" s="260" t="s">
        <v>354</v>
      </c>
      <c r="B396" s="300">
        <f>SUM(B394:B395)</f>
        <v>548.96199998832139</v>
      </c>
      <c r="C396" s="300">
        <f t="shared" ref="C396" si="1039">SUM(C394:C395)</f>
        <v>181.98699999874421</v>
      </c>
      <c r="D396" s="300">
        <f t="shared" ref="D396" si="1040">SUM(D394:D395)</f>
        <v>98.000000000652093</v>
      </c>
      <c r="E396" s="300">
        <f t="shared" si="1034"/>
        <v>828.94899998771768</v>
      </c>
      <c r="F396" s="300"/>
      <c r="G396" s="300">
        <f>SUM(G394:G395)</f>
        <v>578.40499998964037</v>
      </c>
      <c r="H396" s="300">
        <f t="shared" ref="H396" si="1041">SUM(H394:H395)</f>
        <v>199.13899999917174</v>
      </c>
      <c r="I396" s="300">
        <f t="shared" ref="I396" si="1042">SUM(I394:I395)</f>
        <v>94.793999999671385</v>
      </c>
      <c r="J396" s="300">
        <f t="shared" si="1035"/>
        <v>872.3379999884836</v>
      </c>
      <c r="K396" s="300"/>
      <c r="L396" s="300">
        <f>SUM(L394:L395)</f>
        <v>580.2699999952697</v>
      </c>
      <c r="M396" s="300">
        <f t="shared" ref="M396" si="1043">SUM(M394:M395)</f>
        <v>214.72999999987957</v>
      </c>
      <c r="N396" s="300">
        <f t="shared" ref="N396" si="1044">SUM(N394:N395)</f>
        <v>86.999000000590854</v>
      </c>
      <c r="O396" s="300">
        <f t="shared" si="1036"/>
        <v>881.99899999574006</v>
      </c>
      <c r="P396" s="300"/>
      <c r="Q396" s="300">
        <f>SUM(Q394:Q395)</f>
        <v>597.67800000545594</v>
      </c>
      <c r="R396" s="300">
        <f t="shared" ref="R396" si="1045">SUM(R394:R395)</f>
        <v>226.36800000066847</v>
      </c>
      <c r="S396" s="300">
        <f t="shared" ref="S396" si="1046">SUM(S394:S395)</f>
        <v>88.922000003203721</v>
      </c>
      <c r="T396" s="300">
        <f t="shared" si="1037"/>
        <v>912.96800000932808</v>
      </c>
      <c r="U396" s="300"/>
      <c r="V396" s="300">
        <f>SUM(V394:V395)</f>
        <v>613.13199999951144</v>
      </c>
      <c r="W396" s="300">
        <f t="shared" ref="W396" si="1047">SUM(W394:W395)</f>
        <v>243.04400000103988</v>
      </c>
      <c r="X396" s="300">
        <f t="shared" ref="X396" si="1048">SUM(X394:X395)</f>
        <v>89.797000002464742</v>
      </c>
      <c r="Y396" s="300">
        <f t="shared" si="1038"/>
        <v>945.97300000301607</v>
      </c>
    </row>
    <row r="397" spans="1:25" ht="12.45" x14ac:dyDescent="0.3">
      <c r="C397" s="319"/>
      <c r="D397" s="319"/>
      <c r="E397" s="319"/>
      <c r="F397" s="319"/>
      <c r="G397" s="319"/>
      <c r="H397" s="319"/>
      <c r="I397" s="319"/>
      <c r="J397" s="319"/>
      <c r="K397" s="319"/>
      <c r="L397" s="319"/>
      <c r="M397" s="319"/>
      <c r="N397" s="319"/>
      <c r="O397" s="319"/>
      <c r="P397" s="319"/>
      <c r="Q397" s="319"/>
      <c r="R397" s="319"/>
      <c r="S397" s="319"/>
      <c r="T397" s="319"/>
      <c r="U397" s="319"/>
      <c r="V397" s="319"/>
      <c r="W397" s="319"/>
      <c r="X397" s="319"/>
      <c r="Y397" s="319"/>
    </row>
    <row r="398" spans="1:25" ht="12.45" x14ac:dyDescent="0.3">
      <c r="A398" s="261" t="str">
        <f>name!A56</f>
        <v>Architectural and related</v>
      </c>
      <c r="C398" s="263"/>
    </row>
    <row r="399" spans="1:25" ht="12.45" x14ac:dyDescent="0.3">
      <c r="A399" s="260" t="s">
        <v>356</v>
      </c>
      <c r="B399" s="300">
        <v>110.99199999798971</v>
      </c>
      <c r="C399" s="300">
        <v>43.996999999841215</v>
      </c>
      <c r="D399" s="300">
        <v>17.000000000037371</v>
      </c>
      <c r="E399" s="300">
        <f>SUM(B399:D399)</f>
        <v>171.98899999786829</v>
      </c>
      <c r="F399" s="300"/>
      <c r="G399" s="300">
        <v>117.08199999760909</v>
      </c>
      <c r="H399" s="300">
        <v>49.033999999874361</v>
      </c>
      <c r="I399" s="300">
        <v>11.973999999996623</v>
      </c>
      <c r="J399" s="300">
        <f>SUM(G399:I399)</f>
        <v>178.08999999748008</v>
      </c>
      <c r="K399" s="300"/>
      <c r="L399" s="300">
        <v>122.73099999836322</v>
      </c>
      <c r="M399" s="300">
        <v>45.268999999934849</v>
      </c>
      <c r="N399" s="300">
        <v>14.999999999663405</v>
      </c>
      <c r="O399" s="300">
        <f>SUM(L399:N399)</f>
        <v>182.99999999796145</v>
      </c>
      <c r="P399" s="300"/>
      <c r="Q399" s="300">
        <v>125.305000002847</v>
      </c>
      <c r="R399" s="300">
        <v>45.355000000135462</v>
      </c>
      <c r="S399" s="300">
        <v>14.536999999893915</v>
      </c>
      <c r="T399" s="300">
        <f>SUM(Q399:S399)</f>
        <v>185.19700000287636</v>
      </c>
      <c r="U399" s="300"/>
      <c r="V399" s="300">
        <v>138.92800000084873</v>
      </c>
      <c r="W399" s="300">
        <v>48.536000000303297</v>
      </c>
      <c r="X399" s="300">
        <v>14.549000000104384</v>
      </c>
      <c r="Y399" s="300">
        <f>SUM(V399:X399)</f>
        <v>202.01300000125639</v>
      </c>
    </row>
    <row r="400" spans="1:25" ht="12.45" x14ac:dyDescent="0.3">
      <c r="A400" s="260" t="s">
        <v>355</v>
      </c>
      <c r="B400" s="300">
        <v>333.97899999307975</v>
      </c>
      <c r="C400" s="300">
        <v>18.998999999828573</v>
      </c>
      <c r="D400" s="300">
        <v>65.998000000784572</v>
      </c>
      <c r="E400" s="300">
        <f t="shared" ref="E400:E401" si="1049">SUM(B400:D400)</f>
        <v>418.97599999369288</v>
      </c>
      <c r="F400" s="300"/>
      <c r="G400" s="300">
        <v>364.25299999496337</v>
      </c>
      <c r="H400" s="300">
        <v>33.021999999730475</v>
      </c>
      <c r="I400" s="300">
        <v>82.820999999697193</v>
      </c>
      <c r="J400" s="300">
        <f t="shared" ref="J400:J401" si="1050">SUM(G400:I400)</f>
        <v>480.09599999439104</v>
      </c>
      <c r="K400" s="300"/>
      <c r="L400" s="300">
        <v>379.99999999725247</v>
      </c>
      <c r="M400" s="300">
        <v>34.999999999986827</v>
      </c>
      <c r="N400" s="300">
        <v>76.001000001809544</v>
      </c>
      <c r="O400" s="300">
        <f t="shared" ref="O400:O401" si="1051">SUM(L400:N400)</f>
        <v>491.00099999904882</v>
      </c>
      <c r="P400" s="300"/>
      <c r="Q400" s="300">
        <v>371.36199999800505</v>
      </c>
      <c r="R400" s="300">
        <v>35.513999999975752</v>
      </c>
      <c r="S400" s="300">
        <v>74.550000004316061</v>
      </c>
      <c r="T400" s="300">
        <f t="shared" ref="T400:T401" si="1052">SUM(Q400:S400)</f>
        <v>481.42600000229686</v>
      </c>
      <c r="U400" s="300"/>
      <c r="V400" s="300">
        <v>378.15599999613272</v>
      </c>
      <c r="W400" s="300">
        <v>38.927999999971604</v>
      </c>
      <c r="X400" s="300">
        <v>76.504000002756982</v>
      </c>
      <c r="Y400" s="300">
        <f t="shared" ref="Y400:Y401" si="1053">SUM(V400:X400)</f>
        <v>493.58799999886133</v>
      </c>
    </row>
    <row r="401" spans="1:25" ht="12.45" x14ac:dyDescent="0.3">
      <c r="A401" s="260" t="s">
        <v>354</v>
      </c>
      <c r="B401" s="300">
        <f>SUM(B399:B400)</f>
        <v>444.97099999106945</v>
      </c>
      <c r="C401" s="300">
        <f t="shared" ref="C401" si="1054">SUM(C399:C400)</f>
        <v>62.995999999669792</v>
      </c>
      <c r="D401" s="300">
        <f t="shared" ref="D401" si="1055">SUM(D399:D400)</f>
        <v>82.998000000821946</v>
      </c>
      <c r="E401" s="300">
        <f t="shared" si="1049"/>
        <v>590.96499999156117</v>
      </c>
      <c r="F401" s="300"/>
      <c r="G401" s="300">
        <f>SUM(G399:G400)</f>
        <v>481.33499999257248</v>
      </c>
      <c r="H401" s="300">
        <f t="shared" ref="H401" si="1056">SUM(H399:H400)</f>
        <v>82.055999999604836</v>
      </c>
      <c r="I401" s="300">
        <f t="shared" ref="I401" si="1057">SUM(I399:I400)</f>
        <v>94.794999999693815</v>
      </c>
      <c r="J401" s="300">
        <f t="shared" si="1050"/>
        <v>658.18599999187109</v>
      </c>
      <c r="K401" s="300"/>
      <c r="L401" s="300">
        <f>SUM(L399:L400)</f>
        <v>502.73099999561566</v>
      </c>
      <c r="M401" s="300">
        <f t="shared" ref="M401" si="1058">SUM(M399:M400)</f>
        <v>80.268999999921675</v>
      </c>
      <c r="N401" s="300">
        <f t="shared" ref="N401" si="1059">SUM(N399:N400)</f>
        <v>91.001000001472946</v>
      </c>
      <c r="O401" s="300">
        <f t="shared" si="1051"/>
        <v>674.00099999701024</v>
      </c>
      <c r="P401" s="300"/>
      <c r="Q401" s="300">
        <f>SUM(Q399:Q400)</f>
        <v>496.66700000085206</v>
      </c>
      <c r="R401" s="300">
        <f t="shared" ref="R401" si="1060">SUM(R399:R400)</f>
        <v>80.869000000111214</v>
      </c>
      <c r="S401" s="300">
        <f t="shared" ref="S401" si="1061">SUM(S399:S400)</f>
        <v>89.087000004209983</v>
      </c>
      <c r="T401" s="300">
        <f t="shared" si="1052"/>
        <v>666.62300000517325</v>
      </c>
      <c r="U401" s="300"/>
      <c r="V401" s="300">
        <f>SUM(V399:V400)</f>
        <v>517.08399999698145</v>
      </c>
      <c r="W401" s="300">
        <f t="shared" ref="W401" si="1062">SUM(W399:W400)</f>
        <v>87.464000000274893</v>
      </c>
      <c r="X401" s="300">
        <f t="shared" ref="X401" si="1063">SUM(X399:X400)</f>
        <v>91.053000002861367</v>
      </c>
      <c r="Y401" s="300">
        <f t="shared" si="1053"/>
        <v>695.60100000011766</v>
      </c>
    </row>
    <row r="402" spans="1:25" ht="12.45" x14ac:dyDescent="0.3">
      <c r="C402" s="319"/>
      <c r="D402" s="319"/>
      <c r="E402" s="319"/>
      <c r="F402" s="319"/>
      <c r="G402" s="319"/>
      <c r="H402" s="319"/>
      <c r="I402" s="319"/>
      <c r="J402" s="319"/>
      <c r="K402" s="319"/>
      <c r="L402" s="319"/>
      <c r="M402" s="319"/>
      <c r="N402" s="319"/>
      <c r="O402" s="319"/>
      <c r="P402" s="319"/>
      <c r="Q402" s="319"/>
      <c r="R402" s="319"/>
      <c r="S402" s="319"/>
      <c r="T402" s="319"/>
      <c r="U402" s="319"/>
      <c r="V402" s="319"/>
      <c r="W402" s="319"/>
      <c r="X402" s="319"/>
      <c r="Y402" s="319"/>
    </row>
    <row r="403" spans="1:25" ht="12.45" x14ac:dyDescent="0.3">
      <c r="A403" s="261" t="str">
        <f>name!A57</f>
        <v>Scientific research and development</v>
      </c>
      <c r="C403" s="263"/>
    </row>
    <row r="404" spans="1:25" ht="12.45" x14ac:dyDescent="0.3">
      <c r="A404" s="260" t="s">
        <v>356</v>
      </c>
      <c r="B404" s="300">
        <v>25.236999999790484</v>
      </c>
      <c r="C404" s="300">
        <v>6.5909999998910473</v>
      </c>
      <c r="D404" s="300">
        <v>19.356999999931944</v>
      </c>
      <c r="E404" s="300">
        <f>SUM(B404:D404)</f>
        <v>51.184999999613474</v>
      </c>
      <c r="F404" s="300"/>
      <c r="G404" s="300">
        <v>29.259999999754388</v>
      </c>
      <c r="H404" s="300">
        <v>7.3939999998994459</v>
      </c>
      <c r="I404" s="300">
        <v>21.970999999883457</v>
      </c>
      <c r="J404" s="300">
        <f>SUM(G404:I404)</f>
        <v>58.624999999537295</v>
      </c>
      <c r="K404" s="300"/>
      <c r="L404" s="300">
        <v>29.928000000338297</v>
      </c>
      <c r="M404" s="300">
        <v>7.2939999999126384</v>
      </c>
      <c r="N404" s="300">
        <v>17.366999999740774</v>
      </c>
      <c r="O404" s="300">
        <f>SUM(L404:N404)</f>
        <v>54.588999999991714</v>
      </c>
      <c r="P404" s="300"/>
      <c r="Q404" s="300">
        <v>33.492999999188434</v>
      </c>
      <c r="R404" s="300">
        <v>8.0689999998414095</v>
      </c>
      <c r="S404" s="300">
        <v>20.152999999887623</v>
      </c>
      <c r="T404" s="300">
        <f>SUM(Q404:S404)</f>
        <v>61.714999998917463</v>
      </c>
      <c r="U404" s="300"/>
      <c r="V404" s="300">
        <v>37.702000000632523</v>
      </c>
      <c r="W404" s="300">
        <v>9.0210000000549595</v>
      </c>
      <c r="X404" s="300">
        <v>25.004000000170997</v>
      </c>
      <c r="Y404" s="300">
        <f>SUM(V404:X404)</f>
        <v>71.727000000858482</v>
      </c>
    </row>
    <row r="405" spans="1:25" ht="12.45" x14ac:dyDescent="0.3">
      <c r="A405" s="260" t="s">
        <v>355</v>
      </c>
      <c r="B405" s="300">
        <v>70.218999999359028</v>
      </c>
      <c r="C405" s="300">
        <v>6.0029999998674519</v>
      </c>
      <c r="D405" s="300">
        <v>34.622000000223188</v>
      </c>
      <c r="E405" s="300">
        <f t="shared" ref="E405:E406" si="1064">SUM(B405:D405)</f>
        <v>110.84399999944966</v>
      </c>
      <c r="F405" s="300"/>
      <c r="G405" s="300">
        <v>79.758999999399137</v>
      </c>
      <c r="H405" s="300">
        <v>6.3719999998654702</v>
      </c>
      <c r="I405" s="300">
        <v>38.84299999962068</v>
      </c>
      <c r="J405" s="300">
        <f t="shared" ref="J405:J406" si="1065">SUM(G405:I405)</f>
        <v>124.97399999888529</v>
      </c>
      <c r="K405" s="300"/>
      <c r="L405" s="300">
        <v>77.045999999990315</v>
      </c>
      <c r="M405" s="300">
        <v>5.596000000054894</v>
      </c>
      <c r="N405" s="300">
        <v>30.373000000486794</v>
      </c>
      <c r="O405" s="300">
        <f t="shared" ref="O405:O406" si="1066">SUM(L405:N405)</f>
        <v>113.01500000053201</v>
      </c>
      <c r="P405" s="300"/>
      <c r="Q405" s="300">
        <v>85.154999998925732</v>
      </c>
      <c r="R405" s="300">
        <v>6.4249999999897103</v>
      </c>
      <c r="S405" s="300">
        <v>34.202000001575605</v>
      </c>
      <c r="T405" s="300">
        <f t="shared" ref="T405:T406" si="1067">SUM(Q405:S405)</f>
        <v>125.78200000049105</v>
      </c>
      <c r="U405" s="300"/>
      <c r="V405" s="300">
        <v>93.632999998589355</v>
      </c>
      <c r="W405" s="300">
        <v>7.7869999999682467</v>
      </c>
      <c r="X405" s="300">
        <v>39.626000000970699</v>
      </c>
      <c r="Y405" s="300">
        <f t="shared" ref="Y405:Y406" si="1068">SUM(V405:X405)</f>
        <v>141.04599999952831</v>
      </c>
    </row>
    <row r="406" spans="1:25" ht="12.45" x14ac:dyDescent="0.3">
      <c r="A406" s="260" t="s">
        <v>354</v>
      </c>
      <c r="B406" s="300">
        <f>SUM(B404:B405)</f>
        <v>95.455999999149512</v>
      </c>
      <c r="C406" s="300">
        <f t="shared" ref="C406" si="1069">SUM(C404:C405)</f>
        <v>12.593999999758498</v>
      </c>
      <c r="D406" s="300">
        <f t="shared" ref="D406" si="1070">SUM(D404:D405)</f>
        <v>53.979000000155132</v>
      </c>
      <c r="E406" s="300">
        <f t="shared" si="1064"/>
        <v>162.02899999906313</v>
      </c>
      <c r="F406" s="300"/>
      <c r="G406" s="300">
        <f>SUM(G404:G405)</f>
        <v>109.01899999915352</v>
      </c>
      <c r="H406" s="300">
        <f t="shared" ref="H406" si="1071">SUM(H404:H405)</f>
        <v>13.765999999764915</v>
      </c>
      <c r="I406" s="300">
        <f t="shared" ref="I406" si="1072">SUM(I404:I405)</f>
        <v>60.813999999504134</v>
      </c>
      <c r="J406" s="300">
        <f t="shared" si="1065"/>
        <v>183.59899999842258</v>
      </c>
      <c r="K406" s="300"/>
      <c r="L406" s="300">
        <f>SUM(L404:L405)</f>
        <v>106.97400000032862</v>
      </c>
      <c r="M406" s="300">
        <f t="shared" ref="M406" si="1073">SUM(M404:M405)</f>
        <v>12.889999999967532</v>
      </c>
      <c r="N406" s="300">
        <f t="shared" ref="N406" si="1074">SUM(N404:N405)</f>
        <v>47.740000000227568</v>
      </c>
      <c r="O406" s="300">
        <f t="shared" si="1066"/>
        <v>167.60400000052371</v>
      </c>
      <c r="P406" s="300"/>
      <c r="Q406" s="300">
        <f>SUM(Q404:Q405)</f>
        <v>118.64799999811416</v>
      </c>
      <c r="R406" s="300">
        <f t="shared" ref="R406" si="1075">SUM(R404:R405)</f>
        <v>14.49399999983112</v>
      </c>
      <c r="S406" s="300">
        <f t="shared" ref="S406" si="1076">SUM(S404:S405)</f>
        <v>54.355000001463225</v>
      </c>
      <c r="T406" s="300">
        <f t="shared" si="1067"/>
        <v>187.4969999994085</v>
      </c>
      <c r="U406" s="300"/>
      <c r="V406" s="300">
        <f>SUM(V404:V405)</f>
        <v>131.33499999922188</v>
      </c>
      <c r="W406" s="300">
        <f t="shared" ref="W406" si="1077">SUM(W404:W405)</f>
        <v>16.808000000023206</v>
      </c>
      <c r="X406" s="300">
        <f t="shared" ref="X406" si="1078">SUM(X404:X405)</f>
        <v>64.630000001141696</v>
      </c>
      <c r="Y406" s="300">
        <f t="shared" si="1068"/>
        <v>212.77300000038679</v>
      </c>
    </row>
    <row r="407" spans="1:25" ht="12.45" x14ac:dyDescent="0.3">
      <c r="C407" s="319"/>
      <c r="D407" s="319"/>
      <c r="E407" s="319"/>
      <c r="F407" s="319"/>
      <c r="G407" s="319"/>
      <c r="H407" s="319"/>
      <c r="I407" s="319"/>
      <c r="J407" s="319"/>
      <c r="K407" s="319"/>
      <c r="L407" s="319"/>
      <c r="M407" s="319"/>
      <c r="N407" s="319"/>
      <c r="O407" s="319"/>
      <c r="P407" s="319"/>
      <c r="Q407" s="319"/>
      <c r="R407" s="319"/>
      <c r="S407" s="319"/>
      <c r="T407" s="319"/>
      <c r="U407" s="319"/>
      <c r="V407" s="319"/>
      <c r="W407" s="319"/>
      <c r="X407" s="319"/>
      <c r="Y407" s="319"/>
    </row>
    <row r="408" spans="1:25" ht="12.45" x14ac:dyDescent="0.3">
      <c r="A408" s="261" t="str">
        <f>name!A58</f>
        <v>Advertising, etc</v>
      </c>
      <c r="C408" s="263"/>
    </row>
    <row r="409" spans="1:25" ht="12.45" x14ac:dyDescent="0.3">
      <c r="A409" s="260" t="s">
        <v>356</v>
      </c>
      <c r="B409" s="300">
        <v>88.922999998305173</v>
      </c>
      <c r="C409" s="300">
        <v>35.833999999844735</v>
      </c>
      <c r="D409" s="300">
        <v>30.982999999988134</v>
      </c>
      <c r="E409" s="300">
        <f>SUM(B409:D409)</f>
        <v>155.73999999813805</v>
      </c>
      <c r="F409" s="300"/>
      <c r="G409" s="300">
        <v>88.312999997932124</v>
      </c>
      <c r="H409" s="300">
        <v>28.614999999871849</v>
      </c>
      <c r="I409" s="300">
        <v>28.242999999963889</v>
      </c>
      <c r="J409" s="300">
        <f>SUM(G409:I409)</f>
        <v>145.17099999776786</v>
      </c>
      <c r="K409" s="300"/>
      <c r="L409" s="300">
        <v>89.071999999348549</v>
      </c>
      <c r="M409" s="300">
        <v>28.814999999961028</v>
      </c>
      <c r="N409" s="300">
        <v>24.20399999964437</v>
      </c>
      <c r="O409" s="300">
        <f>SUM(L409:N409)</f>
        <v>142.09099999895395</v>
      </c>
      <c r="P409" s="300"/>
      <c r="Q409" s="300">
        <v>100.01300000276356</v>
      </c>
      <c r="R409" s="300">
        <v>32.096000000023643</v>
      </c>
      <c r="S409" s="300">
        <v>28.25499999996455</v>
      </c>
      <c r="T409" s="300">
        <f>SUM(Q409:S409)</f>
        <v>160.36400000275177</v>
      </c>
      <c r="U409" s="300"/>
      <c r="V409" s="300">
        <v>110.60300000054245</v>
      </c>
      <c r="W409" s="300">
        <v>35.691000000181887</v>
      </c>
      <c r="X409" s="300">
        <v>34.516000000206333</v>
      </c>
      <c r="Y409" s="300">
        <f>SUM(V409:X409)</f>
        <v>180.81000000093067</v>
      </c>
    </row>
    <row r="410" spans="1:25" ht="12.45" x14ac:dyDescent="0.3">
      <c r="A410" s="260" t="s">
        <v>355</v>
      </c>
      <c r="B410" s="300">
        <v>69.813999998255028</v>
      </c>
      <c r="C410" s="300">
        <v>10.292999999864316</v>
      </c>
      <c r="D410" s="300">
        <v>33.368000000349667</v>
      </c>
      <c r="E410" s="300">
        <f t="shared" ref="E410:E411" si="1079">SUM(B410:D410)</f>
        <v>113.47499999846902</v>
      </c>
      <c r="F410" s="300"/>
      <c r="G410" s="300">
        <v>64.525999998788905</v>
      </c>
      <c r="H410" s="300">
        <v>7.8599999999131862</v>
      </c>
      <c r="I410" s="300">
        <v>32.044999999732973</v>
      </c>
      <c r="J410" s="300">
        <f t="shared" ref="J410:J411" si="1080">SUM(G410:I410)</f>
        <v>104.43099999843506</v>
      </c>
      <c r="K410" s="300"/>
      <c r="L410" s="300">
        <v>60.613000000082543</v>
      </c>
      <c r="M410" s="300">
        <v>7.1150000000122837</v>
      </c>
      <c r="N410" s="300">
        <v>24.628000000752216</v>
      </c>
      <c r="O410" s="300">
        <f t="shared" ref="O410:O411" si="1081">SUM(L410:N410)</f>
        <v>92.356000000847047</v>
      </c>
      <c r="P410" s="300"/>
      <c r="Q410" s="300">
        <v>67.17400000027709</v>
      </c>
      <c r="R410" s="300">
        <v>8.2810000000015886</v>
      </c>
      <c r="S410" s="300">
        <v>27.853000001922361</v>
      </c>
      <c r="T410" s="300">
        <f t="shared" ref="T410:T411" si="1082">SUM(Q410:S410)</f>
        <v>103.30800000220103</v>
      </c>
      <c r="U410" s="300"/>
      <c r="V410" s="300">
        <v>71.99200000007518</v>
      </c>
      <c r="W410" s="300">
        <v>10.002999999999647</v>
      </c>
      <c r="X410" s="300">
        <v>31.605000001455863</v>
      </c>
      <c r="Y410" s="300">
        <f t="shared" ref="Y410:Y411" si="1083">SUM(V410:X410)</f>
        <v>113.60000000153069</v>
      </c>
    </row>
    <row r="411" spans="1:25" ht="12.45" x14ac:dyDescent="0.3">
      <c r="A411" s="260" t="s">
        <v>354</v>
      </c>
      <c r="B411" s="300">
        <f>SUM(B409:B410)</f>
        <v>158.7369999965602</v>
      </c>
      <c r="C411" s="300">
        <f t="shared" ref="C411" si="1084">SUM(C409:C410)</f>
        <v>46.126999999709049</v>
      </c>
      <c r="D411" s="300">
        <f t="shared" ref="D411" si="1085">SUM(D409:D410)</f>
        <v>64.351000000337805</v>
      </c>
      <c r="E411" s="300">
        <f t="shared" si="1079"/>
        <v>269.21499999660705</v>
      </c>
      <c r="F411" s="300"/>
      <c r="G411" s="300">
        <f>SUM(G409:G410)</f>
        <v>152.83899999672104</v>
      </c>
      <c r="H411" s="300">
        <f t="shared" ref="H411" si="1086">SUM(H409:H410)</f>
        <v>36.474999999785034</v>
      </c>
      <c r="I411" s="300">
        <f t="shared" ref="I411" si="1087">SUM(I409:I410)</f>
        <v>60.287999999696865</v>
      </c>
      <c r="J411" s="300">
        <f t="shared" si="1080"/>
        <v>249.60199999620295</v>
      </c>
      <c r="K411" s="300"/>
      <c r="L411" s="300">
        <f>SUM(L409:L410)</f>
        <v>149.68499999943108</v>
      </c>
      <c r="M411" s="300">
        <f t="shared" ref="M411" si="1088">SUM(M409:M410)</f>
        <v>35.929999999973312</v>
      </c>
      <c r="N411" s="300">
        <f t="shared" ref="N411" si="1089">SUM(N409:N410)</f>
        <v>48.83200000039659</v>
      </c>
      <c r="O411" s="300">
        <f t="shared" si="1081"/>
        <v>234.44699999980099</v>
      </c>
      <c r="P411" s="300"/>
      <c r="Q411" s="300">
        <f>SUM(Q409:Q410)</f>
        <v>167.18700000304065</v>
      </c>
      <c r="R411" s="300">
        <f t="shared" ref="R411" si="1090">SUM(R409:R410)</f>
        <v>40.377000000025234</v>
      </c>
      <c r="S411" s="300">
        <f t="shared" ref="S411" si="1091">SUM(S409:S410)</f>
        <v>56.108000001886907</v>
      </c>
      <c r="T411" s="300">
        <f t="shared" si="1082"/>
        <v>263.67200000495279</v>
      </c>
      <c r="U411" s="300"/>
      <c r="V411" s="300">
        <f>SUM(V409:V410)</f>
        <v>182.59500000061763</v>
      </c>
      <c r="W411" s="300">
        <f t="shared" ref="W411" si="1092">SUM(W409:W410)</f>
        <v>45.694000000181532</v>
      </c>
      <c r="X411" s="300">
        <f t="shared" ref="X411" si="1093">SUM(X409:X410)</f>
        <v>66.121000001662196</v>
      </c>
      <c r="Y411" s="300">
        <f t="shared" si="1083"/>
        <v>294.41000000246135</v>
      </c>
    </row>
    <row r="412" spans="1:25" ht="12.45" x14ac:dyDescent="0.3">
      <c r="C412" s="319"/>
      <c r="D412" s="319"/>
      <c r="E412" s="319"/>
      <c r="F412" s="319"/>
      <c r="G412" s="319"/>
      <c r="H412" s="319"/>
      <c r="I412" s="319"/>
      <c r="J412" s="319"/>
      <c r="K412" s="319"/>
      <c r="L412" s="319"/>
      <c r="M412" s="319"/>
      <c r="N412" s="319"/>
      <c r="O412" s="319"/>
      <c r="P412" s="319"/>
      <c r="Q412" s="319"/>
      <c r="R412" s="319"/>
      <c r="S412" s="319"/>
      <c r="T412" s="319"/>
      <c r="U412" s="319"/>
      <c r="V412" s="319"/>
      <c r="W412" s="319"/>
      <c r="X412" s="319"/>
      <c r="Y412" s="319"/>
    </row>
    <row r="413" spans="1:25" ht="12.45" x14ac:dyDescent="0.3">
      <c r="A413" s="261" t="str">
        <f>name!A59</f>
        <v>Other professional</v>
      </c>
      <c r="C413" s="263"/>
    </row>
    <row r="414" spans="1:25" ht="12.45" x14ac:dyDescent="0.3">
      <c r="A414" s="260" t="s">
        <v>356</v>
      </c>
      <c r="B414" s="300">
        <v>51.447999999262912</v>
      </c>
      <c r="C414" s="300">
        <v>23.43600000013911</v>
      </c>
      <c r="D414" s="300">
        <v>24.867000000187524</v>
      </c>
      <c r="E414" s="300">
        <f>SUM(B414:D414)</f>
        <v>99.750999999589538</v>
      </c>
      <c r="F414" s="300"/>
      <c r="G414" s="300">
        <v>60.592999999061597</v>
      </c>
      <c r="H414" s="300">
        <v>32.65400000017852</v>
      </c>
      <c r="I414" s="300">
        <v>29.79300000019493</v>
      </c>
      <c r="J414" s="300">
        <f>SUM(G414:I414)</f>
        <v>123.03999999943505</v>
      </c>
      <c r="K414" s="300"/>
      <c r="L414" s="300">
        <v>64.197999999453373</v>
      </c>
      <c r="M414" s="300">
        <v>32.617000000127661</v>
      </c>
      <c r="N414" s="300">
        <v>26.794999999385279</v>
      </c>
      <c r="O414" s="300">
        <f>SUM(L414:N414)</f>
        <v>123.60999999896632</v>
      </c>
      <c r="P414" s="300"/>
      <c r="Q414" s="300">
        <v>72.207000001382852</v>
      </c>
      <c r="R414" s="300">
        <v>36.060000000239953</v>
      </c>
      <c r="S414" s="300">
        <v>31.043999999854339</v>
      </c>
      <c r="T414" s="300">
        <f>SUM(Q414:S414)</f>
        <v>139.31100000147714</v>
      </c>
      <c r="U414" s="300"/>
      <c r="V414" s="300">
        <v>81.376000000438069</v>
      </c>
      <c r="W414" s="300">
        <v>40.029000000191644</v>
      </c>
      <c r="X414" s="300">
        <v>38.006000000162288</v>
      </c>
      <c r="Y414" s="300">
        <f>SUM(V414:X414)</f>
        <v>159.411000000792</v>
      </c>
    </row>
    <row r="415" spans="1:25" ht="12.45" x14ac:dyDescent="0.3">
      <c r="A415" s="260" t="s">
        <v>355</v>
      </c>
      <c r="B415" s="300">
        <v>78.641999998813574</v>
      </c>
      <c r="C415" s="300">
        <v>8.9550000000406076</v>
      </c>
      <c r="D415" s="300">
        <v>44.393000000589574</v>
      </c>
      <c r="E415" s="300">
        <f t="shared" ref="E415:E416" si="1094">SUM(B415:D415)</f>
        <v>131.98999999944377</v>
      </c>
      <c r="F415" s="300"/>
      <c r="G415" s="300">
        <v>88.976999999033609</v>
      </c>
      <c r="H415" s="300">
        <v>10.906000000054904</v>
      </c>
      <c r="I415" s="300">
        <v>51.008999999860229</v>
      </c>
      <c r="J415" s="300">
        <f t="shared" ref="J415:J416" si="1095">SUM(G415:I415)</f>
        <v>150.89199999894873</v>
      </c>
      <c r="K415" s="300"/>
      <c r="L415" s="300">
        <v>84.529999999672711</v>
      </c>
      <c r="M415" s="300">
        <v>9.6250000000285834</v>
      </c>
      <c r="N415" s="300">
        <v>41.900000000793455</v>
      </c>
      <c r="O415" s="300">
        <f t="shared" ref="O415:O416" si="1096">SUM(L415:N415)</f>
        <v>136.05500000049474</v>
      </c>
      <c r="P415" s="300"/>
      <c r="Q415" s="300">
        <v>93.478999999956031</v>
      </c>
      <c r="R415" s="300">
        <v>11.060000000031975</v>
      </c>
      <c r="S415" s="300">
        <v>47.16900000238082</v>
      </c>
      <c r="T415" s="300">
        <f t="shared" ref="T415:T416" si="1097">SUM(Q415:S415)</f>
        <v>151.70800000236883</v>
      </c>
      <c r="U415" s="300"/>
      <c r="V415" s="300">
        <v>101.15699999953475</v>
      </c>
      <c r="W415" s="300">
        <v>13.261000000041623</v>
      </c>
      <c r="X415" s="300">
        <v>53.937000001765782</v>
      </c>
      <c r="Y415" s="300">
        <f t="shared" ref="Y415:Y416" si="1098">SUM(V415:X415)</f>
        <v>168.35500000134215</v>
      </c>
    </row>
    <row r="416" spans="1:25" ht="12.45" x14ac:dyDescent="0.3">
      <c r="A416" s="260" t="s">
        <v>354</v>
      </c>
      <c r="B416" s="300">
        <f>SUM(B414:B415)</f>
        <v>130.08999999807648</v>
      </c>
      <c r="C416" s="300">
        <f t="shared" ref="C416" si="1099">SUM(C414:C415)</f>
        <v>32.391000000179716</v>
      </c>
      <c r="D416" s="300">
        <f t="shared" ref="D416" si="1100">SUM(D414:D415)</f>
        <v>69.260000000777097</v>
      </c>
      <c r="E416" s="300">
        <f t="shared" si="1094"/>
        <v>231.74099999903331</v>
      </c>
      <c r="F416" s="300"/>
      <c r="G416" s="300">
        <f>SUM(G414:G415)</f>
        <v>149.5699999980952</v>
      </c>
      <c r="H416" s="300">
        <f t="shared" ref="H416" si="1101">SUM(H414:H415)</f>
        <v>43.560000000233423</v>
      </c>
      <c r="I416" s="300">
        <f t="shared" ref="I416" si="1102">SUM(I414:I415)</f>
        <v>80.802000000055159</v>
      </c>
      <c r="J416" s="300">
        <f t="shared" si="1095"/>
        <v>273.93199999838379</v>
      </c>
      <c r="K416" s="300"/>
      <c r="L416" s="300">
        <f>SUM(L414:L415)</f>
        <v>148.7279999991261</v>
      </c>
      <c r="M416" s="300">
        <f t="shared" ref="M416" si="1103">SUM(M414:M415)</f>
        <v>42.242000000156246</v>
      </c>
      <c r="N416" s="300">
        <f t="shared" ref="N416" si="1104">SUM(N414:N415)</f>
        <v>68.695000000178737</v>
      </c>
      <c r="O416" s="300">
        <f t="shared" si="1096"/>
        <v>259.66499999946109</v>
      </c>
      <c r="P416" s="300"/>
      <c r="Q416" s="300">
        <f>SUM(Q414:Q415)</f>
        <v>165.68600000133887</v>
      </c>
      <c r="R416" s="300">
        <f t="shared" ref="R416" si="1105">SUM(R414:R415)</f>
        <v>47.120000000271929</v>
      </c>
      <c r="S416" s="300">
        <f t="shared" ref="S416" si="1106">SUM(S414:S415)</f>
        <v>78.213000002235162</v>
      </c>
      <c r="T416" s="300">
        <f t="shared" si="1097"/>
        <v>291.01900000384597</v>
      </c>
      <c r="U416" s="300"/>
      <c r="V416" s="300">
        <f>SUM(V414:V415)</f>
        <v>182.53299999997282</v>
      </c>
      <c r="W416" s="300">
        <f t="shared" ref="W416" si="1107">SUM(W414:W415)</f>
        <v>53.290000000233263</v>
      </c>
      <c r="X416" s="300">
        <f t="shared" ref="X416" si="1108">SUM(X414:X415)</f>
        <v>91.94300000192807</v>
      </c>
      <c r="Y416" s="300">
        <f t="shared" si="1098"/>
        <v>327.76600000213415</v>
      </c>
    </row>
    <row r="417" spans="1:25" ht="12.45" x14ac:dyDescent="0.3">
      <c r="A417" s="261"/>
      <c r="C417" s="319"/>
      <c r="D417" s="319"/>
      <c r="E417" s="319"/>
      <c r="F417" s="319"/>
      <c r="G417" s="319"/>
      <c r="H417" s="319"/>
      <c r="I417" s="319"/>
      <c r="J417" s="319"/>
      <c r="K417" s="319"/>
      <c r="L417" s="319"/>
      <c r="M417" s="319"/>
      <c r="N417" s="319"/>
      <c r="O417" s="319"/>
      <c r="P417" s="319"/>
      <c r="Q417" s="319"/>
      <c r="R417" s="319"/>
      <c r="S417" s="319"/>
      <c r="T417" s="319"/>
      <c r="U417" s="319"/>
      <c r="V417" s="319"/>
      <c r="W417" s="319"/>
      <c r="X417" s="319"/>
      <c r="Y417" s="319"/>
    </row>
    <row r="418" spans="1:25" ht="12.45" x14ac:dyDescent="0.3">
      <c r="A418" s="261" t="str">
        <f>name!A60</f>
        <v>Veterinary</v>
      </c>
      <c r="C418" s="263"/>
    </row>
    <row r="419" spans="1:25" ht="12.45" x14ac:dyDescent="0.3">
      <c r="A419" s="260" t="s">
        <v>356</v>
      </c>
      <c r="B419" s="300">
        <v>20.019999999786393</v>
      </c>
      <c r="C419" s="300">
        <v>14.922999999729219</v>
      </c>
      <c r="D419" s="300">
        <v>16.156999998745999</v>
      </c>
      <c r="E419" s="300">
        <f>SUM(B419:D419)</f>
        <v>51.099999998261609</v>
      </c>
      <c r="F419" s="300"/>
      <c r="G419" s="300">
        <v>28.771999999737702</v>
      </c>
      <c r="H419" s="300">
        <v>23.139999999716022</v>
      </c>
      <c r="I419" s="300">
        <v>25.761999998125724</v>
      </c>
      <c r="J419" s="300">
        <f>SUM(G419:I419)</f>
        <v>77.673999997579443</v>
      </c>
      <c r="K419" s="300"/>
      <c r="L419" s="300">
        <v>29.935999999847066</v>
      </c>
      <c r="M419" s="300">
        <v>23.136999999629868</v>
      </c>
      <c r="N419" s="300">
        <v>20.844000001506348</v>
      </c>
      <c r="O419" s="300">
        <f>SUM(L419:N419)</f>
        <v>73.917000000983279</v>
      </c>
      <c r="P419" s="300"/>
      <c r="Q419" s="300">
        <v>33.688999999760135</v>
      </c>
      <c r="R419" s="300">
        <v>25.941999999227868</v>
      </c>
      <c r="S419" s="300">
        <v>24.457000000040274</v>
      </c>
      <c r="T419" s="300">
        <f>SUM(Q419:S419)</f>
        <v>84.087999999028284</v>
      </c>
      <c r="U419" s="300"/>
      <c r="V419" s="300">
        <v>38.214000000140253</v>
      </c>
      <c r="W419" s="300">
        <v>29.324000000017055</v>
      </c>
      <c r="X419" s="300">
        <v>30.620999999942182</v>
      </c>
      <c r="Y419" s="300">
        <f>SUM(V419:X419)</f>
        <v>98.159000000099496</v>
      </c>
    </row>
    <row r="420" spans="1:25" ht="12.45" x14ac:dyDescent="0.3">
      <c r="A420" s="260" t="s">
        <v>355</v>
      </c>
      <c r="B420" s="300">
        <v>21.799999999823171</v>
      </c>
      <c r="C420" s="300">
        <v>4.8269999999766897</v>
      </c>
      <c r="D420" s="300">
        <v>4.2560000001869414</v>
      </c>
      <c r="E420" s="300">
        <f t="shared" ref="E420:E421" si="1109">SUM(B420:D420)</f>
        <v>30.882999999986801</v>
      </c>
      <c r="F420" s="300"/>
      <c r="G420" s="300">
        <v>29.351999999859206</v>
      </c>
      <c r="H420" s="300">
        <v>6.9139999999684019</v>
      </c>
      <c r="I420" s="300">
        <v>5.8249999999589424</v>
      </c>
      <c r="J420" s="300">
        <f t="shared" ref="J420:J421" si="1110">SUM(G420:I420)</f>
        <v>42.090999999786547</v>
      </c>
      <c r="K420" s="300"/>
      <c r="L420" s="300">
        <v>27.811999999895026</v>
      </c>
      <c r="M420" s="300">
        <v>6.6660000000110342</v>
      </c>
      <c r="N420" s="300">
        <v>4.8880000001326991</v>
      </c>
      <c r="O420" s="300">
        <f t="shared" ref="O420:O421" si="1111">SUM(L420:N420)</f>
        <v>39.36600000003876</v>
      </c>
      <c r="P420" s="300"/>
      <c r="Q420" s="300">
        <v>31.134999999770834</v>
      </c>
      <c r="R420" s="300">
        <v>7.7469999999926138</v>
      </c>
      <c r="S420" s="300">
        <v>5.5380000005591841</v>
      </c>
      <c r="T420" s="300">
        <f t="shared" ref="T420:T421" si="1112">SUM(Q420:S420)</f>
        <v>44.420000000322638</v>
      </c>
      <c r="U420" s="300"/>
      <c r="V420" s="300">
        <v>34.516999999708631</v>
      </c>
      <c r="W420" s="300">
        <v>9.4499999999614168</v>
      </c>
      <c r="X420" s="300">
        <v>6.4460000004418401</v>
      </c>
      <c r="Y420" s="300">
        <f t="shared" ref="Y420:Y421" si="1113">SUM(V420:X420)</f>
        <v>50.413000000111893</v>
      </c>
    </row>
    <row r="421" spans="1:25" ht="12.45" x14ac:dyDescent="0.3">
      <c r="A421" s="260" t="s">
        <v>354</v>
      </c>
      <c r="B421" s="300">
        <f>SUM(B419:B420)</f>
        <v>41.819999999609564</v>
      </c>
      <c r="C421" s="300">
        <f t="shared" ref="C421" si="1114">SUM(C419:C420)</f>
        <v>19.74999999970591</v>
      </c>
      <c r="D421" s="300">
        <f t="shared" ref="D421" si="1115">SUM(D419:D420)</f>
        <v>20.412999998932939</v>
      </c>
      <c r="E421" s="300">
        <f t="shared" si="1109"/>
        <v>81.982999998248403</v>
      </c>
      <c r="F421" s="300"/>
      <c r="G421" s="300">
        <f>SUM(G419:G420)</f>
        <v>58.123999999596904</v>
      </c>
      <c r="H421" s="300">
        <f t="shared" ref="H421" si="1116">SUM(H419:H420)</f>
        <v>30.053999999684422</v>
      </c>
      <c r="I421" s="300">
        <f t="shared" ref="I421" si="1117">SUM(I419:I420)</f>
        <v>31.586999998084664</v>
      </c>
      <c r="J421" s="300">
        <f t="shared" si="1110"/>
        <v>119.76499999736599</v>
      </c>
      <c r="K421" s="300"/>
      <c r="L421" s="300">
        <f>SUM(L419:L420)</f>
        <v>57.747999999742092</v>
      </c>
      <c r="M421" s="300">
        <f t="shared" ref="M421" si="1118">SUM(M419:M420)</f>
        <v>29.802999999640903</v>
      </c>
      <c r="N421" s="300">
        <f t="shared" ref="N421" si="1119">SUM(N419:N420)</f>
        <v>25.732000001639047</v>
      </c>
      <c r="O421" s="300">
        <f t="shared" si="1111"/>
        <v>113.28300000102205</v>
      </c>
      <c r="P421" s="300"/>
      <c r="Q421" s="300">
        <f>SUM(Q419:Q420)</f>
        <v>64.823999999530969</v>
      </c>
      <c r="R421" s="300">
        <f t="shared" ref="R421" si="1120">SUM(R419:R420)</f>
        <v>33.688999999220485</v>
      </c>
      <c r="S421" s="300">
        <f t="shared" ref="S421" si="1121">SUM(S419:S420)</f>
        <v>29.995000000599457</v>
      </c>
      <c r="T421" s="300">
        <f t="shared" si="1112"/>
        <v>128.50799999935091</v>
      </c>
      <c r="U421" s="300"/>
      <c r="V421" s="300">
        <f>SUM(V419:V420)</f>
        <v>72.730999999848876</v>
      </c>
      <c r="W421" s="300">
        <f t="shared" ref="W421" si="1122">SUM(W419:W420)</f>
        <v>38.773999999978471</v>
      </c>
      <c r="X421" s="300">
        <f t="shared" ref="X421" si="1123">SUM(X419:X420)</f>
        <v>37.06700000038402</v>
      </c>
      <c r="Y421" s="300">
        <f t="shared" si="1113"/>
        <v>148.57200000021137</v>
      </c>
    </row>
    <row r="423" spans="1:25" x14ac:dyDescent="0.35">
      <c r="A423" s="261" t="s">
        <v>361</v>
      </c>
    </row>
    <row r="424" spans="1:25" ht="12.45" x14ac:dyDescent="0.3">
      <c r="A424" s="260" t="s">
        <v>356</v>
      </c>
      <c r="B424" s="300">
        <f>SUM(B389,B394,B399,B404,B409,B414,B419)</f>
        <v>759.2779999863975</v>
      </c>
      <c r="C424" s="300">
        <f t="shared" ref="C424:D425" si="1124">SUM(C389,C394,C399,C404,C409,C414,C419)</f>
        <v>356.64599999843307</v>
      </c>
      <c r="D424" s="300">
        <f t="shared" si="1124"/>
        <v>203.96299999895999</v>
      </c>
      <c r="E424" s="300">
        <f>SUM(B424:D424)</f>
        <v>1319.8869999837905</v>
      </c>
      <c r="F424" s="300"/>
      <c r="G424" s="300">
        <f>SUM(G389,G394,G399,G404,G409,G414,G419)</f>
        <v>846.97699998333155</v>
      </c>
      <c r="H424" s="300">
        <f t="shared" ref="H424:I424" si="1125">SUM(H389,H394,H399,H404,H409,H414,H419)</f>
        <v>401.85599999892452</v>
      </c>
      <c r="I424" s="300">
        <f t="shared" si="1125"/>
        <v>208.9379999982736</v>
      </c>
      <c r="J424" s="300">
        <f>SUM(G424:I424)</f>
        <v>1457.7709999805297</v>
      </c>
      <c r="K424" s="300"/>
      <c r="L424" s="300">
        <f>SUM(L389,L394,L399,L404,L409,L414,L419)</f>
        <v>854.16099999151379</v>
      </c>
      <c r="M424" s="300">
        <f t="shared" ref="M424:N424" si="1126">SUM(M389,M394,M399,M404,M409,M414,M419)</f>
        <v>411.76199999927758</v>
      </c>
      <c r="N424" s="300">
        <f t="shared" si="1126"/>
        <v>189.61599999821524</v>
      </c>
      <c r="O424" s="300">
        <f>SUM(L424:N424)</f>
        <v>1455.5389999890067</v>
      </c>
      <c r="P424" s="300"/>
      <c r="Q424" s="300">
        <f>SUM(Q389,Q394,Q399,Q404,Q409,Q414,Q419)</f>
        <v>904.72500001935066</v>
      </c>
      <c r="R424" s="300">
        <f t="shared" ref="R424:S424" si="1127">SUM(R389,R394,R399,R404,R409,R414,R419)</f>
        <v>437.32400000070282</v>
      </c>
      <c r="S424" s="300">
        <f t="shared" si="1127"/>
        <v>205.89899999921028</v>
      </c>
      <c r="T424" s="300">
        <f>SUM(Q424:S424)</f>
        <v>1547.9480000192636</v>
      </c>
      <c r="U424" s="300"/>
      <c r="V424" s="300">
        <f>SUM(V389,V394,V399,V404,V409,V414,V419)</f>
        <v>969.59400000632809</v>
      </c>
      <c r="W424" s="300">
        <f t="shared" ref="W424:X424" si="1128">SUM(W389,W394,W399,W404,W409,W414,W419)</f>
        <v>472.60600000271398</v>
      </c>
      <c r="X424" s="300">
        <f t="shared" si="1128"/>
        <v>230.65500000127548</v>
      </c>
      <c r="Y424" s="300">
        <f>SUM(V424:X424)</f>
        <v>1672.8550000103176</v>
      </c>
    </row>
    <row r="425" spans="1:25" ht="12.45" x14ac:dyDescent="0.3">
      <c r="A425" s="260" t="s">
        <v>355</v>
      </c>
      <c r="B425" s="300">
        <f>SUM(B390,B395,B400,B405,B410,B415,B420)</f>
        <v>1147.797999976242</v>
      </c>
      <c r="C425" s="300">
        <f t="shared" si="1124"/>
        <v>127.11999999862</v>
      </c>
      <c r="D425" s="300">
        <f t="shared" si="1124"/>
        <v>311.0390000036017</v>
      </c>
      <c r="E425" s="300">
        <f t="shared" ref="E425:E426" si="1129">SUM(B425:D425)</f>
        <v>1585.9569999784635</v>
      </c>
      <c r="F425" s="300"/>
      <c r="G425" s="300">
        <f>SUM(G390,G395,G400,G405,G410,G415,G420)</f>
        <v>1238.8079999823108</v>
      </c>
      <c r="H425" s="300">
        <f t="shared" ref="H425:I425" si="1130">SUM(H390,H395,H400,H405,H410,H415,H420)</f>
        <v>148.18799999876475</v>
      </c>
      <c r="I425" s="300">
        <f t="shared" si="1130"/>
        <v>366.81099999800108</v>
      </c>
      <c r="J425" s="300">
        <f t="shared" ref="J425:J426" si="1131">SUM(G425:I425)</f>
        <v>1753.8069999790766</v>
      </c>
      <c r="K425" s="300"/>
      <c r="L425" s="300">
        <f>SUM(L390,L395,L400,L405,L410,L415,L420)</f>
        <v>1217.0689999934868</v>
      </c>
      <c r="M425" s="300">
        <f t="shared" ref="M425:N425" si="1132">SUM(M390,M395,M400,M405,M410,M415,M420)</f>
        <v>178.00300000019777</v>
      </c>
      <c r="N425" s="300">
        <f t="shared" si="1132"/>
        <v>301.38500000715692</v>
      </c>
      <c r="O425" s="300">
        <f t="shared" ref="O425:O426" si="1133">SUM(L425:N425)</f>
        <v>1696.4570000008416</v>
      </c>
      <c r="P425" s="300"/>
      <c r="Q425" s="300">
        <f>SUM(Q390,Q395,Q400,Q405,Q410,Q415,Q420)</f>
        <v>1256.2629999958444</v>
      </c>
      <c r="R425" s="300">
        <f t="shared" ref="R425:S425" si="1134">SUM(R390,R395,R400,R405,R410,R415,R420)</f>
        <v>190.18500000002291</v>
      </c>
      <c r="S425" s="300">
        <f t="shared" si="1134"/>
        <v>317.78100001895234</v>
      </c>
      <c r="T425" s="300">
        <f t="shared" ref="T425:T426" si="1135">SUM(Q425:S425)</f>
        <v>1764.2290000148196</v>
      </c>
      <c r="U425" s="300"/>
      <c r="V425" s="300">
        <f>SUM(V390,V395,V400,V405,V410,V415,V420)</f>
        <v>1306.9299999905427</v>
      </c>
      <c r="W425" s="300">
        <f t="shared" ref="W425:X425" si="1136">SUM(W390,W395,W400,W405,W410,W415,W420)</f>
        <v>210.97999999998271</v>
      </c>
      <c r="X425" s="300">
        <f t="shared" si="1136"/>
        <v>341.33100001290302</v>
      </c>
      <c r="Y425" s="300">
        <f t="shared" ref="Y425:Y426" si="1137">SUM(V425:X425)</f>
        <v>1859.2410000034283</v>
      </c>
    </row>
    <row r="426" spans="1:25" ht="12.45" x14ac:dyDescent="0.3">
      <c r="A426" s="264" t="s">
        <v>354</v>
      </c>
      <c r="B426" s="301">
        <f>SUM(B424:B425)</f>
        <v>1907.0759999626393</v>
      </c>
      <c r="C426" s="301">
        <f t="shared" ref="C426" si="1138">SUM(C424:C425)</f>
        <v>483.76599999705309</v>
      </c>
      <c r="D426" s="301">
        <f t="shared" ref="D426" si="1139">SUM(D424:D425)</f>
        <v>515.00200000256166</v>
      </c>
      <c r="E426" s="301">
        <f t="shared" si="1129"/>
        <v>2905.8439999622542</v>
      </c>
      <c r="F426" s="301"/>
      <c r="G426" s="301">
        <f>SUM(G424:G425)</f>
        <v>2085.7849999656423</v>
      </c>
      <c r="H426" s="301">
        <f t="shared" ref="H426" si="1140">SUM(H424:H425)</f>
        <v>550.0439999976893</v>
      </c>
      <c r="I426" s="301">
        <f t="shared" ref="I426" si="1141">SUM(I424:I425)</f>
        <v>575.74899999627473</v>
      </c>
      <c r="J426" s="301">
        <f t="shared" si="1131"/>
        <v>3211.5779999596061</v>
      </c>
      <c r="K426" s="301"/>
      <c r="L426" s="301">
        <f>SUM(L424:L425)</f>
        <v>2071.2299999850006</v>
      </c>
      <c r="M426" s="301">
        <f t="shared" ref="M426" si="1142">SUM(M424:M425)</f>
        <v>589.76499999947532</v>
      </c>
      <c r="N426" s="301">
        <f t="shared" ref="N426" si="1143">SUM(N424:N425)</f>
        <v>491.00100000537213</v>
      </c>
      <c r="O426" s="301">
        <f t="shared" si="1133"/>
        <v>3151.9959999898479</v>
      </c>
      <c r="P426" s="301"/>
      <c r="Q426" s="301">
        <f>SUM(Q424:Q425)</f>
        <v>2160.9880000151952</v>
      </c>
      <c r="R426" s="301">
        <f t="shared" ref="R426" si="1144">SUM(R424:R425)</f>
        <v>627.50900000072579</v>
      </c>
      <c r="S426" s="301">
        <f t="shared" ref="S426" si="1145">SUM(S424:S425)</f>
        <v>523.68000001816267</v>
      </c>
      <c r="T426" s="301">
        <f t="shared" si="1135"/>
        <v>3312.1770000340839</v>
      </c>
      <c r="U426" s="301"/>
      <c r="V426" s="301">
        <f>SUM(V424:V425)</f>
        <v>2276.5239999968708</v>
      </c>
      <c r="W426" s="301">
        <f t="shared" ref="W426" si="1146">SUM(W424:W425)</f>
        <v>683.58600000269666</v>
      </c>
      <c r="X426" s="301">
        <f t="shared" ref="X426" si="1147">SUM(X424:X425)</f>
        <v>571.98600001417844</v>
      </c>
      <c r="Y426" s="301">
        <f t="shared" si="1137"/>
        <v>3532.0960000137461</v>
      </c>
    </row>
    <row r="427" spans="1:25" ht="12.45" x14ac:dyDescent="0.3">
      <c r="C427" s="263"/>
    </row>
    <row r="428" spans="1:25" x14ac:dyDescent="0.35">
      <c r="A428" s="261"/>
    </row>
    <row r="429" spans="1:25" ht="12.45" x14ac:dyDescent="0.3">
      <c r="C429" s="263"/>
    </row>
    <row r="430" spans="1:25" ht="14.15" x14ac:dyDescent="0.35">
      <c r="A430" s="265" t="str">
        <f>"Industry 17 : "&amp; name!B20</f>
        <v>Industry 17 : Support services</v>
      </c>
      <c r="B430" s="372">
        <f>$B$5</f>
        <v>2015</v>
      </c>
      <c r="C430" s="372"/>
      <c r="D430" s="372"/>
      <c r="E430" s="372"/>
      <c r="F430" s="320"/>
      <c r="G430" s="372">
        <f>$G$5</f>
        <v>2019</v>
      </c>
      <c r="H430" s="372"/>
      <c r="I430" s="372"/>
      <c r="J430" s="372"/>
      <c r="K430" s="320"/>
      <c r="L430" s="372">
        <f>$L$5</f>
        <v>2020</v>
      </c>
      <c r="M430" s="372"/>
      <c r="N430" s="372"/>
      <c r="O430" s="372"/>
      <c r="P430" s="318"/>
      <c r="Q430" s="372">
        <f>$Q$5</f>
        <v>2025</v>
      </c>
      <c r="R430" s="372"/>
      <c r="S430" s="372"/>
      <c r="T430" s="372"/>
      <c r="U430" s="320"/>
      <c r="V430" s="372">
        <f>$V$5</f>
        <v>2035</v>
      </c>
      <c r="W430" s="372"/>
      <c r="X430" s="372"/>
      <c r="Y430" s="372"/>
    </row>
    <row r="431" spans="1:25" ht="12.45" x14ac:dyDescent="0.3">
      <c r="A431" s="264"/>
      <c r="B431" s="268" t="str">
        <f>$B$6</f>
        <v>FT</v>
      </c>
      <c r="C431" s="268" t="str">
        <f>$C$6</f>
        <v>PT</v>
      </c>
      <c r="D431" s="268" t="str">
        <f>$D$6</f>
        <v>SE</v>
      </c>
      <c r="E431" s="268" t="str">
        <f>$E$6</f>
        <v>Total</v>
      </c>
      <c r="F431" s="268"/>
      <c r="G431" s="268" t="str">
        <f>$B$6</f>
        <v>FT</v>
      </c>
      <c r="H431" s="268" t="str">
        <f>$C$6</f>
        <v>PT</v>
      </c>
      <c r="I431" s="268" t="str">
        <f>$D$6</f>
        <v>SE</v>
      </c>
      <c r="J431" s="268" t="str">
        <f>$E$6</f>
        <v>Total</v>
      </c>
      <c r="K431" s="268"/>
      <c r="L431" s="268" t="str">
        <f>$L$6</f>
        <v>FT</v>
      </c>
      <c r="M431" s="268" t="str">
        <f>$M$6</f>
        <v>PT</v>
      </c>
      <c r="N431" s="268" t="str">
        <f>$N$6</f>
        <v>SE</v>
      </c>
      <c r="O431" s="268" t="str">
        <f>$O$6</f>
        <v>Total</v>
      </c>
      <c r="P431" s="268"/>
      <c r="Q431" s="268" t="str">
        <f>$L$6</f>
        <v>FT</v>
      </c>
      <c r="R431" s="268" t="str">
        <f>$M$6</f>
        <v>PT</v>
      </c>
      <c r="S431" s="268" t="str">
        <f>$N$6</f>
        <v>SE</v>
      </c>
      <c r="T431" s="268" t="str">
        <f>$O$6</f>
        <v>Total</v>
      </c>
      <c r="U431" s="268"/>
      <c r="V431" s="268" t="str">
        <f>$V$6</f>
        <v>FT</v>
      </c>
      <c r="W431" s="268" t="str">
        <f>$W$6</f>
        <v>PT</v>
      </c>
      <c r="X431" s="268" t="str">
        <f>$X$6</f>
        <v>SE</v>
      </c>
      <c r="Y431" s="268" t="str">
        <f>$Y$6</f>
        <v>Total</v>
      </c>
    </row>
    <row r="432" spans="1:25" x14ac:dyDescent="0.35">
      <c r="A432" s="262"/>
      <c r="C432" s="319"/>
      <c r="D432" s="319"/>
      <c r="E432" s="319"/>
      <c r="F432" s="319"/>
      <c r="G432" s="319"/>
      <c r="H432" s="319"/>
      <c r="I432" s="319"/>
      <c r="J432" s="319"/>
      <c r="K432" s="319"/>
      <c r="L432" s="319"/>
      <c r="M432" s="319"/>
      <c r="N432" s="319"/>
      <c r="O432" s="319"/>
      <c r="P432" s="319"/>
      <c r="Q432" s="319"/>
      <c r="R432" s="319"/>
      <c r="S432" s="319"/>
      <c r="T432" s="319"/>
      <c r="U432" s="319"/>
      <c r="V432" s="319"/>
      <c r="W432" s="319"/>
      <c r="X432" s="319"/>
      <c r="Y432" s="319"/>
    </row>
    <row r="433" spans="1:25" ht="12.45" x14ac:dyDescent="0.3">
      <c r="A433" s="261" t="str">
        <f>name!A61</f>
        <v>Rental and leasing</v>
      </c>
      <c r="C433" s="263"/>
    </row>
    <row r="434" spans="1:25" ht="12.45" x14ac:dyDescent="0.3">
      <c r="A434" s="260" t="s">
        <v>356</v>
      </c>
      <c r="B434" s="300">
        <v>18.59799999988557</v>
      </c>
      <c r="C434" s="300">
        <v>9.8110000001735109</v>
      </c>
      <c r="D434" s="300">
        <v>5.6300000000415942</v>
      </c>
      <c r="E434" s="300">
        <f>SUM(B434:D434)</f>
        <v>34.039000000100671</v>
      </c>
      <c r="F434" s="300"/>
      <c r="G434" s="300">
        <v>19.058999999834423</v>
      </c>
      <c r="H434" s="300">
        <v>10.279000000158604</v>
      </c>
      <c r="I434" s="300">
        <v>6.7900000000236789</v>
      </c>
      <c r="J434" s="300">
        <f>SUM(G434:I434)</f>
        <v>36.128000000016705</v>
      </c>
      <c r="K434" s="300"/>
      <c r="L434" s="300">
        <v>18.62899999986173</v>
      </c>
      <c r="M434" s="300">
        <v>9.9940000001660163</v>
      </c>
      <c r="N434" s="300">
        <v>6.0369999999424087</v>
      </c>
      <c r="O434" s="300">
        <f>SUM(L434:N434)</f>
        <v>34.659999999970154</v>
      </c>
      <c r="P434" s="300"/>
      <c r="Q434" s="300">
        <v>20.182000000454646</v>
      </c>
      <c r="R434" s="300">
        <v>10.393000000319958</v>
      </c>
      <c r="S434" s="300">
        <v>6.3209999999700797</v>
      </c>
      <c r="T434" s="300">
        <f>SUM(Q434:S434)</f>
        <v>36.896000000744685</v>
      </c>
      <c r="U434" s="300"/>
      <c r="V434" s="300">
        <v>22.148999999855519</v>
      </c>
      <c r="W434" s="300">
        <v>10.765000000000711</v>
      </c>
      <c r="X434" s="300">
        <v>6.8590000000020623</v>
      </c>
      <c r="Y434" s="300">
        <f>SUM(V434:X434)</f>
        <v>39.772999999858293</v>
      </c>
    </row>
    <row r="435" spans="1:25" ht="12.45" x14ac:dyDescent="0.3">
      <c r="A435" s="260" t="s">
        <v>355</v>
      </c>
      <c r="B435" s="300">
        <v>107.44499999992621</v>
      </c>
      <c r="C435" s="300">
        <v>14.421000000140417</v>
      </c>
      <c r="D435" s="300">
        <v>16.71500000020459</v>
      </c>
      <c r="E435" s="300">
        <f t="shared" ref="E435:E436" si="1148">SUM(B435:D435)</f>
        <v>138.58100000027122</v>
      </c>
      <c r="F435" s="300"/>
      <c r="G435" s="300">
        <v>104.46099999993689</v>
      </c>
      <c r="H435" s="300">
        <v>15.351000000131584</v>
      </c>
      <c r="I435" s="300">
        <v>15.499999999976326</v>
      </c>
      <c r="J435" s="300">
        <f t="shared" ref="J435:J436" si="1149">SUM(G435:I435)</f>
        <v>135.3120000000448</v>
      </c>
      <c r="K435" s="300"/>
      <c r="L435" s="300">
        <v>98.569999999891152</v>
      </c>
      <c r="M435" s="300">
        <v>14.34799999997556</v>
      </c>
      <c r="N435" s="300">
        <v>13.532000000114143</v>
      </c>
      <c r="O435" s="300">
        <f t="shared" ref="O435:O436" si="1150">SUM(L435:N435)</f>
        <v>126.44999999998085</v>
      </c>
      <c r="P435" s="300"/>
      <c r="Q435" s="300">
        <v>104.62700000018926</v>
      </c>
      <c r="R435" s="300">
        <v>15.168000000034102</v>
      </c>
      <c r="S435" s="300">
        <v>14.180000000358381</v>
      </c>
      <c r="T435" s="300">
        <f t="shared" ref="T435:T436" si="1151">SUM(Q435:S435)</f>
        <v>133.97500000058173</v>
      </c>
      <c r="U435" s="300"/>
      <c r="V435" s="300">
        <v>112.1870000001303</v>
      </c>
      <c r="W435" s="300">
        <v>16.138000000074005</v>
      </c>
      <c r="X435" s="300">
        <v>15.317000000258075</v>
      </c>
      <c r="Y435" s="300">
        <f t="shared" ref="Y435:Y436" si="1152">SUM(V435:X435)</f>
        <v>143.64200000046239</v>
      </c>
    </row>
    <row r="436" spans="1:25" ht="12.45" x14ac:dyDescent="0.3">
      <c r="A436" s="260" t="s">
        <v>354</v>
      </c>
      <c r="B436" s="300">
        <f>SUM(B434:B435)</f>
        <v>126.04299999981178</v>
      </c>
      <c r="C436" s="300">
        <f t="shared" ref="C436" si="1153">SUM(C434:C435)</f>
        <v>24.232000000313928</v>
      </c>
      <c r="D436" s="300">
        <f t="shared" ref="D436" si="1154">SUM(D434:D435)</f>
        <v>22.345000000246184</v>
      </c>
      <c r="E436" s="300">
        <f t="shared" si="1148"/>
        <v>172.6200000003719</v>
      </c>
      <c r="F436" s="300"/>
      <c r="G436" s="300">
        <f>SUM(G434:G435)</f>
        <v>123.51999999977131</v>
      </c>
      <c r="H436" s="300">
        <f t="shared" ref="H436" si="1155">SUM(H434:H435)</f>
        <v>25.630000000290188</v>
      </c>
      <c r="I436" s="300">
        <f t="shared" ref="I436" si="1156">SUM(I434:I435)</f>
        <v>22.290000000000006</v>
      </c>
      <c r="J436" s="300">
        <f t="shared" si="1149"/>
        <v>171.4400000000615</v>
      </c>
      <c r="K436" s="300"/>
      <c r="L436" s="300">
        <f>SUM(L434:L435)</f>
        <v>117.19899999975289</v>
      </c>
      <c r="M436" s="300">
        <f t="shared" ref="M436" si="1157">SUM(M434:M435)</f>
        <v>24.342000000141574</v>
      </c>
      <c r="N436" s="300">
        <f t="shared" ref="N436" si="1158">SUM(N434:N435)</f>
        <v>19.569000000056551</v>
      </c>
      <c r="O436" s="300">
        <f t="shared" si="1150"/>
        <v>161.10999999995101</v>
      </c>
      <c r="P436" s="300"/>
      <c r="Q436" s="300">
        <f>SUM(Q434:Q435)</f>
        <v>124.80900000064391</v>
      </c>
      <c r="R436" s="300">
        <f t="shared" ref="R436" si="1159">SUM(R434:R435)</f>
        <v>25.56100000035406</v>
      </c>
      <c r="S436" s="300">
        <f t="shared" ref="S436" si="1160">SUM(S434:S435)</f>
        <v>20.50100000032846</v>
      </c>
      <c r="T436" s="300">
        <f t="shared" si="1151"/>
        <v>170.87100000132642</v>
      </c>
      <c r="U436" s="300"/>
      <c r="V436" s="300">
        <f>SUM(V434:V435)</f>
        <v>134.3359999999858</v>
      </c>
      <c r="W436" s="300">
        <f t="shared" ref="W436" si="1161">SUM(W434:W435)</f>
        <v>26.903000000074716</v>
      </c>
      <c r="X436" s="300">
        <f t="shared" ref="X436" si="1162">SUM(X434:X435)</f>
        <v>22.176000000260139</v>
      </c>
      <c r="Y436" s="300">
        <f t="shared" si="1152"/>
        <v>183.41500000032065</v>
      </c>
    </row>
    <row r="437" spans="1:25" ht="12.45" x14ac:dyDescent="0.3">
      <c r="C437" s="319"/>
      <c r="D437" s="319"/>
      <c r="E437" s="319"/>
      <c r="F437" s="319"/>
      <c r="G437" s="319"/>
      <c r="H437" s="319"/>
      <c r="I437" s="319"/>
      <c r="J437" s="319"/>
      <c r="K437" s="319"/>
      <c r="L437" s="319"/>
      <c r="M437" s="319"/>
      <c r="N437" s="319"/>
      <c r="O437" s="319"/>
      <c r="P437" s="319"/>
      <c r="Q437" s="319"/>
      <c r="R437" s="319"/>
      <c r="S437" s="319"/>
      <c r="T437" s="319"/>
      <c r="U437" s="319"/>
      <c r="V437" s="319"/>
      <c r="W437" s="319"/>
      <c r="X437" s="319"/>
      <c r="Y437" s="319"/>
    </row>
    <row r="438" spans="1:25" ht="12.45" x14ac:dyDescent="0.3">
      <c r="A438" s="261" t="str">
        <f>name!A62</f>
        <v>Employment activities</v>
      </c>
      <c r="C438" s="263"/>
    </row>
    <row r="439" spans="1:25" ht="12.45" x14ac:dyDescent="0.3">
      <c r="A439" s="260" t="s">
        <v>356</v>
      </c>
      <c r="B439" s="300">
        <v>206.09599999985346</v>
      </c>
      <c r="C439" s="300">
        <v>114.03400000163803</v>
      </c>
      <c r="D439" s="300">
        <v>53.514000000985192</v>
      </c>
      <c r="E439" s="300">
        <f>SUM(B439:D439)</f>
        <v>373.64400000247667</v>
      </c>
      <c r="F439" s="300"/>
      <c r="G439" s="300">
        <v>204.91399999922109</v>
      </c>
      <c r="H439" s="300">
        <v>127.4640000015236</v>
      </c>
      <c r="I439" s="300">
        <v>64.462000000940549</v>
      </c>
      <c r="J439" s="300">
        <f>SUM(G439:I439)</f>
        <v>396.84000000168521</v>
      </c>
      <c r="K439" s="300"/>
      <c r="L439" s="300">
        <v>198.11499999943646</v>
      </c>
      <c r="M439" s="300">
        <v>121.34600000072203</v>
      </c>
      <c r="N439" s="300">
        <v>55.366999998656247</v>
      </c>
      <c r="O439" s="300">
        <f>SUM(L439:N439)</f>
        <v>374.82799999881473</v>
      </c>
      <c r="P439" s="300"/>
      <c r="Q439" s="300">
        <v>214.07700000269469</v>
      </c>
      <c r="R439" s="300">
        <v>126.39200000103632</v>
      </c>
      <c r="S439" s="300">
        <v>58.00399999957984</v>
      </c>
      <c r="T439" s="300">
        <f>SUM(Q439:S439)</f>
        <v>398.47300000331086</v>
      </c>
      <c r="U439" s="300"/>
      <c r="V439" s="300">
        <v>234.43399999851457</v>
      </c>
      <c r="W439" s="300">
        <v>130.78900000007869</v>
      </c>
      <c r="X439" s="300">
        <v>62.924999999969138</v>
      </c>
      <c r="Y439" s="300">
        <f>SUM(V439:X439)</f>
        <v>428.1479999985624</v>
      </c>
    </row>
    <row r="440" spans="1:25" ht="12.45" x14ac:dyDescent="0.3">
      <c r="A440" s="260" t="s">
        <v>355</v>
      </c>
      <c r="B440" s="300">
        <v>398.01300000091089</v>
      </c>
      <c r="C440" s="300">
        <v>178.09600000244194</v>
      </c>
      <c r="D440" s="300">
        <v>65.475000001052152</v>
      </c>
      <c r="E440" s="300">
        <f t="shared" ref="E440:E441" si="1163">SUM(B440:D440)</f>
        <v>641.58400000440497</v>
      </c>
      <c r="F440" s="300"/>
      <c r="G440" s="300">
        <v>371.4650000006402</v>
      </c>
      <c r="H440" s="300">
        <v>204.54300000247639</v>
      </c>
      <c r="I440" s="300">
        <v>65.268000000312071</v>
      </c>
      <c r="J440" s="300">
        <f t="shared" ref="J440:J441" si="1164">SUM(G440:I440)</f>
        <v>641.27600000342875</v>
      </c>
      <c r="K440" s="300"/>
      <c r="L440" s="300">
        <v>356.8200000001209</v>
      </c>
      <c r="M440" s="300">
        <v>189.89100000006863</v>
      </c>
      <c r="N440" s="300">
        <v>55.088000000778393</v>
      </c>
      <c r="O440" s="300">
        <f t="shared" ref="O440:O441" si="1165">SUM(L440:N440)</f>
        <v>601.79900000096791</v>
      </c>
      <c r="P440" s="300"/>
      <c r="Q440" s="300">
        <v>378.85500000046721</v>
      </c>
      <c r="R440" s="300">
        <v>200.99300000031013</v>
      </c>
      <c r="S440" s="300">
        <v>57.705000001971761</v>
      </c>
      <c r="T440" s="300">
        <f t="shared" ref="T440:T441" si="1166">SUM(Q440:S440)</f>
        <v>637.55300000274906</v>
      </c>
      <c r="U440" s="300"/>
      <c r="V440" s="300">
        <v>405.99000000039081</v>
      </c>
      <c r="W440" s="300">
        <v>213.35000000069209</v>
      </c>
      <c r="X440" s="300">
        <v>62.260000001551475</v>
      </c>
      <c r="Y440" s="300">
        <f t="shared" ref="Y440:Y441" si="1167">SUM(V440:X440)</f>
        <v>681.60000000263437</v>
      </c>
    </row>
    <row r="441" spans="1:25" ht="12.45" x14ac:dyDescent="0.3">
      <c r="A441" s="260" t="s">
        <v>354</v>
      </c>
      <c r="B441" s="300">
        <f>SUM(B439:B440)</f>
        <v>604.10900000076435</v>
      </c>
      <c r="C441" s="300">
        <f t="shared" ref="C441" si="1168">SUM(C439:C440)</f>
        <v>292.13000000407999</v>
      </c>
      <c r="D441" s="300">
        <f t="shared" ref="D441" si="1169">SUM(D439:D440)</f>
        <v>118.98900000203734</v>
      </c>
      <c r="E441" s="300">
        <f t="shared" si="1163"/>
        <v>1015.2280000068816</v>
      </c>
      <c r="F441" s="300"/>
      <c r="G441" s="300">
        <f>SUM(G439:G440)</f>
        <v>576.37899999986132</v>
      </c>
      <c r="H441" s="300">
        <f t="shared" ref="H441" si="1170">SUM(H439:H440)</f>
        <v>332.00700000400002</v>
      </c>
      <c r="I441" s="300">
        <f t="shared" ref="I441" si="1171">SUM(I439:I440)</f>
        <v>129.73000000125262</v>
      </c>
      <c r="J441" s="300">
        <f t="shared" si="1164"/>
        <v>1038.1160000051141</v>
      </c>
      <c r="K441" s="300"/>
      <c r="L441" s="300">
        <f>SUM(L439:L440)</f>
        <v>554.93499999955736</v>
      </c>
      <c r="M441" s="300">
        <f t="shared" ref="M441" si="1172">SUM(M439:M440)</f>
        <v>311.23700000079066</v>
      </c>
      <c r="N441" s="300">
        <f t="shared" ref="N441" si="1173">SUM(N439:N440)</f>
        <v>110.45499999943465</v>
      </c>
      <c r="O441" s="300">
        <f t="shared" si="1165"/>
        <v>976.6269999997827</v>
      </c>
      <c r="P441" s="300"/>
      <c r="Q441" s="300">
        <f>SUM(Q439:Q440)</f>
        <v>592.93200000316187</v>
      </c>
      <c r="R441" s="300">
        <f t="shared" ref="R441" si="1174">SUM(R439:R440)</f>
        <v>327.38500000134644</v>
      </c>
      <c r="S441" s="300">
        <f t="shared" ref="S441" si="1175">SUM(S439:S440)</f>
        <v>115.7090000015516</v>
      </c>
      <c r="T441" s="300">
        <f t="shared" si="1166"/>
        <v>1036.02600000606</v>
      </c>
      <c r="U441" s="300"/>
      <c r="V441" s="300">
        <f>SUM(V439:V440)</f>
        <v>640.4239999989054</v>
      </c>
      <c r="W441" s="300">
        <f t="shared" ref="W441" si="1176">SUM(W439:W440)</f>
        <v>344.13900000077081</v>
      </c>
      <c r="X441" s="300">
        <f t="shared" ref="X441" si="1177">SUM(X439:X440)</f>
        <v>125.18500000152062</v>
      </c>
      <c r="Y441" s="300">
        <f t="shared" si="1167"/>
        <v>1109.7480000011969</v>
      </c>
    </row>
    <row r="442" spans="1:25" ht="12.45" x14ac:dyDescent="0.3">
      <c r="C442" s="319"/>
      <c r="D442" s="319"/>
      <c r="E442" s="319"/>
      <c r="F442" s="319"/>
      <c r="G442" s="319"/>
      <c r="H442" s="319"/>
      <c r="I442" s="319"/>
      <c r="J442" s="319"/>
      <c r="K442" s="319"/>
      <c r="L442" s="319"/>
      <c r="M442" s="319"/>
      <c r="N442" s="319"/>
      <c r="O442" s="319"/>
      <c r="P442" s="319"/>
      <c r="Q442" s="319"/>
      <c r="R442" s="319"/>
      <c r="S442" s="319"/>
      <c r="T442" s="319"/>
      <c r="U442" s="319"/>
      <c r="V442" s="319"/>
      <c r="W442" s="319"/>
      <c r="X442" s="319"/>
      <c r="Y442" s="319"/>
    </row>
    <row r="443" spans="1:25" ht="12.45" x14ac:dyDescent="0.3">
      <c r="A443" s="261" t="str">
        <f>name!A63</f>
        <v>Travel, etc</v>
      </c>
      <c r="C443" s="263"/>
    </row>
    <row r="444" spans="1:25" ht="12.45" x14ac:dyDescent="0.3">
      <c r="A444" s="260" t="s">
        <v>356</v>
      </c>
      <c r="B444" s="300">
        <v>14.759999999953193</v>
      </c>
      <c r="C444" s="300">
        <v>8.5590000001427811</v>
      </c>
      <c r="D444" s="300">
        <v>8.0940000001632928</v>
      </c>
      <c r="E444" s="300">
        <f>SUM(B444:D444)</f>
        <v>31.413000000259267</v>
      </c>
      <c r="F444" s="300"/>
      <c r="G444" s="300">
        <v>15.613999999866836</v>
      </c>
      <c r="H444" s="300">
        <v>8.3610000001325897</v>
      </c>
      <c r="I444" s="300">
        <v>10.502000000231401</v>
      </c>
      <c r="J444" s="300">
        <f>SUM(G444:I444)</f>
        <v>34.477000000230831</v>
      </c>
      <c r="K444" s="300"/>
      <c r="L444" s="300">
        <v>15.012999999856744</v>
      </c>
      <c r="M444" s="300">
        <v>8.090000000118609</v>
      </c>
      <c r="N444" s="300">
        <v>8.8479999997849195</v>
      </c>
      <c r="O444" s="300">
        <f>SUM(L444:N444)</f>
        <v>31.95099999976027</v>
      </c>
      <c r="P444" s="300"/>
      <c r="Q444" s="300">
        <v>16.196000000451491</v>
      </c>
      <c r="R444" s="300">
        <v>8.4310000002001591</v>
      </c>
      <c r="S444" s="300">
        <v>9.2339999999837836</v>
      </c>
      <c r="T444" s="300">
        <f>SUM(Q444:S444)</f>
        <v>33.861000000635428</v>
      </c>
      <c r="U444" s="300"/>
      <c r="V444" s="300">
        <v>17.732999999832593</v>
      </c>
      <c r="W444" s="300">
        <v>8.7600000000091622</v>
      </c>
      <c r="X444" s="300">
        <v>10.025999999987269</v>
      </c>
      <c r="Y444" s="300">
        <f>SUM(V444:X444)</f>
        <v>36.518999999829028</v>
      </c>
    </row>
    <row r="445" spans="1:25" ht="12.45" x14ac:dyDescent="0.3">
      <c r="A445" s="260" t="s">
        <v>355</v>
      </c>
      <c r="B445" s="300">
        <v>49.190000000396772</v>
      </c>
      <c r="C445" s="300">
        <v>14.242000000218955</v>
      </c>
      <c r="D445" s="300">
        <v>3.4480000000536841</v>
      </c>
      <c r="E445" s="300">
        <f t="shared" ref="E445:E446" si="1178">SUM(B445:D445)</f>
        <v>66.880000000669412</v>
      </c>
      <c r="F445" s="300"/>
      <c r="G445" s="300">
        <v>50.874000000314787</v>
      </c>
      <c r="H445" s="300">
        <v>15.910000000184358</v>
      </c>
      <c r="I445" s="300">
        <v>3.562999999982559</v>
      </c>
      <c r="J445" s="300">
        <f t="shared" ref="J445:J446" si="1179">SUM(G445:I445)</f>
        <v>70.347000000481714</v>
      </c>
      <c r="K445" s="300"/>
      <c r="L445" s="300">
        <v>48.244999999731853</v>
      </c>
      <c r="M445" s="300">
        <v>14.745999999946987</v>
      </c>
      <c r="N445" s="300">
        <v>3.2200000000410549</v>
      </c>
      <c r="O445" s="300">
        <f t="shared" ref="O445:O446" si="1180">SUM(L445:N445)</f>
        <v>66.210999999719903</v>
      </c>
      <c r="P445" s="300"/>
      <c r="Q445" s="300">
        <v>50.995999999999597</v>
      </c>
      <c r="R445" s="300">
        <v>15.586000000013112</v>
      </c>
      <c r="S445" s="300">
        <v>3.3580000001207053</v>
      </c>
      <c r="T445" s="300">
        <f t="shared" ref="T445:T446" si="1181">SUM(Q445:S445)</f>
        <v>69.940000000133423</v>
      </c>
      <c r="U445" s="300"/>
      <c r="V445" s="300">
        <v>54.569999999900304</v>
      </c>
      <c r="W445" s="300">
        <v>16.598000000071345</v>
      </c>
      <c r="X445" s="300">
        <v>3.6280000000827002</v>
      </c>
      <c r="Y445" s="300">
        <f t="shared" ref="Y445:Y446" si="1182">SUM(V445:X445)</f>
        <v>74.796000000054335</v>
      </c>
    </row>
    <row r="446" spans="1:25" ht="12.45" x14ac:dyDescent="0.3">
      <c r="A446" s="260" t="s">
        <v>354</v>
      </c>
      <c r="B446" s="300">
        <f>SUM(B444:B445)</f>
        <v>63.950000000349966</v>
      </c>
      <c r="C446" s="300">
        <f t="shared" ref="C446" si="1183">SUM(C444:C445)</f>
        <v>22.801000000361736</v>
      </c>
      <c r="D446" s="300">
        <f t="shared" ref="D446" si="1184">SUM(D444:D445)</f>
        <v>11.542000000216976</v>
      </c>
      <c r="E446" s="300">
        <f t="shared" si="1178"/>
        <v>98.293000000928672</v>
      </c>
      <c r="F446" s="300"/>
      <c r="G446" s="300">
        <f>SUM(G444:G445)</f>
        <v>66.488000000181628</v>
      </c>
      <c r="H446" s="300">
        <f t="shared" ref="H446" si="1185">SUM(H444:H445)</f>
        <v>24.271000000316945</v>
      </c>
      <c r="I446" s="300">
        <f t="shared" ref="I446" si="1186">SUM(I444:I445)</f>
        <v>14.06500000021396</v>
      </c>
      <c r="J446" s="300">
        <f t="shared" si="1179"/>
        <v>104.82400000071253</v>
      </c>
      <c r="K446" s="300"/>
      <c r="L446" s="300">
        <f>SUM(L444:L445)</f>
        <v>63.257999999588598</v>
      </c>
      <c r="M446" s="300">
        <f t="shared" ref="M446" si="1187">SUM(M444:M445)</f>
        <v>22.836000000065596</v>
      </c>
      <c r="N446" s="300">
        <f t="shared" ref="N446" si="1188">SUM(N444:N445)</f>
        <v>12.067999999825975</v>
      </c>
      <c r="O446" s="300">
        <f t="shared" si="1180"/>
        <v>98.161999999480159</v>
      </c>
      <c r="P446" s="300"/>
      <c r="Q446" s="300">
        <f>SUM(Q444:Q445)</f>
        <v>67.192000000451088</v>
      </c>
      <c r="R446" s="300">
        <f t="shared" ref="R446" si="1189">SUM(R444:R445)</f>
        <v>24.017000000213272</v>
      </c>
      <c r="S446" s="300">
        <f t="shared" ref="S446" si="1190">SUM(S444:S445)</f>
        <v>12.592000000104489</v>
      </c>
      <c r="T446" s="300">
        <f t="shared" si="1181"/>
        <v>103.80100000076885</v>
      </c>
      <c r="U446" s="300"/>
      <c r="V446" s="300">
        <f>SUM(V444:V445)</f>
        <v>72.30299999973289</v>
      </c>
      <c r="W446" s="300">
        <f t="shared" ref="W446" si="1191">SUM(W444:W445)</f>
        <v>25.358000000080509</v>
      </c>
      <c r="X446" s="300">
        <f t="shared" ref="X446" si="1192">SUM(X444:X445)</f>
        <v>13.654000000069969</v>
      </c>
      <c r="Y446" s="300">
        <f t="shared" si="1182"/>
        <v>111.31499999988337</v>
      </c>
    </row>
    <row r="447" spans="1:25" ht="12.45" x14ac:dyDescent="0.3">
      <c r="C447" s="319"/>
      <c r="D447" s="319"/>
      <c r="E447" s="319"/>
      <c r="F447" s="319"/>
      <c r="G447" s="319"/>
      <c r="H447" s="319"/>
      <c r="I447" s="319"/>
      <c r="J447" s="319"/>
      <c r="K447" s="319"/>
      <c r="L447" s="319"/>
      <c r="M447" s="319"/>
      <c r="N447" s="319"/>
      <c r="O447" s="319"/>
      <c r="P447" s="319"/>
      <c r="Q447" s="319"/>
      <c r="R447" s="319"/>
      <c r="S447" s="319"/>
      <c r="T447" s="319"/>
      <c r="U447" s="319"/>
      <c r="V447" s="319"/>
      <c r="W447" s="319"/>
      <c r="X447" s="319"/>
      <c r="Y447" s="319"/>
    </row>
    <row r="448" spans="1:25" ht="12.45" x14ac:dyDescent="0.3">
      <c r="A448" s="261" t="str">
        <f>name!A64</f>
        <v>Security, etc</v>
      </c>
      <c r="C448" s="263"/>
    </row>
    <row r="449" spans="1:25" ht="12.45" x14ac:dyDescent="0.3">
      <c r="A449" s="260" t="s">
        <v>356</v>
      </c>
      <c r="B449" s="300">
        <v>30.975999999999107</v>
      </c>
      <c r="C449" s="300">
        <v>16.136000000255038</v>
      </c>
      <c r="D449" s="300">
        <v>3.5470000000764386</v>
      </c>
      <c r="E449" s="300">
        <f>SUM(B449:D449)</f>
        <v>50.659000000330579</v>
      </c>
      <c r="F449" s="300"/>
      <c r="G449" s="300">
        <v>37.248999999896974</v>
      </c>
      <c r="H449" s="300">
        <v>17.532000000224254</v>
      </c>
      <c r="I449" s="300">
        <v>4.8130000000719964</v>
      </c>
      <c r="J449" s="300">
        <f>SUM(G449:I449)</f>
        <v>59.594000000193219</v>
      </c>
      <c r="K449" s="300"/>
      <c r="L449" s="300">
        <v>35.83999999988901</v>
      </c>
      <c r="M449" s="300">
        <v>16.883000000136576</v>
      </c>
      <c r="N449" s="300">
        <v>4.1519999999096688</v>
      </c>
      <c r="O449" s="300">
        <f>SUM(L449:N449)</f>
        <v>56.874999999935255</v>
      </c>
      <c r="P449" s="300"/>
      <c r="Q449" s="300">
        <v>38.645000000520831</v>
      </c>
      <c r="R449" s="300">
        <v>17.509000000238895</v>
      </c>
      <c r="S449" s="300">
        <v>4.3519999999666004</v>
      </c>
      <c r="T449" s="300">
        <f>SUM(Q449:S449)</f>
        <v>60.506000000726324</v>
      </c>
      <c r="U449" s="300"/>
      <c r="V449" s="300">
        <v>42.278999999741664</v>
      </c>
      <c r="W449" s="300">
        <v>18.091000000020234</v>
      </c>
      <c r="X449" s="300">
        <v>4.7239999999897799</v>
      </c>
      <c r="Y449" s="300">
        <f>SUM(V449:X449)</f>
        <v>65.093999999751688</v>
      </c>
    </row>
    <row r="450" spans="1:25" ht="12.45" x14ac:dyDescent="0.3">
      <c r="A450" s="260" t="s">
        <v>355</v>
      </c>
      <c r="B450" s="300">
        <v>101.90700000047393</v>
      </c>
      <c r="C450" s="300">
        <v>27.890000000447529</v>
      </c>
      <c r="D450" s="300">
        <v>19.100000000297406</v>
      </c>
      <c r="E450" s="300">
        <f t="shared" ref="E450:E451" si="1193">SUM(B450:D450)</f>
        <v>148.89700000121886</v>
      </c>
      <c r="F450" s="300"/>
      <c r="G450" s="300">
        <v>110.92100000030634</v>
      </c>
      <c r="H450" s="300">
        <v>29.923000000389454</v>
      </c>
      <c r="I450" s="300">
        <v>21.281000000135307</v>
      </c>
      <c r="J450" s="300">
        <f t="shared" ref="J450:J451" si="1194">SUM(G450:I450)</f>
        <v>162.12500000083111</v>
      </c>
      <c r="K450" s="300"/>
      <c r="L450" s="300">
        <v>106.26899999999908</v>
      </c>
      <c r="M450" s="300">
        <v>27.704000000015924</v>
      </c>
      <c r="N450" s="300">
        <v>18.627000000231412</v>
      </c>
      <c r="O450" s="300">
        <f t="shared" ref="O450:O451" si="1195">SUM(L450:N450)</f>
        <v>152.60000000024644</v>
      </c>
      <c r="P450" s="300"/>
      <c r="Q450" s="300">
        <v>112.56000000011564</v>
      </c>
      <c r="R450" s="300">
        <v>29.315000000071787</v>
      </c>
      <c r="S450" s="300">
        <v>19.47500000055965</v>
      </c>
      <c r="T450" s="300">
        <f t="shared" ref="T450:T451" si="1196">SUM(Q450:S450)</f>
        <v>161.35000000074706</v>
      </c>
      <c r="U450" s="300"/>
      <c r="V450" s="300">
        <v>120.38100000005662</v>
      </c>
      <c r="W450" s="300">
        <v>31.139000000136001</v>
      </c>
      <c r="X450" s="300">
        <v>20.992000000445735</v>
      </c>
      <c r="Y450" s="300">
        <f t="shared" ref="Y450:Y451" si="1197">SUM(V450:X450)</f>
        <v>172.51200000063835</v>
      </c>
    </row>
    <row r="451" spans="1:25" ht="12.45" x14ac:dyDescent="0.3">
      <c r="A451" s="260" t="s">
        <v>354</v>
      </c>
      <c r="B451" s="300">
        <f>SUM(B449:B450)</f>
        <v>132.88300000047303</v>
      </c>
      <c r="C451" s="300">
        <f t="shared" ref="C451" si="1198">SUM(C449:C450)</f>
        <v>44.026000000702567</v>
      </c>
      <c r="D451" s="300">
        <f t="shared" ref="D451" si="1199">SUM(D449:D450)</f>
        <v>22.647000000373843</v>
      </c>
      <c r="E451" s="300">
        <f t="shared" si="1193"/>
        <v>199.55600000154945</v>
      </c>
      <c r="F451" s="300"/>
      <c r="G451" s="300">
        <f>SUM(G449:G450)</f>
        <v>148.17000000020332</v>
      </c>
      <c r="H451" s="300">
        <f t="shared" ref="H451" si="1200">SUM(H449:H450)</f>
        <v>47.455000000613708</v>
      </c>
      <c r="I451" s="300">
        <f t="shared" ref="I451" si="1201">SUM(I449:I450)</f>
        <v>26.094000000207302</v>
      </c>
      <c r="J451" s="300">
        <f t="shared" si="1194"/>
        <v>221.71900000102431</v>
      </c>
      <c r="K451" s="300"/>
      <c r="L451" s="300">
        <f>SUM(L449:L450)</f>
        <v>142.10899999988808</v>
      </c>
      <c r="M451" s="300">
        <f t="shared" ref="M451" si="1202">SUM(M449:M450)</f>
        <v>44.5870000001525</v>
      </c>
      <c r="N451" s="300">
        <f t="shared" ref="N451" si="1203">SUM(N449:N450)</f>
        <v>22.779000000141082</v>
      </c>
      <c r="O451" s="300">
        <f t="shared" si="1195"/>
        <v>209.47500000018167</v>
      </c>
      <c r="P451" s="300"/>
      <c r="Q451" s="300">
        <f>SUM(Q449:Q450)</f>
        <v>151.20500000063646</v>
      </c>
      <c r="R451" s="300">
        <f t="shared" ref="R451" si="1204">SUM(R449:R450)</f>
        <v>46.824000000310683</v>
      </c>
      <c r="S451" s="300">
        <f t="shared" ref="S451" si="1205">SUM(S449:S450)</f>
        <v>23.827000000526251</v>
      </c>
      <c r="T451" s="300">
        <f t="shared" si="1196"/>
        <v>221.8560000014734</v>
      </c>
      <c r="U451" s="300"/>
      <c r="V451" s="300">
        <f>SUM(V449:V450)</f>
        <v>162.65999999979829</v>
      </c>
      <c r="W451" s="300">
        <f t="shared" ref="W451" si="1206">SUM(W449:W450)</f>
        <v>49.230000000156238</v>
      </c>
      <c r="X451" s="300">
        <f t="shared" ref="X451" si="1207">SUM(X449:X450)</f>
        <v>25.716000000435514</v>
      </c>
      <c r="Y451" s="300">
        <f t="shared" si="1197"/>
        <v>237.60600000039003</v>
      </c>
    </row>
    <row r="452" spans="1:25" ht="12.45" x14ac:dyDescent="0.3">
      <c r="C452" s="319"/>
      <c r="D452" s="319"/>
      <c r="E452" s="319"/>
      <c r="F452" s="319"/>
      <c r="G452" s="319"/>
      <c r="H452" s="319"/>
      <c r="I452" s="319"/>
      <c r="J452" s="319"/>
      <c r="K452" s="319"/>
      <c r="L452" s="319"/>
      <c r="M452" s="319"/>
      <c r="N452" s="319"/>
      <c r="O452" s="319"/>
      <c r="P452" s="319"/>
      <c r="Q452" s="319"/>
      <c r="R452" s="319"/>
      <c r="S452" s="319"/>
      <c r="T452" s="319"/>
      <c r="U452" s="319"/>
      <c r="V452" s="319"/>
      <c r="W452" s="319"/>
      <c r="X452" s="319"/>
      <c r="Y452" s="319"/>
    </row>
    <row r="453" spans="1:25" ht="12.45" x14ac:dyDescent="0.3">
      <c r="A453" s="261" t="str">
        <f>name!A65</f>
        <v>Services to buildings</v>
      </c>
      <c r="C453" s="263"/>
    </row>
    <row r="454" spans="1:25" ht="12.45" x14ac:dyDescent="0.3">
      <c r="A454" s="260" t="s">
        <v>356</v>
      </c>
      <c r="B454" s="300">
        <v>196.82399999988962</v>
      </c>
      <c r="C454" s="300">
        <v>335.02500000450556</v>
      </c>
      <c r="D454" s="300">
        <v>47.409000000755213</v>
      </c>
      <c r="E454" s="300">
        <f>SUM(B454:D454)</f>
        <v>579.25800000515039</v>
      </c>
      <c r="F454" s="300"/>
      <c r="G454" s="300">
        <v>217.22199999946997</v>
      </c>
      <c r="H454" s="300">
        <v>323.90800000427606</v>
      </c>
      <c r="I454" s="300">
        <v>59.130000000639015</v>
      </c>
      <c r="J454" s="300">
        <f>SUM(G454:I454)</f>
        <v>600.26000000438512</v>
      </c>
      <c r="K454" s="300"/>
      <c r="L454" s="300">
        <v>209.12999999917386</v>
      </c>
      <c r="M454" s="300">
        <v>311.73600000253856</v>
      </c>
      <c r="N454" s="300">
        <v>51.307999999005055</v>
      </c>
      <c r="O454" s="300">
        <f>SUM(L454:N454)</f>
        <v>572.17400000071746</v>
      </c>
      <c r="P454" s="300"/>
      <c r="Q454" s="300">
        <v>225.7990000025377</v>
      </c>
      <c r="R454" s="300">
        <v>324.59300000340971</v>
      </c>
      <c r="S454" s="300">
        <v>53.74199999960782</v>
      </c>
      <c r="T454" s="300">
        <f>SUM(Q454:S454)</f>
        <v>604.13400000555532</v>
      </c>
      <c r="U454" s="300"/>
      <c r="V454" s="300">
        <v>247.38399999841059</v>
      </c>
      <c r="W454" s="300">
        <v>336.24700000053508</v>
      </c>
      <c r="X454" s="300">
        <v>58.362999999987117</v>
      </c>
      <c r="Y454" s="300">
        <f>SUM(V454:X454)</f>
        <v>641.99399999893274</v>
      </c>
    </row>
    <row r="455" spans="1:25" ht="12.45" x14ac:dyDescent="0.3">
      <c r="A455" s="260" t="s">
        <v>355</v>
      </c>
      <c r="B455" s="300">
        <v>160.06800000035557</v>
      </c>
      <c r="C455" s="300">
        <v>86.522000001282422</v>
      </c>
      <c r="D455" s="300">
        <v>41.924000000499163</v>
      </c>
      <c r="E455" s="300">
        <f t="shared" ref="E455:E456" si="1208">SUM(B455:D455)</f>
        <v>288.51400000213715</v>
      </c>
      <c r="F455" s="300"/>
      <c r="G455" s="300">
        <v>170.33500000017898</v>
      </c>
      <c r="H455" s="300">
        <v>85.821000000986999</v>
      </c>
      <c r="I455" s="300">
        <v>43.099000000278657</v>
      </c>
      <c r="J455" s="300">
        <f t="shared" ref="J455:J456" si="1209">SUM(G455:I455)</f>
        <v>299.25500000144461</v>
      </c>
      <c r="K455" s="300"/>
      <c r="L455" s="300">
        <v>161.21599999992839</v>
      </c>
      <c r="M455" s="300">
        <v>79.170999999921435</v>
      </c>
      <c r="N455" s="300">
        <v>37.243000000327257</v>
      </c>
      <c r="O455" s="300">
        <f t="shared" ref="O455:O456" si="1210">SUM(L455:N455)</f>
        <v>277.63000000017706</v>
      </c>
      <c r="P455" s="300"/>
      <c r="Q455" s="300">
        <v>171.0180000002623</v>
      </c>
      <c r="R455" s="300">
        <v>83.714000000148005</v>
      </c>
      <c r="S455" s="300">
        <v>38.986000000817562</v>
      </c>
      <c r="T455" s="300">
        <f t="shared" ref="T455:T456" si="1211">SUM(Q455:S455)</f>
        <v>293.71800000122789</v>
      </c>
      <c r="U455" s="300"/>
      <c r="V455" s="300">
        <v>183.46300000023211</v>
      </c>
      <c r="W455" s="300">
        <v>88.942000000303693</v>
      </c>
      <c r="X455" s="300">
        <v>42.148000000652971</v>
      </c>
      <c r="Y455" s="300">
        <f t="shared" ref="Y455:Y456" si="1212">SUM(V455:X455)</f>
        <v>314.55300000118876</v>
      </c>
    </row>
    <row r="456" spans="1:25" ht="12.45" x14ac:dyDescent="0.3">
      <c r="A456" s="260" t="s">
        <v>354</v>
      </c>
      <c r="B456" s="300">
        <f>SUM(B454:B455)</f>
        <v>356.89200000024516</v>
      </c>
      <c r="C456" s="300">
        <f t="shared" ref="C456" si="1213">SUM(C454:C455)</f>
        <v>421.54700000578799</v>
      </c>
      <c r="D456" s="300">
        <f t="shared" ref="D456" si="1214">SUM(D454:D455)</f>
        <v>89.333000001254376</v>
      </c>
      <c r="E456" s="300">
        <f t="shared" si="1208"/>
        <v>867.7720000072876</v>
      </c>
      <c r="F456" s="300"/>
      <c r="G456" s="300">
        <f>SUM(G454:G455)</f>
        <v>387.55699999964895</v>
      </c>
      <c r="H456" s="300">
        <f t="shared" ref="H456" si="1215">SUM(H454:H455)</f>
        <v>409.72900000526306</v>
      </c>
      <c r="I456" s="300">
        <f t="shared" ref="I456" si="1216">SUM(I454:I455)</f>
        <v>102.22900000091767</v>
      </c>
      <c r="J456" s="300">
        <f t="shared" si="1209"/>
        <v>899.51500000582973</v>
      </c>
      <c r="K456" s="300"/>
      <c r="L456" s="300">
        <f>SUM(L454:L455)</f>
        <v>370.34599999910222</v>
      </c>
      <c r="M456" s="300">
        <f t="shared" ref="M456" si="1217">SUM(M454:M455)</f>
        <v>390.90700000245999</v>
      </c>
      <c r="N456" s="300">
        <f t="shared" ref="N456" si="1218">SUM(N454:N455)</f>
        <v>88.550999999332305</v>
      </c>
      <c r="O456" s="300">
        <f t="shared" si="1210"/>
        <v>849.80400000089458</v>
      </c>
      <c r="P456" s="300"/>
      <c r="Q456" s="300">
        <f>SUM(Q454:Q455)</f>
        <v>396.8170000028</v>
      </c>
      <c r="R456" s="300">
        <f t="shared" ref="R456" si="1219">SUM(R454:R455)</f>
        <v>408.30700000355773</v>
      </c>
      <c r="S456" s="300">
        <f t="shared" ref="S456" si="1220">SUM(S454:S455)</f>
        <v>92.728000000425382</v>
      </c>
      <c r="T456" s="300">
        <f t="shared" si="1211"/>
        <v>897.8520000067831</v>
      </c>
      <c r="U456" s="300"/>
      <c r="V456" s="300">
        <f>SUM(V454:V455)</f>
        <v>430.84699999864267</v>
      </c>
      <c r="W456" s="300">
        <f t="shared" ref="W456" si="1221">SUM(W454:W455)</f>
        <v>425.18900000083875</v>
      </c>
      <c r="X456" s="300">
        <f t="shared" ref="X456" si="1222">SUM(X454:X455)</f>
        <v>100.51100000064008</v>
      </c>
      <c r="Y456" s="300">
        <f t="shared" si="1212"/>
        <v>956.54700000012144</v>
      </c>
    </row>
    <row r="457" spans="1:25" ht="12.45" x14ac:dyDescent="0.3">
      <c r="C457" s="319"/>
      <c r="D457" s="319"/>
      <c r="E457" s="319"/>
      <c r="F457" s="319"/>
      <c r="G457" s="319"/>
      <c r="H457" s="319"/>
      <c r="I457" s="319"/>
      <c r="J457" s="319"/>
      <c r="K457" s="319"/>
      <c r="L457" s="319"/>
      <c r="M457" s="319"/>
      <c r="N457" s="319"/>
      <c r="O457" s="319"/>
      <c r="P457" s="319"/>
      <c r="Q457" s="319"/>
      <c r="R457" s="319"/>
      <c r="S457" s="319"/>
      <c r="T457" s="319"/>
      <c r="U457" s="319"/>
      <c r="V457" s="319"/>
      <c r="W457" s="319"/>
      <c r="X457" s="319"/>
      <c r="Y457" s="319"/>
    </row>
    <row r="458" spans="1:25" ht="12.45" x14ac:dyDescent="0.3">
      <c r="A458" s="261" t="str">
        <f>name!A66</f>
        <v>Office administrative</v>
      </c>
      <c r="C458" s="263"/>
    </row>
    <row r="459" spans="1:25" ht="12.45" x14ac:dyDescent="0.3">
      <c r="A459" s="260" t="s">
        <v>356</v>
      </c>
      <c r="B459" s="300">
        <v>82.125999999984785</v>
      </c>
      <c r="C459" s="300">
        <v>42.198000000597602</v>
      </c>
      <c r="D459" s="300">
        <v>27.771000000531323</v>
      </c>
      <c r="E459" s="300">
        <f>SUM(B459:D459)</f>
        <v>152.0950000011137</v>
      </c>
      <c r="F459" s="300"/>
      <c r="G459" s="300">
        <v>100.26599999983394</v>
      </c>
      <c r="H459" s="300">
        <v>50.007000000582217</v>
      </c>
      <c r="I459" s="300">
        <v>38.975000000610038</v>
      </c>
      <c r="J459" s="300">
        <f>SUM(G459:I459)</f>
        <v>189.24800000102618</v>
      </c>
      <c r="K459" s="300"/>
      <c r="L459" s="300">
        <v>96.21399999969023</v>
      </c>
      <c r="M459" s="300">
        <v>47.834000000322206</v>
      </c>
      <c r="N459" s="300">
        <v>33.41699999922276</v>
      </c>
      <c r="O459" s="300">
        <f>SUM(L459:N459)</f>
        <v>177.4649999992352</v>
      </c>
      <c r="P459" s="300"/>
      <c r="Q459" s="300">
        <v>103.77900000125864</v>
      </c>
      <c r="R459" s="300">
        <v>49.804000000391014</v>
      </c>
      <c r="S459" s="300">
        <v>34.985999999696283</v>
      </c>
      <c r="T459" s="300">
        <f>SUM(Q459:S459)</f>
        <v>188.56900000134593</v>
      </c>
      <c r="U459" s="300"/>
      <c r="V459" s="300">
        <v>113.57199999932207</v>
      </c>
      <c r="W459" s="300">
        <v>51.513000000080567</v>
      </c>
      <c r="X459" s="300">
        <v>37.946999999899688</v>
      </c>
      <c r="Y459" s="300">
        <f>SUM(V459:X459)</f>
        <v>203.03199999930234</v>
      </c>
    </row>
    <row r="460" spans="1:25" ht="12.45" x14ac:dyDescent="0.3">
      <c r="A460" s="260" t="s">
        <v>355</v>
      </c>
      <c r="B460" s="300">
        <v>256.94600000086712</v>
      </c>
      <c r="C460" s="300">
        <v>52.93700000078104</v>
      </c>
      <c r="D460" s="300">
        <v>30.368000000450245</v>
      </c>
      <c r="E460" s="300">
        <f t="shared" ref="E460:E461" si="1223">SUM(B460:D460)</f>
        <v>340.25100000209841</v>
      </c>
      <c r="F460" s="300"/>
      <c r="G460" s="300">
        <v>290.08400000068445</v>
      </c>
      <c r="H460" s="300">
        <v>63.263000000749166</v>
      </c>
      <c r="I460" s="300">
        <v>33.465000000202643</v>
      </c>
      <c r="J460" s="300">
        <f t="shared" ref="J460:J461" si="1224">SUM(G460:I460)</f>
        <v>386.81200000163625</v>
      </c>
      <c r="K460" s="300"/>
      <c r="L460" s="300">
        <v>276.94799999995593</v>
      </c>
      <c r="M460" s="300">
        <v>58.261999999896574</v>
      </c>
      <c r="N460" s="300">
        <v>29.163000000348916</v>
      </c>
      <c r="O460" s="300">
        <f t="shared" ref="O460:O461" si="1225">SUM(L460:N460)</f>
        <v>364.37300000020139</v>
      </c>
      <c r="P460" s="300"/>
      <c r="Q460" s="300">
        <v>293.42500000030344</v>
      </c>
      <c r="R460" s="300">
        <v>61.70600000000848</v>
      </c>
      <c r="S460" s="300">
        <v>30.516000000851754</v>
      </c>
      <c r="T460" s="300">
        <f t="shared" ref="T460:T461" si="1226">SUM(Q460:S460)</f>
        <v>385.64700000116369</v>
      </c>
      <c r="U460" s="300"/>
      <c r="V460" s="300">
        <v>313.95700000021901</v>
      </c>
      <c r="W460" s="300">
        <v>65.475000000125917</v>
      </c>
      <c r="X460" s="300">
        <v>32.903000000673217</v>
      </c>
      <c r="Y460" s="300">
        <f t="shared" ref="Y460:Y461" si="1227">SUM(V460:X460)</f>
        <v>412.33500000101816</v>
      </c>
    </row>
    <row r="461" spans="1:25" ht="12.45" x14ac:dyDescent="0.3">
      <c r="A461" s="260" t="s">
        <v>354</v>
      </c>
      <c r="B461" s="300">
        <f>SUM(B459:B460)</f>
        <v>339.07200000085192</v>
      </c>
      <c r="C461" s="300">
        <f t="shared" ref="C461" si="1228">SUM(C459:C460)</f>
        <v>95.135000001378643</v>
      </c>
      <c r="D461" s="300">
        <f t="shared" ref="D461" si="1229">SUM(D459:D460)</f>
        <v>58.139000000981568</v>
      </c>
      <c r="E461" s="300">
        <f t="shared" si="1223"/>
        <v>492.34600000321211</v>
      </c>
      <c r="F461" s="300"/>
      <c r="G461" s="300">
        <f>SUM(G459:G460)</f>
        <v>390.35000000051838</v>
      </c>
      <c r="H461" s="300">
        <f t="shared" ref="H461" si="1230">SUM(H459:H460)</f>
        <v>113.27000000133138</v>
      </c>
      <c r="I461" s="300">
        <f t="shared" ref="I461" si="1231">SUM(I459:I460)</f>
        <v>72.440000000812688</v>
      </c>
      <c r="J461" s="300">
        <f t="shared" si="1224"/>
        <v>576.06000000266249</v>
      </c>
      <c r="K461" s="300"/>
      <c r="L461" s="300">
        <f>SUM(L459:L460)</f>
        <v>373.16199999964613</v>
      </c>
      <c r="M461" s="300">
        <f t="shared" ref="M461" si="1232">SUM(M459:M460)</f>
        <v>106.09600000021878</v>
      </c>
      <c r="N461" s="300">
        <f t="shared" ref="N461" si="1233">SUM(N459:N460)</f>
        <v>62.579999999571676</v>
      </c>
      <c r="O461" s="300">
        <f t="shared" si="1225"/>
        <v>541.83799999943665</v>
      </c>
      <c r="P461" s="300"/>
      <c r="Q461" s="300">
        <f>SUM(Q459:Q460)</f>
        <v>397.20400000156206</v>
      </c>
      <c r="R461" s="300">
        <f t="shared" ref="R461" si="1234">SUM(R459:R460)</f>
        <v>111.51000000039949</v>
      </c>
      <c r="S461" s="300">
        <f t="shared" ref="S461" si="1235">SUM(S459:S460)</f>
        <v>65.502000000548037</v>
      </c>
      <c r="T461" s="300">
        <f t="shared" si="1226"/>
        <v>574.21600000250965</v>
      </c>
      <c r="U461" s="300"/>
      <c r="V461" s="300">
        <f>SUM(V459:V460)</f>
        <v>427.5289999995411</v>
      </c>
      <c r="W461" s="300">
        <f t="shared" ref="W461" si="1236">SUM(W459:W460)</f>
        <v>116.98800000020648</v>
      </c>
      <c r="X461" s="300">
        <f t="shared" ref="X461" si="1237">SUM(X459:X460)</f>
        <v>70.850000000572905</v>
      </c>
      <c r="Y461" s="300">
        <f t="shared" si="1227"/>
        <v>615.36700000032044</v>
      </c>
    </row>
    <row r="462" spans="1:25" ht="12.45" x14ac:dyDescent="0.3">
      <c r="C462" s="319"/>
      <c r="D462" s="319"/>
      <c r="E462" s="319"/>
      <c r="F462" s="319"/>
      <c r="G462" s="319"/>
      <c r="H462" s="319"/>
      <c r="I462" s="319"/>
      <c r="J462" s="319"/>
      <c r="K462" s="319"/>
      <c r="L462" s="319"/>
      <c r="M462" s="319"/>
      <c r="N462" s="319"/>
      <c r="O462" s="319"/>
      <c r="P462" s="319"/>
      <c r="Q462" s="319"/>
      <c r="R462" s="319"/>
      <c r="S462" s="319"/>
      <c r="T462" s="319"/>
      <c r="U462" s="319"/>
      <c r="V462" s="319"/>
      <c r="W462" s="319"/>
      <c r="X462" s="319"/>
      <c r="Y462" s="319"/>
    </row>
    <row r="463" spans="1:25" ht="12.45" x14ac:dyDescent="0.3">
      <c r="A463" s="261" t="s">
        <v>360</v>
      </c>
      <c r="C463" s="263"/>
    </row>
    <row r="464" spans="1:25" ht="12.45" x14ac:dyDescent="0.3">
      <c r="A464" s="260" t="s">
        <v>356</v>
      </c>
      <c r="B464" s="300">
        <f>SUM(B434,B439,B444,B449,B454,B459)</f>
        <v>549.37999999956571</v>
      </c>
      <c r="C464" s="300">
        <f t="shared" ref="C464:D465" si="1238">SUM(C434,C439,C444,C449,C454,C459)</f>
        <v>525.76300000731248</v>
      </c>
      <c r="D464" s="300">
        <f t="shared" si="1238"/>
        <v>145.96500000255304</v>
      </c>
      <c r="E464" s="300">
        <f>SUM(B464:D464)</f>
        <v>1221.1080000094312</v>
      </c>
      <c r="F464" s="300"/>
      <c r="G464" s="300">
        <f>SUM(G434,G439,G444,G449,G454,G459)</f>
        <v>594.32399999812321</v>
      </c>
      <c r="H464" s="300">
        <f t="shared" ref="H464:I464" si="1239">SUM(H434,H439,H444,H449,H454,H459)</f>
        <v>537.55100000689731</v>
      </c>
      <c r="I464" s="300">
        <f t="shared" si="1239"/>
        <v>184.67200000251668</v>
      </c>
      <c r="J464" s="300">
        <f>SUM(G464:I464)</f>
        <v>1316.547000007537</v>
      </c>
      <c r="K464" s="300"/>
      <c r="L464" s="300">
        <f>SUM(L434,L439,L444,L449,L454,L459)</f>
        <v>572.94099999790808</v>
      </c>
      <c r="M464" s="300">
        <f t="shared" ref="M464:N464" si="1240">SUM(M434,M439,M444,M449,M454,M459)</f>
        <v>515.88300000400397</v>
      </c>
      <c r="N464" s="300">
        <f t="shared" si="1240"/>
        <v>159.12899999652106</v>
      </c>
      <c r="O464" s="300">
        <f>SUM(L464:N464)</f>
        <v>1247.9529999984331</v>
      </c>
      <c r="P464" s="300"/>
      <c r="Q464" s="300">
        <f>SUM(Q434,Q439,Q444,Q449,Q454,Q459)</f>
        <v>618.67800000791806</v>
      </c>
      <c r="R464" s="300">
        <f t="shared" ref="R464:S464" si="1241">SUM(R434,R439,R444,R449,R454,R459)</f>
        <v>537.12200000559608</v>
      </c>
      <c r="S464" s="300">
        <f t="shared" si="1241"/>
        <v>166.63899999880439</v>
      </c>
      <c r="T464" s="300">
        <f>SUM(Q464:S464)</f>
        <v>1322.4390000123185</v>
      </c>
      <c r="U464" s="300"/>
      <c r="V464" s="300">
        <f>SUM(V434,V439,V444,V449,V454,V459)</f>
        <v>677.55099999567699</v>
      </c>
      <c r="W464" s="300">
        <f t="shared" ref="W464:X464" si="1242">SUM(W434,W439,W444,W449,W454,W459)</f>
        <v>556.16500000072438</v>
      </c>
      <c r="X464" s="300">
        <f t="shared" si="1242"/>
        <v>180.84399999983503</v>
      </c>
      <c r="Y464" s="300">
        <f>SUM(V464:X464)</f>
        <v>1414.5599999962365</v>
      </c>
    </row>
    <row r="465" spans="1:25" ht="12.45" x14ac:dyDescent="0.3">
      <c r="A465" s="260" t="s">
        <v>355</v>
      </c>
      <c r="B465" s="300">
        <f>SUM(B435,B440,B445,B450,B455,B460)</f>
        <v>1073.5690000029304</v>
      </c>
      <c r="C465" s="300">
        <f t="shared" si="1238"/>
        <v>374.10800000531231</v>
      </c>
      <c r="D465" s="300">
        <f t="shared" si="1238"/>
        <v>177.03000000255724</v>
      </c>
      <c r="E465" s="300">
        <f t="shared" ref="E465:E466" si="1243">SUM(B465:D465)</f>
        <v>1624.7070000107999</v>
      </c>
      <c r="F465" s="300"/>
      <c r="G465" s="300">
        <f>SUM(G435,G440,G445,G450,G455,G460)</f>
        <v>1098.1400000020617</v>
      </c>
      <c r="H465" s="300">
        <f t="shared" ref="H465:I465" si="1244">SUM(H435,H440,H445,H450,H455,H460)</f>
        <v>414.81100000491796</v>
      </c>
      <c r="I465" s="300">
        <f t="shared" si="1244"/>
        <v>182.17600000088757</v>
      </c>
      <c r="J465" s="300">
        <f t="shared" ref="J465:J466" si="1245">SUM(G465:I465)</f>
        <v>1695.1270000078673</v>
      </c>
      <c r="K465" s="300"/>
      <c r="L465" s="300">
        <f>SUM(L435,L440,L445,L450,L455,L460)</f>
        <v>1048.0679999996273</v>
      </c>
      <c r="M465" s="300">
        <f t="shared" ref="M465:N465" si="1246">SUM(M435,M440,M445,M450,M455,M460)</f>
        <v>384.12199999982511</v>
      </c>
      <c r="N465" s="300">
        <f t="shared" si="1246"/>
        <v>156.87300000184115</v>
      </c>
      <c r="O465" s="300">
        <f t="shared" ref="O465:O466" si="1247">SUM(L465:N465)</f>
        <v>1589.0630000012936</v>
      </c>
      <c r="P465" s="300"/>
      <c r="Q465" s="300">
        <f>SUM(Q435,Q440,Q445,Q450,Q455,Q460)</f>
        <v>1111.4810000013374</v>
      </c>
      <c r="R465" s="300">
        <f t="shared" ref="R465:S465" si="1248">SUM(R435,R440,R445,R450,R455,R460)</f>
        <v>406.48200000058563</v>
      </c>
      <c r="S465" s="300">
        <f t="shared" si="1248"/>
        <v>164.22000000467983</v>
      </c>
      <c r="T465" s="300">
        <f t="shared" ref="T465:T466" si="1249">SUM(Q465:S465)</f>
        <v>1682.1830000066029</v>
      </c>
      <c r="U465" s="300"/>
      <c r="V465" s="300">
        <f>SUM(V435,V440,V445,V450,V455,V460)</f>
        <v>1190.5480000009291</v>
      </c>
      <c r="W465" s="300">
        <f t="shared" ref="W465:X465" si="1250">SUM(W435,W440,W445,W450,W455,W460)</f>
        <v>431.64200000140312</v>
      </c>
      <c r="X465" s="300">
        <f t="shared" si="1250"/>
        <v>177.24800000366417</v>
      </c>
      <c r="Y465" s="300">
        <f t="shared" ref="Y465:Y466" si="1251">SUM(V465:X465)</f>
        <v>1799.4380000059964</v>
      </c>
    </row>
    <row r="466" spans="1:25" ht="12.45" x14ac:dyDescent="0.3">
      <c r="A466" s="264" t="s">
        <v>354</v>
      </c>
      <c r="B466" s="301">
        <f>SUM(B464:B465)</f>
        <v>1622.9490000024962</v>
      </c>
      <c r="C466" s="301">
        <f t="shared" ref="C466" si="1252">SUM(C464:C465)</f>
        <v>899.87100001262479</v>
      </c>
      <c r="D466" s="301">
        <f t="shared" ref="D466" si="1253">SUM(D464:D465)</f>
        <v>322.99500000511028</v>
      </c>
      <c r="E466" s="301">
        <f t="shared" si="1243"/>
        <v>2845.8150000202313</v>
      </c>
      <c r="F466" s="301"/>
      <c r="G466" s="301">
        <f>SUM(G464:G465)</f>
        <v>1692.464000000185</v>
      </c>
      <c r="H466" s="301">
        <f t="shared" ref="H466" si="1254">SUM(H464:H465)</f>
        <v>952.36200001181533</v>
      </c>
      <c r="I466" s="301">
        <f t="shared" ref="I466" si="1255">SUM(I464:I465)</f>
        <v>366.84800000340425</v>
      </c>
      <c r="J466" s="301">
        <f t="shared" si="1245"/>
        <v>3011.6740000154045</v>
      </c>
      <c r="K466" s="301"/>
      <c r="L466" s="301">
        <f>SUM(L464:L465)</f>
        <v>1621.0089999975353</v>
      </c>
      <c r="M466" s="301">
        <f t="shared" ref="M466" si="1256">SUM(M464:M465)</f>
        <v>900.00500000382908</v>
      </c>
      <c r="N466" s="301">
        <f t="shared" ref="N466" si="1257">SUM(N464:N465)</f>
        <v>316.00199999836218</v>
      </c>
      <c r="O466" s="301">
        <f t="shared" si="1247"/>
        <v>2837.0159999997268</v>
      </c>
      <c r="P466" s="301"/>
      <c r="Q466" s="301">
        <f>SUM(Q464:Q465)</f>
        <v>1730.1590000092556</v>
      </c>
      <c r="R466" s="301">
        <f t="shared" ref="R466" si="1258">SUM(R464:R465)</f>
        <v>943.60400000618165</v>
      </c>
      <c r="S466" s="301">
        <f t="shared" ref="S466" si="1259">SUM(S464:S465)</f>
        <v>330.8590000034842</v>
      </c>
      <c r="T466" s="301">
        <f t="shared" si="1249"/>
        <v>3004.6220000189214</v>
      </c>
      <c r="U466" s="301"/>
      <c r="V466" s="301">
        <f>SUM(V464:V465)</f>
        <v>1868.0989999966059</v>
      </c>
      <c r="W466" s="301">
        <f t="shared" ref="W466" si="1260">SUM(W464:W465)</f>
        <v>987.80700000212755</v>
      </c>
      <c r="X466" s="301">
        <f t="shared" ref="X466" si="1261">SUM(X464:X465)</f>
        <v>358.09200000349921</v>
      </c>
      <c r="Y466" s="301">
        <f t="shared" si="1251"/>
        <v>3213.9980000022329</v>
      </c>
    </row>
    <row r="467" spans="1:25" ht="12.45" x14ac:dyDescent="0.3">
      <c r="C467" s="263"/>
    </row>
    <row r="468" spans="1:25" x14ac:dyDescent="0.35">
      <c r="A468" s="261"/>
    </row>
    <row r="469" spans="1:25" ht="12.45" x14ac:dyDescent="0.3">
      <c r="C469" s="263"/>
    </row>
    <row r="470" spans="1:25" ht="14.15" x14ac:dyDescent="0.35">
      <c r="A470" s="265" t="str">
        <f>"Industry 18 : "&amp; name!B21</f>
        <v>Industry 18 : Public admin. and defence</v>
      </c>
      <c r="B470" s="372">
        <f>$B$5</f>
        <v>2015</v>
      </c>
      <c r="C470" s="372"/>
      <c r="D470" s="372"/>
      <c r="E470" s="372"/>
      <c r="F470" s="320"/>
      <c r="G470" s="372">
        <f>$G$5</f>
        <v>2019</v>
      </c>
      <c r="H470" s="372"/>
      <c r="I470" s="372"/>
      <c r="J470" s="372"/>
      <c r="K470" s="320"/>
      <c r="L470" s="372">
        <f>$L$5</f>
        <v>2020</v>
      </c>
      <c r="M470" s="372"/>
      <c r="N470" s="372"/>
      <c r="O470" s="372"/>
      <c r="P470" s="318"/>
      <c r="Q470" s="372">
        <f>$Q$5</f>
        <v>2025</v>
      </c>
      <c r="R470" s="372"/>
      <c r="S470" s="372"/>
      <c r="T470" s="372"/>
      <c r="U470" s="320"/>
      <c r="V470" s="372">
        <f>$V$5</f>
        <v>2035</v>
      </c>
      <c r="W470" s="372"/>
      <c r="X470" s="372"/>
      <c r="Y470" s="372"/>
    </row>
    <row r="471" spans="1:25" ht="12.45" x14ac:dyDescent="0.3">
      <c r="A471" s="264"/>
      <c r="B471" s="268" t="str">
        <f>$B$6</f>
        <v>FT</v>
      </c>
      <c r="C471" s="268" t="str">
        <f>$C$6</f>
        <v>PT</v>
      </c>
      <c r="D471" s="268" t="str">
        <f>$D$6</f>
        <v>SE</v>
      </c>
      <c r="E471" s="268" t="str">
        <f>$E$6</f>
        <v>Total</v>
      </c>
      <c r="F471" s="268"/>
      <c r="G471" s="268" t="str">
        <f>$B$6</f>
        <v>FT</v>
      </c>
      <c r="H471" s="268" t="str">
        <f>$C$6</f>
        <v>PT</v>
      </c>
      <c r="I471" s="268" t="str">
        <f>$D$6</f>
        <v>SE</v>
      </c>
      <c r="J471" s="268" t="str">
        <f>$E$6</f>
        <v>Total</v>
      </c>
      <c r="K471" s="268"/>
      <c r="L471" s="268" t="str">
        <f>$L$6</f>
        <v>FT</v>
      </c>
      <c r="M471" s="268" t="str">
        <f>$M$6</f>
        <v>PT</v>
      </c>
      <c r="N471" s="268" t="str">
        <f>$N$6</f>
        <v>SE</v>
      </c>
      <c r="O471" s="268" t="str">
        <f>$O$6</f>
        <v>Total</v>
      </c>
      <c r="P471" s="268"/>
      <c r="Q471" s="268" t="str">
        <f>$L$6</f>
        <v>FT</v>
      </c>
      <c r="R471" s="268" t="str">
        <f>$M$6</f>
        <v>PT</v>
      </c>
      <c r="S471" s="268" t="str">
        <f>$N$6</f>
        <v>SE</v>
      </c>
      <c r="T471" s="268" t="str">
        <f>$O$6</f>
        <v>Total</v>
      </c>
      <c r="U471" s="268"/>
      <c r="V471" s="268" t="str">
        <f>$V$6</f>
        <v>FT</v>
      </c>
      <c r="W471" s="268" t="str">
        <f>$W$6</f>
        <v>PT</v>
      </c>
      <c r="X471" s="268" t="str">
        <f>$X$6</f>
        <v>SE</v>
      </c>
      <c r="Y471" s="268" t="str">
        <f>$Y$6</f>
        <v>Total</v>
      </c>
    </row>
    <row r="472" spans="1:25" x14ac:dyDescent="0.35">
      <c r="A472" s="262"/>
      <c r="C472" s="319"/>
      <c r="D472" s="319"/>
      <c r="E472" s="319"/>
      <c r="F472" s="319"/>
      <c r="G472" s="319"/>
      <c r="H472" s="319"/>
      <c r="I472" s="319"/>
      <c r="J472" s="319"/>
      <c r="K472" s="319"/>
      <c r="L472" s="319"/>
      <c r="M472" s="319"/>
      <c r="N472" s="319"/>
      <c r="O472" s="319"/>
      <c r="P472" s="319"/>
      <c r="Q472" s="319"/>
      <c r="R472" s="319"/>
      <c r="S472" s="319"/>
      <c r="T472" s="319"/>
      <c r="U472" s="319"/>
      <c r="V472" s="319"/>
      <c r="W472" s="319"/>
      <c r="X472" s="319"/>
      <c r="Y472" s="319"/>
    </row>
    <row r="473" spans="1:25" ht="12.45" x14ac:dyDescent="0.3">
      <c r="A473" s="261" t="str">
        <f>name!A67</f>
        <v>Public administration and defence</v>
      </c>
      <c r="C473" s="263"/>
    </row>
    <row r="474" spans="1:25" ht="12.45" x14ac:dyDescent="0.3">
      <c r="A474" s="260" t="s">
        <v>356</v>
      </c>
      <c r="B474" s="300">
        <v>395.20699999704402</v>
      </c>
      <c r="C474" s="300">
        <v>337.17599999760324</v>
      </c>
      <c r="D474" s="300">
        <v>18.566999999774978</v>
      </c>
      <c r="E474" s="300">
        <f>SUM(B474:D474)</f>
        <v>750.94999999442223</v>
      </c>
      <c r="F474" s="300"/>
      <c r="G474" s="300">
        <v>419.21899999836256</v>
      </c>
      <c r="H474" s="300">
        <v>324.16899999903865</v>
      </c>
      <c r="I474" s="300">
        <v>19.990999999874141</v>
      </c>
      <c r="J474" s="300">
        <f>SUM(G474:I474)</f>
        <v>763.3789999972754</v>
      </c>
      <c r="K474" s="300"/>
      <c r="L474" s="300">
        <v>433.24699999920352</v>
      </c>
      <c r="M474" s="300">
        <v>328.18799999848301</v>
      </c>
      <c r="N474" s="300">
        <v>28.547000000207905</v>
      </c>
      <c r="O474" s="300">
        <f>SUM(L474:N474)</f>
        <v>789.98199999789449</v>
      </c>
      <c r="P474" s="300"/>
      <c r="Q474" s="300">
        <v>442.35300000118815</v>
      </c>
      <c r="R474" s="300">
        <v>335.65299999885383</v>
      </c>
      <c r="S474" s="300">
        <v>29.235000000041296</v>
      </c>
      <c r="T474" s="300">
        <f>SUM(Q474:S474)</f>
        <v>807.2410000000832</v>
      </c>
      <c r="U474" s="300"/>
      <c r="V474" s="300">
        <v>454.12000000266846</v>
      </c>
      <c r="W474" s="300">
        <v>345.7300000005601</v>
      </c>
      <c r="X474" s="300">
        <v>30.187000000079276</v>
      </c>
      <c r="Y474" s="300">
        <f>SUM(V474:X474)</f>
        <v>830.03700000330787</v>
      </c>
    </row>
    <row r="475" spans="1:25" ht="12.45" x14ac:dyDescent="0.3">
      <c r="A475" s="260" t="s">
        <v>355</v>
      </c>
      <c r="B475" s="300">
        <v>489.58799999621039</v>
      </c>
      <c r="C475" s="300">
        <v>65.944999999541309</v>
      </c>
      <c r="D475" s="300">
        <v>24.431000000121248</v>
      </c>
      <c r="E475" s="300">
        <f t="shared" ref="E475:E476" si="1262">SUM(B475:D475)</f>
        <v>579.96399999587288</v>
      </c>
      <c r="F475" s="300"/>
      <c r="G475" s="300">
        <v>510.4669999969276</v>
      </c>
      <c r="H475" s="300">
        <v>65.060999999644721</v>
      </c>
      <c r="I475" s="300">
        <v>19.991999999880537</v>
      </c>
      <c r="J475" s="300">
        <f t="shared" ref="J475:J476" si="1263">SUM(G475:I475)</f>
        <v>595.51999999645295</v>
      </c>
      <c r="K475" s="300"/>
      <c r="L475" s="300">
        <v>522.61299999924722</v>
      </c>
      <c r="M475" s="300">
        <v>66.949999999686355</v>
      </c>
      <c r="N475" s="300">
        <v>23.450000000280411</v>
      </c>
      <c r="O475" s="300">
        <f t="shared" ref="O475:O476" si="1264">SUM(L475:N475)</f>
        <v>613.012999999214</v>
      </c>
      <c r="P475" s="300"/>
      <c r="Q475" s="300">
        <v>522.66199999929881</v>
      </c>
      <c r="R475" s="300">
        <v>72.205000000180021</v>
      </c>
      <c r="S475" s="300">
        <v>24.03800000104842</v>
      </c>
      <c r="T475" s="300">
        <f t="shared" ref="T475:T476" si="1265">SUM(Q475:S475)</f>
        <v>618.90500000052725</v>
      </c>
      <c r="U475" s="300"/>
      <c r="V475" s="300">
        <v>514.41199999807202</v>
      </c>
      <c r="W475" s="300">
        <v>81.92400000009799</v>
      </c>
      <c r="X475" s="300">
        <v>24.876000000734741</v>
      </c>
      <c r="Y475" s="300">
        <f t="shared" ref="Y475:Y476" si="1266">SUM(V475:X475)</f>
        <v>621.21199999890473</v>
      </c>
    </row>
    <row r="476" spans="1:25" ht="12.45" x14ac:dyDescent="0.3">
      <c r="A476" s="264" t="s">
        <v>354</v>
      </c>
      <c r="B476" s="301">
        <f>SUM(B474:B475)</f>
        <v>884.79499999325435</v>
      </c>
      <c r="C476" s="301">
        <f t="shared" ref="C476" si="1267">SUM(C474:C475)</f>
        <v>403.12099999714457</v>
      </c>
      <c r="D476" s="301">
        <f t="shared" ref="D476" si="1268">SUM(D474:D475)</f>
        <v>42.997999999896223</v>
      </c>
      <c r="E476" s="301">
        <f t="shared" si="1262"/>
        <v>1330.913999990295</v>
      </c>
      <c r="F476" s="301"/>
      <c r="G476" s="301">
        <f>SUM(G474:G475)</f>
        <v>929.6859999952901</v>
      </c>
      <c r="H476" s="301">
        <f t="shared" ref="H476" si="1269">SUM(H474:H475)</f>
        <v>389.22999999868335</v>
      </c>
      <c r="I476" s="301">
        <f t="shared" ref="I476" si="1270">SUM(I474:I475)</f>
        <v>39.982999999754682</v>
      </c>
      <c r="J476" s="301">
        <f t="shared" si="1263"/>
        <v>1358.898999993728</v>
      </c>
      <c r="K476" s="301"/>
      <c r="L476" s="301">
        <f>SUM(L474:L475)</f>
        <v>955.8599999984508</v>
      </c>
      <c r="M476" s="301">
        <f t="shared" ref="M476" si="1271">SUM(M474:M475)</f>
        <v>395.13799999816933</v>
      </c>
      <c r="N476" s="301">
        <f t="shared" ref="N476" si="1272">SUM(N474:N475)</f>
        <v>51.997000000488313</v>
      </c>
      <c r="O476" s="301">
        <f t="shared" si="1264"/>
        <v>1402.9949999971084</v>
      </c>
      <c r="P476" s="301"/>
      <c r="Q476" s="301">
        <f>SUM(Q474:Q475)</f>
        <v>965.01500000048691</v>
      </c>
      <c r="R476" s="301">
        <f t="shared" ref="R476" si="1273">SUM(R474:R475)</f>
        <v>407.85799999903384</v>
      </c>
      <c r="S476" s="301">
        <f t="shared" ref="S476" si="1274">SUM(S474:S475)</f>
        <v>53.273000001089713</v>
      </c>
      <c r="T476" s="301">
        <f t="shared" si="1265"/>
        <v>1426.1460000006105</v>
      </c>
      <c r="U476" s="301"/>
      <c r="V476" s="301">
        <f>SUM(V474:V475)</f>
        <v>968.53200000074048</v>
      </c>
      <c r="W476" s="301">
        <f t="shared" ref="W476" si="1275">SUM(W474:W475)</f>
        <v>427.65400000065807</v>
      </c>
      <c r="X476" s="301">
        <f t="shared" ref="X476" si="1276">SUM(X474:X475)</f>
        <v>55.063000000814014</v>
      </c>
      <c r="Y476" s="301">
        <f t="shared" si="1266"/>
        <v>1451.2490000022126</v>
      </c>
    </row>
    <row r="480" spans="1:25" ht="14.15" x14ac:dyDescent="0.35">
      <c r="A480" s="265" t="str">
        <f>"Industry 19 : "&amp; name!B22</f>
        <v>Industry 19 : Education</v>
      </c>
      <c r="B480" s="372">
        <f>$B$5</f>
        <v>2015</v>
      </c>
      <c r="C480" s="372"/>
      <c r="D480" s="372"/>
      <c r="E480" s="372"/>
      <c r="F480" s="320"/>
      <c r="G480" s="372">
        <f>$G$5</f>
        <v>2019</v>
      </c>
      <c r="H480" s="372"/>
      <c r="I480" s="372"/>
      <c r="J480" s="372"/>
      <c r="K480" s="320"/>
      <c r="L480" s="372">
        <f>$L$5</f>
        <v>2020</v>
      </c>
      <c r="M480" s="372"/>
      <c r="N480" s="372"/>
      <c r="O480" s="372"/>
      <c r="P480" s="318"/>
      <c r="Q480" s="372">
        <f>$Q$5</f>
        <v>2025</v>
      </c>
      <c r="R480" s="372"/>
      <c r="S480" s="372"/>
      <c r="T480" s="372"/>
      <c r="U480" s="320"/>
      <c r="V480" s="372">
        <f>$V$5</f>
        <v>2035</v>
      </c>
      <c r="W480" s="372"/>
      <c r="X480" s="372"/>
      <c r="Y480" s="372"/>
    </row>
    <row r="481" spans="1:25" ht="12.45" x14ac:dyDescent="0.3">
      <c r="A481" s="264"/>
      <c r="B481" s="268" t="str">
        <f>$B$6</f>
        <v>FT</v>
      </c>
      <c r="C481" s="268" t="str">
        <f>$C$6</f>
        <v>PT</v>
      </c>
      <c r="D481" s="268" t="str">
        <f>$D$6</f>
        <v>SE</v>
      </c>
      <c r="E481" s="268" t="str">
        <f>$E$6</f>
        <v>Total</v>
      </c>
      <c r="F481" s="268"/>
      <c r="G481" s="268" t="str">
        <f>$B$6</f>
        <v>FT</v>
      </c>
      <c r="H481" s="268" t="str">
        <f>$C$6</f>
        <v>PT</v>
      </c>
      <c r="I481" s="268" t="str">
        <f>$D$6</f>
        <v>SE</v>
      </c>
      <c r="J481" s="268" t="str">
        <f>$E$6</f>
        <v>Total</v>
      </c>
      <c r="K481" s="268"/>
      <c r="L481" s="268" t="str">
        <f>$L$6</f>
        <v>FT</v>
      </c>
      <c r="M481" s="268" t="str">
        <f>$M$6</f>
        <v>PT</v>
      </c>
      <c r="N481" s="268" t="str">
        <f>$N$6</f>
        <v>SE</v>
      </c>
      <c r="O481" s="268" t="str">
        <f>$O$6</f>
        <v>Total</v>
      </c>
      <c r="P481" s="268"/>
      <c r="Q481" s="268" t="str">
        <f>$L$6</f>
        <v>FT</v>
      </c>
      <c r="R481" s="268" t="str">
        <f>$M$6</f>
        <v>PT</v>
      </c>
      <c r="S481" s="268" t="str">
        <f>$N$6</f>
        <v>SE</v>
      </c>
      <c r="T481" s="268" t="str">
        <f>$O$6</f>
        <v>Total</v>
      </c>
      <c r="U481" s="268"/>
      <c r="V481" s="268" t="str">
        <f>$V$6</f>
        <v>FT</v>
      </c>
      <c r="W481" s="268" t="str">
        <f>$W$6</f>
        <v>PT</v>
      </c>
      <c r="X481" s="268" t="str">
        <f>$X$6</f>
        <v>SE</v>
      </c>
      <c r="Y481" s="268" t="str">
        <f>$Y$6</f>
        <v>Total</v>
      </c>
    </row>
    <row r="482" spans="1:25" ht="12.45" x14ac:dyDescent="0.3">
      <c r="C482" s="319"/>
      <c r="D482" s="319"/>
      <c r="E482" s="319"/>
      <c r="F482" s="319"/>
      <c r="G482" s="319"/>
      <c r="H482" s="319"/>
      <c r="I482" s="319"/>
      <c r="J482" s="319"/>
      <c r="K482" s="319"/>
      <c r="L482" s="319"/>
      <c r="M482" s="319"/>
      <c r="N482" s="319"/>
      <c r="O482" s="319"/>
      <c r="P482" s="319"/>
      <c r="Q482" s="319"/>
      <c r="R482" s="319"/>
      <c r="S482" s="319"/>
      <c r="T482" s="319"/>
      <c r="U482" s="319"/>
      <c r="V482" s="319"/>
      <c r="W482" s="319"/>
      <c r="X482" s="319"/>
      <c r="Y482" s="319"/>
    </row>
    <row r="483" spans="1:25" ht="12.45" x14ac:dyDescent="0.3">
      <c r="A483" s="261" t="str">
        <f>name!A68</f>
        <v xml:space="preserve">Education </v>
      </c>
      <c r="C483" s="263"/>
    </row>
    <row r="484" spans="1:25" ht="12.45" x14ac:dyDescent="0.3">
      <c r="A484" s="260" t="s">
        <v>356</v>
      </c>
      <c r="B484" s="300">
        <v>853.62000001962997</v>
      </c>
      <c r="C484" s="300">
        <v>1024.5459999583502</v>
      </c>
      <c r="D484" s="300">
        <v>165.56499999800187</v>
      </c>
      <c r="E484" s="300">
        <f>SUM(B484:D484)</f>
        <v>2043.7309999759821</v>
      </c>
      <c r="F484" s="300"/>
      <c r="G484" s="300">
        <v>856.48900004252914</v>
      </c>
      <c r="H484" s="300">
        <v>1035.3849999585943</v>
      </c>
      <c r="I484" s="300">
        <v>164.92999999836795</v>
      </c>
      <c r="J484" s="300">
        <f>SUM(G484:I484)</f>
        <v>2056.8039999994912</v>
      </c>
      <c r="K484" s="300"/>
      <c r="L484" s="300">
        <v>860.9990000355067</v>
      </c>
      <c r="M484" s="300">
        <v>1020.9999999544234</v>
      </c>
      <c r="N484" s="300">
        <v>190.99999999856672</v>
      </c>
      <c r="O484" s="300">
        <f>SUM(L484:N484)</f>
        <v>2072.998999988497</v>
      </c>
      <c r="P484" s="300"/>
      <c r="Q484" s="300">
        <v>894.81699989317099</v>
      </c>
      <c r="R484" s="300">
        <v>1014.6829999125702</v>
      </c>
      <c r="S484" s="300">
        <v>193.69899999974521</v>
      </c>
      <c r="T484" s="300">
        <f>SUM(Q484:S484)</f>
        <v>2103.1989998054864</v>
      </c>
      <c r="U484" s="300"/>
      <c r="V484" s="300">
        <v>971.32000002526718</v>
      </c>
      <c r="W484" s="300">
        <v>1007.743000009599</v>
      </c>
      <c r="X484" s="300">
        <v>200.56400000155148</v>
      </c>
      <c r="Y484" s="300">
        <f>SUM(V484:X484)</f>
        <v>2179.6270000364175</v>
      </c>
    </row>
    <row r="485" spans="1:25" ht="12.45" x14ac:dyDescent="0.3">
      <c r="A485" s="260" t="s">
        <v>355</v>
      </c>
      <c r="B485" s="300">
        <v>577.4780000172841</v>
      </c>
      <c r="C485" s="300">
        <v>208.17199998681124</v>
      </c>
      <c r="D485" s="300">
        <v>126.43200000199404</v>
      </c>
      <c r="E485" s="300">
        <f t="shared" ref="E485" si="1277">SUM(B485:D485)</f>
        <v>912.0820000060894</v>
      </c>
      <c r="F485" s="300"/>
      <c r="G485" s="300">
        <v>555.96500001223626</v>
      </c>
      <c r="H485" s="300">
        <v>213.98499998593184</v>
      </c>
      <c r="I485" s="300">
        <v>118.94899999570131</v>
      </c>
      <c r="J485" s="300">
        <f t="shared" ref="J485:J486" si="1278">SUM(G485:I485)</f>
        <v>888.89899999386944</v>
      </c>
      <c r="K485" s="300"/>
      <c r="L485" s="300">
        <v>551.00000002090155</v>
      </c>
      <c r="M485" s="300">
        <v>209.99900000673259</v>
      </c>
      <c r="N485" s="300">
        <v>122.00100000341175</v>
      </c>
      <c r="O485" s="300">
        <f t="shared" ref="O485:O486" si="1279">SUM(L485:N485)</f>
        <v>883.00000003104583</v>
      </c>
      <c r="P485" s="300"/>
      <c r="Q485" s="300">
        <v>552.39799998534772</v>
      </c>
      <c r="R485" s="300">
        <v>215.44599999881024</v>
      </c>
      <c r="S485" s="300">
        <v>125.53500000989601</v>
      </c>
      <c r="T485" s="300">
        <f t="shared" ref="T485:T486" si="1280">SUM(Q485:S485)</f>
        <v>893.37899999405408</v>
      </c>
      <c r="U485" s="300"/>
      <c r="V485" s="300">
        <v>558.77699999317997</v>
      </c>
      <c r="W485" s="300">
        <v>228.2139999962308</v>
      </c>
      <c r="X485" s="300">
        <v>133.73200000797581</v>
      </c>
      <c r="Y485" s="300">
        <f t="shared" ref="Y485:Y486" si="1281">SUM(V485:X485)</f>
        <v>920.72299999738652</v>
      </c>
    </row>
    <row r="486" spans="1:25" ht="12.45" x14ac:dyDescent="0.3">
      <c r="A486" s="264" t="s">
        <v>354</v>
      </c>
      <c r="B486" s="301">
        <f>SUM(B484:B485)</f>
        <v>1431.0980000369141</v>
      </c>
      <c r="C486" s="301">
        <f t="shared" ref="C486" si="1282">SUM(C484:C485)</f>
        <v>1232.7179999451614</v>
      </c>
      <c r="D486" s="301">
        <f t="shared" ref="D486" si="1283">SUM(D484:D485)</f>
        <v>291.99699999999592</v>
      </c>
      <c r="E486" s="301">
        <f>SUM(B486:D486)</f>
        <v>2955.8129999820712</v>
      </c>
      <c r="F486" s="301"/>
      <c r="G486" s="301">
        <f>SUM(G484:G485)</f>
        <v>1412.4540000547654</v>
      </c>
      <c r="H486" s="301">
        <f t="shared" ref="H486" si="1284">SUM(H484:H485)</f>
        <v>1249.3699999445262</v>
      </c>
      <c r="I486" s="301">
        <f t="shared" ref="I486" si="1285">SUM(I484:I485)</f>
        <v>283.87899999406926</v>
      </c>
      <c r="J486" s="301">
        <f t="shared" si="1278"/>
        <v>2945.7029999933607</v>
      </c>
      <c r="K486" s="301"/>
      <c r="L486" s="301">
        <f>SUM(L484:L485)</f>
        <v>1411.9990000564082</v>
      </c>
      <c r="M486" s="301">
        <f t="shared" ref="M486" si="1286">SUM(M484:M485)</f>
        <v>1230.998999961156</v>
      </c>
      <c r="N486" s="301">
        <f t="shared" ref="N486" si="1287">SUM(N484:N485)</f>
        <v>313.00100000197847</v>
      </c>
      <c r="O486" s="301">
        <f t="shared" si="1279"/>
        <v>2955.9990000195426</v>
      </c>
      <c r="P486" s="301"/>
      <c r="Q486" s="301">
        <f>SUM(Q484:Q485)</f>
        <v>1447.2149998785187</v>
      </c>
      <c r="R486" s="301">
        <f t="shared" ref="R486" si="1288">SUM(R484:R485)</f>
        <v>1230.1289999113803</v>
      </c>
      <c r="S486" s="301">
        <f t="shared" ref="S486" si="1289">SUM(S484:S485)</f>
        <v>319.23400000964125</v>
      </c>
      <c r="T486" s="301">
        <f t="shared" si="1280"/>
        <v>2996.5779997995405</v>
      </c>
      <c r="U486" s="301"/>
      <c r="V486" s="301">
        <f>SUM(V484:V485)</f>
        <v>1530.097000018447</v>
      </c>
      <c r="W486" s="301">
        <f t="shared" ref="W486" si="1290">SUM(W484:W485)</f>
        <v>1235.9570000058297</v>
      </c>
      <c r="X486" s="301">
        <f t="shared" ref="X486" si="1291">SUM(X484:X485)</f>
        <v>334.29600000952729</v>
      </c>
      <c r="Y486" s="301">
        <f t="shared" si="1281"/>
        <v>3100.350000033804</v>
      </c>
    </row>
    <row r="490" spans="1:25" ht="14.15" x14ac:dyDescent="0.35">
      <c r="A490" s="265" t="str">
        <f>"Industry 20 : "&amp; name!B23</f>
        <v>Industry 20 : Health and social work</v>
      </c>
      <c r="B490" s="372">
        <f>$B$5</f>
        <v>2015</v>
      </c>
      <c r="C490" s="372"/>
      <c r="D490" s="372"/>
      <c r="E490" s="372"/>
      <c r="F490" s="320"/>
      <c r="G490" s="372">
        <f>$G$5</f>
        <v>2019</v>
      </c>
      <c r="H490" s="372"/>
      <c r="I490" s="372"/>
      <c r="J490" s="372"/>
      <c r="K490" s="320"/>
      <c r="L490" s="372">
        <f>$L$5</f>
        <v>2020</v>
      </c>
      <c r="M490" s="372"/>
      <c r="N490" s="372"/>
      <c r="O490" s="372"/>
      <c r="P490" s="318"/>
      <c r="Q490" s="372">
        <f>$Q$5</f>
        <v>2025</v>
      </c>
      <c r="R490" s="372"/>
      <c r="S490" s="372"/>
      <c r="T490" s="372"/>
      <c r="U490" s="320"/>
      <c r="V490" s="372">
        <f>$V$5</f>
        <v>2035</v>
      </c>
      <c r="W490" s="372"/>
      <c r="X490" s="372"/>
      <c r="Y490" s="372"/>
    </row>
    <row r="491" spans="1:25" ht="12.45" x14ac:dyDescent="0.3">
      <c r="A491" s="264"/>
      <c r="B491" s="268" t="str">
        <f>$B$6</f>
        <v>FT</v>
      </c>
      <c r="C491" s="268" t="str">
        <f>$C$6</f>
        <v>PT</v>
      </c>
      <c r="D491" s="268" t="str">
        <f>$D$6</f>
        <v>SE</v>
      </c>
      <c r="E491" s="268" t="str">
        <f>$E$6</f>
        <v>Total</v>
      </c>
      <c r="F491" s="268"/>
      <c r="G491" s="268" t="str">
        <f>$B$6</f>
        <v>FT</v>
      </c>
      <c r="H491" s="268" t="str">
        <f>$C$6</f>
        <v>PT</v>
      </c>
      <c r="I491" s="268" t="str">
        <f>$D$6</f>
        <v>SE</v>
      </c>
      <c r="J491" s="268" t="str">
        <f>$E$6</f>
        <v>Total</v>
      </c>
      <c r="K491" s="268"/>
      <c r="L491" s="268" t="str">
        <f>$L$6</f>
        <v>FT</v>
      </c>
      <c r="M491" s="268" t="str">
        <f>$M$6</f>
        <v>PT</v>
      </c>
      <c r="N491" s="268" t="str">
        <f>$N$6</f>
        <v>SE</v>
      </c>
      <c r="O491" s="268" t="str">
        <f>$O$6</f>
        <v>Total</v>
      </c>
      <c r="P491" s="268"/>
      <c r="Q491" s="268" t="str">
        <f>$L$6</f>
        <v>FT</v>
      </c>
      <c r="R491" s="268" t="str">
        <f>$M$6</f>
        <v>PT</v>
      </c>
      <c r="S491" s="268" t="str">
        <f>$N$6</f>
        <v>SE</v>
      </c>
      <c r="T491" s="268" t="str">
        <f>$O$6</f>
        <v>Total</v>
      </c>
      <c r="U491" s="268"/>
      <c r="V491" s="268" t="str">
        <f>$V$6</f>
        <v>FT</v>
      </c>
      <c r="W491" s="268" t="str">
        <f>$W$6</f>
        <v>PT</v>
      </c>
      <c r="X491" s="268" t="str">
        <f>$X$6</f>
        <v>SE</v>
      </c>
      <c r="Y491" s="268" t="str">
        <f>$Y$6</f>
        <v>Total</v>
      </c>
    </row>
    <row r="492" spans="1:25" ht="12.45" x14ac:dyDescent="0.3">
      <c r="C492" s="319"/>
      <c r="D492" s="319"/>
      <c r="E492" s="319"/>
      <c r="F492" s="319"/>
      <c r="G492" s="319"/>
      <c r="H492" s="319"/>
      <c r="I492" s="319"/>
      <c r="J492" s="319"/>
      <c r="K492" s="319"/>
      <c r="L492" s="319"/>
      <c r="M492" s="319"/>
      <c r="N492" s="319"/>
      <c r="O492" s="319"/>
      <c r="P492" s="319"/>
      <c r="Q492" s="319"/>
      <c r="R492" s="319"/>
      <c r="S492" s="319"/>
      <c r="T492" s="319"/>
      <c r="U492" s="319"/>
      <c r="V492" s="319"/>
      <c r="W492" s="319"/>
      <c r="X492" s="319"/>
      <c r="Y492" s="319"/>
    </row>
    <row r="493" spans="1:25" ht="12.45" x14ac:dyDescent="0.3">
      <c r="A493" s="261" t="str">
        <f>name!A69</f>
        <v>Health</v>
      </c>
      <c r="C493" s="263"/>
    </row>
    <row r="494" spans="1:25" ht="12.45" x14ac:dyDescent="0.3">
      <c r="A494" s="260" t="s">
        <v>356</v>
      </c>
      <c r="B494" s="300">
        <v>910.17199999492334</v>
      </c>
      <c r="C494" s="300">
        <v>812.15399998506871</v>
      </c>
      <c r="D494" s="300">
        <v>116.62599999070837</v>
      </c>
      <c r="E494" s="300">
        <f>SUM(B494:D494)</f>
        <v>1838.9519999707004</v>
      </c>
      <c r="F494" s="300"/>
      <c r="G494" s="300">
        <v>981.4019999988916</v>
      </c>
      <c r="H494" s="300">
        <v>861.47599998924511</v>
      </c>
      <c r="I494" s="300">
        <v>136.30299999015918</v>
      </c>
      <c r="J494" s="300">
        <f>SUM(G494:I494)</f>
        <v>1979.1809999782959</v>
      </c>
      <c r="K494" s="300"/>
      <c r="L494" s="300">
        <v>1025.5809999980347</v>
      </c>
      <c r="M494" s="300">
        <v>889.63699998539016</v>
      </c>
      <c r="N494" s="300">
        <v>125.23600000937488</v>
      </c>
      <c r="O494" s="300">
        <f>SUM(L494:N494)</f>
        <v>2040.4539999927997</v>
      </c>
      <c r="P494" s="300"/>
      <c r="Q494" s="300">
        <v>1099.5669999961085</v>
      </c>
      <c r="R494" s="300">
        <v>930.56199997239207</v>
      </c>
      <c r="S494" s="300">
        <v>142.87500000031787</v>
      </c>
      <c r="T494" s="300">
        <f>SUM(Q494:S494)</f>
        <v>2173.0039999688183</v>
      </c>
      <c r="U494" s="300"/>
      <c r="V494" s="300">
        <v>1192.1019999981518</v>
      </c>
      <c r="W494" s="300">
        <v>959.49299999609104</v>
      </c>
      <c r="X494" s="300">
        <v>173.17499999980527</v>
      </c>
      <c r="Y494" s="300">
        <f>SUM(V494:X494)</f>
        <v>2324.7699999940478</v>
      </c>
    </row>
    <row r="495" spans="1:25" ht="12.45" x14ac:dyDescent="0.3">
      <c r="A495" s="260" t="s">
        <v>355</v>
      </c>
      <c r="B495" s="300">
        <v>377.26899999584566</v>
      </c>
      <c r="C495" s="300">
        <v>92.820999999538671</v>
      </c>
      <c r="D495" s="300">
        <v>69.373000002597038</v>
      </c>
      <c r="E495" s="300">
        <f t="shared" ref="E495:E496" si="1292">SUM(B495:D495)</f>
        <v>539.46299999798134</v>
      </c>
      <c r="F495" s="300"/>
      <c r="G495" s="300">
        <v>415.97399999728776</v>
      </c>
      <c r="H495" s="300">
        <v>103.99299999957367</v>
      </c>
      <c r="I495" s="300">
        <v>70.156999999798117</v>
      </c>
      <c r="J495" s="300">
        <f t="shared" ref="J495:J496" si="1293">SUM(G495:I495)</f>
        <v>590.12399999665956</v>
      </c>
      <c r="K495" s="300"/>
      <c r="L495" s="300">
        <v>424.61599999904706</v>
      </c>
      <c r="M495" s="300">
        <v>113.16400000030933</v>
      </c>
      <c r="N495" s="300">
        <v>83.156000003387376</v>
      </c>
      <c r="O495" s="300">
        <f t="shared" ref="O495:O496" si="1294">SUM(L495:N495)</f>
        <v>620.93600000274375</v>
      </c>
      <c r="P495" s="300"/>
      <c r="Q495" s="300">
        <v>452.17699999792251</v>
      </c>
      <c r="R495" s="300">
        <v>124.52000000001078</v>
      </c>
      <c r="S495" s="300">
        <v>83.897000008503738</v>
      </c>
      <c r="T495" s="300">
        <f t="shared" ref="T495:T496" si="1295">SUM(Q495:S495)</f>
        <v>660.594000006437</v>
      </c>
      <c r="U495" s="300"/>
      <c r="V495" s="300">
        <v>483.71199999731493</v>
      </c>
      <c r="W495" s="300">
        <v>141.78500000007878</v>
      </c>
      <c r="X495" s="300">
        <v>79.791000005259036</v>
      </c>
      <c r="Y495" s="300">
        <f t="shared" ref="Y495:Y496" si="1296">SUM(V495:X495)</f>
        <v>705.28800000265278</v>
      </c>
    </row>
    <row r="496" spans="1:25" ht="12.45" x14ac:dyDescent="0.3">
      <c r="A496" s="260" t="s">
        <v>354</v>
      </c>
      <c r="B496" s="300">
        <f>SUM(B494:B495)</f>
        <v>1287.4409999907689</v>
      </c>
      <c r="C496" s="300">
        <f t="shared" ref="C496" si="1297">SUM(C494:C495)</f>
        <v>904.97499998460739</v>
      </c>
      <c r="D496" s="300">
        <f t="shared" ref="D496" si="1298">SUM(D494:D495)</f>
        <v>185.9989999933054</v>
      </c>
      <c r="E496" s="300">
        <f t="shared" si="1292"/>
        <v>2378.414999968682</v>
      </c>
      <c r="F496" s="300"/>
      <c r="G496" s="300">
        <f>SUM(G494:G495)</f>
        <v>1397.3759999961794</v>
      </c>
      <c r="H496" s="300">
        <f t="shared" ref="H496" si="1299">SUM(H494:H495)</f>
        <v>965.46899998881872</v>
      </c>
      <c r="I496" s="300">
        <f t="shared" ref="I496" si="1300">SUM(I494:I495)</f>
        <v>206.45999998995728</v>
      </c>
      <c r="J496" s="300">
        <f t="shared" si="1293"/>
        <v>2569.3049999749555</v>
      </c>
      <c r="K496" s="300"/>
      <c r="L496" s="300">
        <f>SUM(L494:L495)</f>
        <v>1450.1969999970818</v>
      </c>
      <c r="M496" s="300">
        <f t="shared" ref="M496" si="1301">SUM(M494:M495)</f>
        <v>1002.8009999856995</v>
      </c>
      <c r="N496" s="300">
        <f t="shared" ref="N496" si="1302">SUM(N494:N495)</f>
        <v>208.39200001276225</v>
      </c>
      <c r="O496" s="300">
        <f t="shared" si="1294"/>
        <v>2661.3899999955433</v>
      </c>
      <c r="P496" s="300"/>
      <c r="Q496" s="300">
        <f>SUM(Q494:Q495)</f>
        <v>1551.7439999940311</v>
      </c>
      <c r="R496" s="300">
        <f t="shared" ref="R496" si="1303">SUM(R494:R495)</f>
        <v>1055.0819999724029</v>
      </c>
      <c r="S496" s="300">
        <f t="shared" ref="S496" si="1304">SUM(S494:S495)</f>
        <v>226.77200000882161</v>
      </c>
      <c r="T496" s="300">
        <f t="shared" si="1295"/>
        <v>2833.5979999752558</v>
      </c>
      <c r="U496" s="300"/>
      <c r="V496" s="300">
        <f>SUM(V494:V495)</f>
        <v>1675.8139999954667</v>
      </c>
      <c r="W496" s="300">
        <f t="shared" ref="W496" si="1305">SUM(W494:W495)</f>
        <v>1101.2779999961699</v>
      </c>
      <c r="X496" s="300">
        <f t="shared" ref="X496" si="1306">SUM(X494:X495)</f>
        <v>252.9660000050643</v>
      </c>
      <c r="Y496" s="300">
        <f t="shared" si="1296"/>
        <v>3030.0579999967013</v>
      </c>
    </row>
    <row r="497" spans="1:25" ht="12.45" x14ac:dyDescent="0.3">
      <c r="C497" s="319"/>
      <c r="D497" s="319"/>
      <c r="E497" s="319"/>
      <c r="F497" s="319"/>
      <c r="G497" s="319"/>
      <c r="H497" s="319"/>
      <c r="I497" s="319"/>
      <c r="J497" s="319"/>
      <c r="K497" s="319"/>
      <c r="L497" s="319"/>
      <c r="M497" s="319"/>
      <c r="N497" s="319"/>
      <c r="O497" s="319"/>
      <c r="P497" s="319"/>
      <c r="Q497" s="319"/>
      <c r="R497" s="319"/>
      <c r="S497" s="319"/>
      <c r="T497" s="319"/>
      <c r="U497" s="319"/>
      <c r="V497" s="319"/>
      <c r="W497" s="319"/>
      <c r="X497" s="319"/>
      <c r="Y497" s="319"/>
    </row>
    <row r="498" spans="1:25" ht="12.45" x14ac:dyDescent="0.3">
      <c r="A498" s="261" t="str">
        <f>name!A70</f>
        <v>Residential care</v>
      </c>
      <c r="C498" s="263"/>
    </row>
    <row r="499" spans="1:25" ht="12.45" x14ac:dyDescent="0.3">
      <c r="A499" s="260" t="s">
        <v>356</v>
      </c>
      <c r="B499" s="300">
        <v>302.29399999830633</v>
      </c>
      <c r="C499" s="300">
        <v>275.56699999494685</v>
      </c>
      <c r="D499" s="300">
        <v>53.921999995714614</v>
      </c>
      <c r="E499" s="300">
        <f>SUM(B499:D499)</f>
        <v>631.78299998896784</v>
      </c>
      <c r="F499" s="300"/>
      <c r="G499" s="300">
        <v>325.5079999995487</v>
      </c>
      <c r="H499" s="300">
        <v>260.86899999678769</v>
      </c>
      <c r="I499" s="300">
        <v>65.498999995309688</v>
      </c>
      <c r="J499" s="300">
        <f>SUM(G499:I499)</f>
        <v>651.87599999164604</v>
      </c>
      <c r="K499" s="300"/>
      <c r="L499" s="300">
        <v>312.81699999936916</v>
      </c>
      <c r="M499" s="300">
        <v>244.5939999960037</v>
      </c>
      <c r="N499" s="300">
        <v>50.827000003794524</v>
      </c>
      <c r="O499" s="300">
        <f>SUM(L499:N499)</f>
        <v>608.23799999916741</v>
      </c>
      <c r="P499" s="300"/>
      <c r="Q499" s="300">
        <v>352.77799999872491</v>
      </c>
      <c r="R499" s="300">
        <v>249.27399999262337</v>
      </c>
      <c r="S499" s="300">
        <v>56.294000000130652</v>
      </c>
      <c r="T499" s="300">
        <f>SUM(Q499:S499)</f>
        <v>658.34599999147895</v>
      </c>
      <c r="U499" s="300"/>
      <c r="V499" s="300">
        <v>417.42399999939192</v>
      </c>
      <c r="W499" s="300">
        <v>238.58299999894737</v>
      </c>
      <c r="X499" s="300">
        <v>61.796999999952526</v>
      </c>
      <c r="Y499" s="300">
        <f>SUM(V499:X499)</f>
        <v>717.80399999829183</v>
      </c>
    </row>
    <row r="500" spans="1:25" ht="12.45" x14ac:dyDescent="0.3">
      <c r="A500" s="260" t="s">
        <v>355</v>
      </c>
      <c r="B500" s="300">
        <v>111.28799999882422</v>
      </c>
      <c r="C500" s="300">
        <v>50.741999999751222</v>
      </c>
      <c r="D500" s="300">
        <v>10.90600000041367</v>
      </c>
      <c r="E500" s="300">
        <f t="shared" ref="E500:E501" si="1307">SUM(B500:D500)</f>
        <v>172.93599999898913</v>
      </c>
      <c r="F500" s="300"/>
      <c r="G500" s="300">
        <v>97.398999999353151</v>
      </c>
      <c r="H500" s="300">
        <v>39.955999999836564</v>
      </c>
      <c r="I500" s="300">
        <v>10.384999999970137</v>
      </c>
      <c r="J500" s="300">
        <f t="shared" ref="J500:J501" si="1308">SUM(G500:I500)</f>
        <v>147.73999999915986</v>
      </c>
      <c r="K500" s="300"/>
      <c r="L500" s="300">
        <v>101.77299999956628</v>
      </c>
      <c r="M500" s="300">
        <v>45.952000000130752</v>
      </c>
      <c r="N500" s="300">
        <v>8.9280000003134301</v>
      </c>
      <c r="O500" s="300">
        <f t="shared" ref="O500:O501" si="1309">SUM(L500:N500)</f>
        <v>156.65300000001048</v>
      </c>
      <c r="P500" s="300"/>
      <c r="Q500" s="300">
        <v>109.71599999927057</v>
      </c>
      <c r="R500" s="300">
        <v>49.540000000016498</v>
      </c>
      <c r="S500" s="300">
        <v>9.5770000008727365</v>
      </c>
      <c r="T500" s="300">
        <f t="shared" ref="T500:T501" si="1310">SUM(Q500:S500)</f>
        <v>168.83300000015981</v>
      </c>
      <c r="U500" s="300"/>
      <c r="V500" s="300">
        <v>119.75399999902984</v>
      </c>
      <c r="W500" s="300">
        <v>53.507000000034076</v>
      </c>
      <c r="X500" s="300">
        <v>10.189000000546637</v>
      </c>
      <c r="Y500" s="300">
        <f t="shared" ref="Y500:Y501" si="1311">SUM(V500:X500)</f>
        <v>183.44999999961055</v>
      </c>
    </row>
    <row r="501" spans="1:25" ht="12.45" x14ac:dyDescent="0.3">
      <c r="A501" s="260" t="s">
        <v>354</v>
      </c>
      <c r="B501" s="300">
        <f>SUM(B499:B500)</f>
        <v>413.58199999713054</v>
      </c>
      <c r="C501" s="300">
        <f t="shared" ref="C501" si="1312">SUM(C499:C500)</f>
        <v>326.30899999469807</v>
      </c>
      <c r="D501" s="300">
        <f t="shared" ref="D501" si="1313">SUM(D499:D500)</f>
        <v>64.827999996128284</v>
      </c>
      <c r="E501" s="300">
        <f t="shared" si="1307"/>
        <v>804.71899998795686</v>
      </c>
      <c r="F501" s="300"/>
      <c r="G501" s="300">
        <f>SUM(G499:G500)</f>
        <v>422.90699999890182</v>
      </c>
      <c r="H501" s="300">
        <f t="shared" ref="H501" si="1314">SUM(H499:H500)</f>
        <v>300.82499999662423</v>
      </c>
      <c r="I501" s="300">
        <f t="shared" ref="I501" si="1315">SUM(I499:I500)</f>
        <v>75.883999995279822</v>
      </c>
      <c r="J501" s="300">
        <f t="shared" si="1308"/>
        <v>799.6159999908059</v>
      </c>
      <c r="K501" s="300"/>
      <c r="L501" s="300">
        <f>SUM(L499:L500)</f>
        <v>414.58999999893547</v>
      </c>
      <c r="M501" s="300">
        <f t="shared" ref="M501" si="1316">SUM(M499:M500)</f>
        <v>290.54599999613447</v>
      </c>
      <c r="N501" s="300">
        <f t="shared" ref="N501" si="1317">SUM(N499:N500)</f>
        <v>59.755000004107956</v>
      </c>
      <c r="O501" s="300">
        <f t="shared" si="1309"/>
        <v>764.89099999917789</v>
      </c>
      <c r="P501" s="300"/>
      <c r="Q501" s="300">
        <f>SUM(Q499:Q500)</f>
        <v>462.4939999979955</v>
      </c>
      <c r="R501" s="300">
        <f t="shared" ref="R501" si="1318">SUM(R499:R500)</f>
        <v>298.81399999263988</v>
      </c>
      <c r="S501" s="300">
        <f t="shared" ref="S501" si="1319">SUM(S499:S500)</f>
        <v>65.871000001003381</v>
      </c>
      <c r="T501" s="300">
        <f t="shared" si="1310"/>
        <v>827.17899999163876</v>
      </c>
      <c r="U501" s="300"/>
      <c r="V501" s="300">
        <f>SUM(V499:V500)</f>
        <v>537.1779999984218</v>
      </c>
      <c r="W501" s="300">
        <f t="shared" ref="W501" si="1320">SUM(W499:W500)</f>
        <v>292.08999999898145</v>
      </c>
      <c r="X501" s="300">
        <f t="shared" ref="X501" si="1321">SUM(X499:X500)</f>
        <v>71.98600000049916</v>
      </c>
      <c r="Y501" s="300">
        <f t="shared" si="1311"/>
        <v>901.25399999790238</v>
      </c>
    </row>
    <row r="502" spans="1:25" ht="12.45" x14ac:dyDescent="0.3">
      <c r="C502" s="319"/>
      <c r="D502" s="319"/>
      <c r="E502" s="319"/>
      <c r="F502" s="319"/>
      <c r="G502" s="319"/>
      <c r="H502" s="319"/>
      <c r="I502" s="319"/>
      <c r="J502" s="319"/>
      <c r="K502" s="319"/>
      <c r="L502" s="319"/>
      <c r="M502" s="319"/>
      <c r="N502" s="319"/>
      <c r="O502" s="319"/>
      <c r="P502" s="319"/>
      <c r="Q502" s="319"/>
      <c r="R502" s="319"/>
      <c r="S502" s="319"/>
      <c r="T502" s="319"/>
      <c r="U502" s="319"/>
      <c r="V502" s="319"/>
      <c r="W502" s="319"/>
      <c r="X502" s="319"/>
      <c r="Y502" s="319"/>
    </row>
    <row r="503" spans="1:25" ht="12.45" x14ac:dyDescent="0.3">
      <c r="A503" s="261" t="str">
        <f>name!A71</f>
        <v>Social work</v>
      </c>
      <c r="C503" s="263"/>
    </row>
    <row r="504" spans="1:25" ht="12.45" x14ac:dyDescent="0.3">
      <c r="A504" s="260" t="s">
        <v>356</v>
      </c>
      <c r="B504" s="300">
        <v>364.83099999795712</v>
      </c>
      <c r="C504" s="300">
        <v>398.56099999263569</v>
      </c>
      <c r="D504" s="300">
        <v>65.076999994804709</v>
      </c>
      <c r="E504" s="300">
        <f>SUM(B504:D504)</f>
        <v>828.46899998539755</v>
      </c>
      <c r="F504" s="300"/>
      <c r="G504" s="300">
        <v>373.44499999962352</v>
      </c>
      <c r="H504" s="300">
        <v>402.08899999496458</v>
      </c>
      <c r="I504" s="300">
        <v>80.95799999418341</v>
      </c>
      <c r="J504" s="300">
        <f>SUM(G504:I504)</f>
        <v>856.49199998877157</v>
      </c>
      <c r="K504" s="300"/>
      <c r="L504" s="300">
        <v>360.6129999992724</v>
      </c>
      <c r="M504" s="300">
        <v>376.76399999379072</v>
      </c>
      <c r="N504" s="300">
        <v>62.54500000469092</v>
      </c>
      <c r="O504" s="300">
        <f>SUM(L504:N504)</f>
        <v>799.92199999775403</v>
      </c>
      <c r="P504" s="300"/>
      <c r="Q504" s="300">
        <v>405.27499999865728</v>
      </c>
      <c r="R504" s="300">
        <v>383.32499998853564</v>
      </c>
      <c r="S504" s="300">
        <v>69.145000000196902</v>
      </c>
      <c r="T504" s="300">
        <f>SUM(Q504:S504)</f>
        <v>857.74499998738975</v>
      </c>
      <c r="U504" s="300"/>
      <c r="V504" s="300">
        <v>477.54999999922114</v>
      </c>
      <c r="W504" s="300">
        <v>365.96999999836032</v>
      </c>
      <c r="X504" s="300">
        <v>75.777999999920297</v>
      </c>
      <c r="Y504" s="300">
        <f>SUM(V504:X504)</f>
        <v>919.29799999750173</v>
      </c>
    </row>
    <row r="505" spans="1:25" ht="12.45" x14ac:dyDescent="0.3">
      <c r="A505" s="260" t="s">
        <v>355</v>
      </c>
      <c r="B505" s="300">
        <v>136.75999999840425</v>
      </c>
      <c r="C505" s="300">
        <v>62.279999999690169</v>
      </c>
      <c r="D505" s="300">
        <v>15.093000000567644</v>
      </c>
      <c r="E505" s="300">
        <f t="shared" ref="E505:E506" si="1322">SUM(B505:D505)</f>
        <v>214.13299999866209</v>
      </c>
      <c r="F505" s="300"/>
      <c r="G505" s="300">
        <v>114.58899999922801</v>
      </c>
      <c r="H505" s="300">
        <v>55.037999999780325</v>
      </c>
      <c r="I505" s="300">
        <v>14.535999999942007</v>
      </c>
      <c r="J505" s="300">
        <f t="shared" ref="J505:J506" si="1323">SUM(G505:I505)</f>
        <v>184.16299999895034</v>
      </c>
      <c r="K505" s="300"/>
      <c r="L505" s="300">
        <v>120.3749999999557</v>
      </c>
      <c r="M505" s="300">
        <v>63.112000000180238</v>
      </c>
      <c r="N505" s="300">
        <v>12.306000000531972</v>
      </c>
      <c r="O505" s="300">
        <f t="shared" ref="O505:O506" si="1324">SUM(L505:N505)</f>
        <v>195.79300000066792</v>
      </c>
      <c r="P505" s="300"/>
      <c r="Q505" s="300">
        <v>129.29799999941403</v>
      </c>
      <c r="R505" s="300">
        <v>67.90600000001038</v>
      </c>
      <c r="S505" s="300">
        <v>13.110000001313828</v>
      </c>
      <c r="T505" s="300">
        <f t="shared" ref="T505:T506" si="1325">SUM(Q505:S505)</f>
        <v>210.31400000073825</v>
      </c>
      <c r="U505" s="300"/>
      <c r="V505" s="300">
        <v>140.67199999923969</v>
      </c>
      <c r="W505" s="300">
        <v>73.190000000040285</v>
      </c>
      <c r="X505" s="300">
        <v>13.836000000873106</v>
      </c>
      <c r="Y505" s="300">
        <f t="shared" ref="Y505:Y506" si="1326">SUM(V505:X505)</f>
        <v>227.69800000015309</v>
      </c>
    </row>
    <row r="506" spans="1:25" ht="12.45" x14ac:dyDescent="0.3">
      <c r="A506" s="260" t="s">
        <v>354</v>
      </c>
      <c r="B506" s="300">
        <f>SUM(B504:B505)</f>
        <v>501.59099999636135</v>
      </c>
      <c r="C506" s="300">
        <f t="shared" ref="C506" si="1327">SUM(C504:C505)</f>
        <v>460.84099999232586</v>
      </c>
      <c r="D506" s="300">
        <f t="shared" ref="D506" si="1328">SUM(D504:D505)</f>
        <v>80.169999995372351</v>
      </c>
      <c r="E506" s="300">
        <f t="shared" si="1322"/>
        <v>1042.6019999840596</v>
      </c>
      <c r="F506" s="300"/>
      <c r="G506" s="300">
        <f>SUM(G504:G505)</f>
        <v>488.03399999885153</v>
      </c>
      <c r="H506" s="300">
        <f t="shared" ref="H506" si="1329">SUM(H504:H505)</f>
        <v>457.12699999474489</v>
      </c>
      <c r="I506" s="300">
        <f t="shared" ref="I506" si="1330">SUM(I504:I505)</f>
        <v>95.493999994125417</v>
      </c>
      <c r="J506" s="300">
        <f t="shared" si="1323"/>
        <v>1040.6549999877218</v>
      </c>
      <c r="K506" s="300"/>
      <c r="L506" s="300">
        <f>SUM(L504:L505)</f>
        <v>480.98799999922812</v>
      </c>
      <c r="M506" s="300">
        <f t="shared" ref="M506" si="1331">SUM(M504:M505)</f>
        <v>439.87599999397094</v>
      </c>
      <c r="N506" s="300">
        <f t="shared" ref="N506" si="1332">SUM(N504:N505)</f>
        <v>74.851000005222886</v>
      </c>
      <c r="O506" s="300">
        <f t="shared" si="1324"/>
        <v>995.71499999842194</v>
      </c>
      <c r="P506" s="300"/>
      <c r="Q506" s="300">
        <f>SUM(Q504:Q505)</f>
        <v>534.57299999807128</v>
      </c>
      <c r="R506" s="300">
        <f t="shared" ref="R506" si="1333">SUM(R504:R505)</f>
        <v>451.23099998854605</v>
      </c>
      <c r="S506" s="300">
        <f t="shared" ref="S506" si="1334">SUM(S504:S505)</f>
        <v>82.255000001510723</v>
      </c>
      <c r="T506" s="300">
        <f t="shared" si="1325"/>
        <v>1068.0589999881281</v>
      </c>
      <c r="U506" s="300"/>
      <c r="V506" s="300">
        <f>SUM(V504:V505)</f>
        <v>618.22199999846089</v>
      </c>
      <c r="W506" s="300">
        <f t="shared" ref="W506" si="1335">SUM(W504:W505)</f>
        <v>439.15999999840062</v>
      </c>
      <c r="X506" s="300">
        <f t="shared" ref="X506" si="1336">SUM(X504:X505)</f>
        <v>89.614000000793396</v>
      </c>
      <c r="Y506" s="300">
        <f t="shared" si="1326"/>
        <v>1146.9959999976547</v>
      </c>
    </row>
    <row r="507" spans="1:25" ht="12.45" x14ac:dyDescent="0.3">
      <c r="C507" s="263"/>
    </row>
    <row r="508" spans="1:25" ht="12.45" x14ac:dyDescent="0.3">
      <c r="A508" s="261" t="s">
        <v>359</v>
      </c>
      <c r="C508" s="263"/>
    </row>
    <row r="509" spans="1:25" ht="12.45" x14ac:dyDescent="0.3">
      <c r="A509" s="260" t="s">
        <v>356</v>
      </c>
      <c r="B509" s="300">
        <f>SUM(B494,B499,B504)</f>
        <v>1577.2969999911868</v>
      </c>
      <c r="C509" s="300">
        <f t="shared" ref="C509:D509" si="1337">SUM(C494,C499,C504)</f>
        <v>1486.2819999726514</v>
      </c>
      <c r="D509" s="300">
        <f t="shared" si="1337"/>
        <v>235.62499998122769</v>
      </c>
      <c r="E509" s="300">
        <f>SUM(B509:D509)</f>
        <v>3299.2039999450658</v>
      </c>
      <c r="F509" s="300"/>
      <c r="G509" s="300">
        <f>SUM(G494,G499,G504)</f>
        <v>1680.3549999980637</v>
      </c>
      <c r="H509" s="300">
        <f t="shared" ref="H509:I509" si="1338">SUM(H494,H499,H504)</f>
        <v>1524.4339999809972</v>
      </c>
      <c r="I509" s="300">
        <f t="shared" si="1338"/>
        <v>282.75999997965226</v>
      </c>
      <c r="J509" s="300">
        <f>SUM(G509:I509)</f>
        <v>3487.548999958713</v>
      </c>
      <c r="K509" s="300"/>
      <c r="L509" s="300">
        <f>SUM(L494,L499,L504)</f>
        <v>1699.0109999966764</v>
      </c>
      <c r="M509" s="300">
        <f t="shared" ref="M509:N509" si="1339">SUM(M494,M499,M504)</f>
        <v>1510.9949999751846</v>
      </c>
      <c r="N509" s="300">
        <f t="shared" si="1339"/>
        <v>238.60800001786032</v>
      </c>
      <c r="O509" s="300">
        <f>SUM(L509:N509)</f>
        <v>3448.6139999897214</v>
      </c>
      <c r="P509" s="300"/>
      <c r="Q509" s="300">
        <f>SUM(Q494,Q499,Q504)</f>
        <v>1857.6199999934906</v>
      </c>
      <c r="R509" s="300">
        <f t="shared" ref="R509:S509" si="1340">SUM(R494,R499,R504)</f>
        <v>1563.160999953551</v>
      </c>
      <c r="S509" s="300">
        <f t="shared" si="1340"/>
        <v>268.31400000064542</v>
      </c>
      <c r="T509" s="300">
        <f>SUM(Q509:S509)</f>
        <v>3689.0949999476875</v>
      </c>
      <c r="U509" s="300"/>
      <c r="V509" s="300">
        <f>SUM(V494,V499,V504)</f>
        <v>2087.0759999967649</v>
      </c>
      <c r="W509" s="300">
        <f t="shared" ref="W509:X509" si="1341">SUM(W494,W499,W504)</f>
        <v>1564.0459999933987</v>
      </c>
      <c r="X509" s="300">
        <f t="shared" si="1341"/>
        <v>310.7499999996781</v>
      </c>
      <c r="Y509" s="300">
        <f>SUM(V509:X509)</f>
        <v>3961.8719999898417</v>
      </c>
    </row>
    <row r="510" spans="1:25" ht="12.45" x14ac:dyDescent="0.3">
      <c r="A510" s="260" t="s">
        <v>355</v>
      </c>
      <c r="B510" s="300">
        <f>SUM(B495,B500,B505)</f>
        <v>625.31699999307409</v>
      </c>
      <c r="C510" s="300">
        <f t="shared" ref="C510:D510" si="1342">SUM(C495,C500,C505)</f>
        <v>205.84299999898008</v>
      </c>
      <c r="D510" s="300">
        <f t="shared" si="1342"/>
        <v>95.37200000357835</v>
      </c>
      <c r="E510" s="300">
        <f t="shared" ref="E510:E511" si="1343">SUM(B510:D510)</f>
        <v>926.53199999563253</v>
      </c>
      <c r="F510" s="300"/>
      <c r="G510" s="300">
        <f>SUM(G495,G500,G505)</f>
        <v>627.96199999586895</v>
      </c>
      <c r="H510" s="300">
        <f t="shared" ref="H510:I510" si="1344">SUM(H495,H500,H505)</f>
        <v>198.98699999919057</v>
      </c>
      <c r="I510" s="300">
        <f t="shared" si="1344"/>
        <v>95.077999999710258</v>
      </c>
      <c r="J510" s="300">
        <f t="shared" ref="J510:J511" si="1345">SUM(G510:I510)</f>
        <v>922.02699999476977</v>
      </c>
      <c r="K510" s="300"/>
      <c r="L510" s="300">
        <f>SUM(L495,L500,L505)</f>
        <v>646.76399999856903</v>
      </c>
      <c r="M510" s="300">
        <f t="shared" ref="M510:N510" si="1346">SUM(M495,M500,M505)</f>
        <v>222.22800000062031</v>
      </c>
      <c r="N510" s="300">
        <f t="shared" si="1346"/>
        <v>104.39000000423277</v>
      </c>
      <c r="O510" s="300">
        <f t="shared" ref="O510:O511" si="1347">SUM(L510:N510)</f>
        <v>973.38200000342215</v>
      </c>
      <c r="P510" s="300"/>
      <c r="Q510" s="300">
        <f>SUM(Q495,Q500,Q505)</f>
        <v>691.19099999660716</v>
      </c>
      <c r="R510" s="300">
        <f t="shared" ref="R510:S510" si="1348">SUM(R495,R500,R505)</f>
        <v>241.96600000003767</v>
      </c>
      <c r="S510" s="300">
        <f t="shared" si="1348"/>
        <v>106.58400001069032</v>
      </c>
      <c r="T510" s="300">
        <f t="shared" ref="T510:T511" si="1349">SUM(Q510:S510)</f>
        <v>1039.7410000073351</v>
      </c>
      <c r="U510" s="300"/>
      <c r="V510" s="300">
        <f>SUM(V495,V500,V505)</f>
        <v>744.13799999558444</v>
      </c>
      <c r="W510" s="300">
        <f t="shared" ref="W510:X510" si="1350">SUM(W495,W500,W505)</f>
        <v>268.48200000015316</v>
      </c>
      <c r="X510" s="300">
        <f t="shared" si="1350"/>
        <v>103.81600000667879</v>
      </c>
      <c r="Y510" s="300">
        <f t="shared" ref="Y510:Y511" si="1351">SUM(V510:X510)</f>
        <v>1116.4360000024162</v>
      </c>
    </row>
    <row r="511" spans="1:25" ht="12.45" x14ac:dyDescent="0.3">
      <c r="A511" s="264" t="s">
        <v>354</v>
      </c>
      <c r="B511" s="301">
        <f>SUM(B509:B510)</f>
        <v>2202.6139999842608</v>
      </c>
      <c r="C511" s="301">
        <f t="shared" ref="C511" si="1352">SUM(C509:C510)</f>
        <v>1692.1249999716315</v>
      </c>
      <c r="D511" s="301">
        <f t="shared" ref="D511" si="1353">SUM(D509:D510)</f>
        <v>330.99699998480605</v>
      </c>
      <c r="E511" s="301">
        <f t="shared" si="1343"/>
        <v>4225.7359999406981</v>
      </c>
      <c r="F511" s="301"/>
      <c r="G511" s="301">
        <f>SUM(G509:G510)</f>
        <v>2308.3169999939328</v>
      </c>
      <c r="H511" s="301">
        <f t="shared" ref="H511" si="1354">SUM(H509:H510)</f>
        <v>1723.4209999801878</v>
      </c>
      <c r="I511" s="301">
        <f t="shared" ref="I511" si="1355">SUM(I509:I510)</f>
        <v>377.83799997936251</v>
      </c>
      <c r="J511" s="301">
        <f t="shared" si="1345"/>
        <v>4409.575999953483</v>
      </c>
      <c r="K511" s="301"/>
      <c r="L511" s="301">
        <f>SUM(L509:L510)</f>
        <v>2345.7749999952457</v>
      </c>
      <c r="M511" s="301">
        <f t="shared" ref="M511" si="1356">SUM(M509:M510)</f>
        <v>1733.2229999758049</v>
      </c>
      <c r="N511" s="301">
        <f t="shared" ref="N511" si="1357">SUM(N509:N510)</f>
        <v>342.99800002209309</v>
      </c>
      <c r="O511" s="301">
        <f t="shared" si="1347"/>
        <v>4421.9959999931434</v>
      </c>
      <c r="P511" s="301"/>
      <c r="Q511" s="301">
        <f>SUM(Q509:Q510)</f>
        <v>2548.810999990098</v>
      </c>
      <c r="R511" s="301">
        <f t="shared" ref="R511" si="1358">SUM(R509:R510)</f>
        <v>1805.1269999535887</v>
      </c>
      <c r="S511" s="301">
        <f t="shared" ref="S511" si="1359">SUM(S509:S510)</f>
        <v>374.89800001133574</v>
      </c>
      <c r="T511" s="301">
        <f t="shared" si="1349"/>
        <v>4728.835999955023</v>
      </c>
      <c r="U511" s="301"/>
      <c r="V511" s="301">
        <f>SUM(V509:V510)</f>
        <v>2831.2139999923493</v>
      </c>
      <c r="W511" s="301">
        <f t="shared" ref="W511" si="1360">SUM(W509:W510)</f>
        <v>1832.5279999935519</v>
      </c>
      <c r="X511" s="301">
        <f t="shared" ref="X511" si="1361">SUM(X509:X510)</f>
        <v>414.56600000635689</v>
      </c>
      <c r="Y511" s="301">
        <f t="shared" si="1351"/>
        <v>5078.3079999922584</v>
      </c>
    </row>
    <row r="512" spans="1:25" ht="12.45" x14ac:dyDescent="0.3">
      <c r="C512" s="263"/>
    </row>
    <row r="513" spans="1:25" x14ac:dyDescent="0.35">
      <c r="A513" s="261"/>
    </row>
    <row r="514" spans="1:25" ht="12.45" x14ac:dyDescent="0.3">
      <c r="C514" s="263"/>
    </row>
    <row r="515" spans="1:25" ht="14.15" x14ac:dyDescent="0.35">
      <c r="A515" s="265" t="str">
        <f>"Industry 21 : "&amp; name!B24</f>
        <v>Industry 21 : Arts and entertainment</v>
      </c>
      <c r="B515" s="372">
        <f>$B$5</f>
        <v>2015</v>
      </c>
      <c r="C515" s="372"/>
      <c r="D515" s="372"/>
      <c r="E515" s="372"/>
      <c r="F515" s="320"/>
      <c r="G515" s="372">
        <f>$G$5</f>
        <v>2019</v>
      </c>
      <c r="H515" s="372"/>
      <c r="I515" s="372"/>
      <c r="J515" s="372"/>
      <c r="K515" s="320"/>
      <c r="L515" s="372">
        <f>$L$5</f>
        <v>2020</v>
      </c>
      <c r="M515" s="372"/>
      <c r="N515" s="372"/>
      <c r="O515" s="372"/>
      <c r="P515" s="318"/>
      <c r="Q515" s="372">
        <f>$Q$5</f>
        <v>2025</v>
      </c>
      <c r="R515" s="372"/>
      <c r="S515" s="372"/>
      <c r="T515" s="372"/>
      <c r="U515" s="320"/>
      <c r="V515" s="372">
        <f>$V$5</f>
        <v>2035</v>
      </c>
      <c r="W515" s="372"/>
      <c r="X515" s="372"/>
      <c r="Y515" s="372"/>
    </row>
    <row r="516" spans="1:25" ht="12.45" x14ac:dyDescent="0.3">
      <c r="A516" s="264"/>
      <c r="B516" s="268" t="str">
        <f>$B$6</f>
        <v>FT</v>
      </c>
      <c r="C516" s="268" t="str">
        <f>$C$6</f>
        <v>PT</v>
      </c>
      <c r="D516" s="268" t="str">
        <f>$D$6</f>
        <v>SE</v>
      </c>
      <c r="E516" s="268" t="str">
        <f>$E$6</f>
        <v>Total</v>
      </c>
      <c r="F516" s="268"/>
      <c r="G516" s="268" t="str">
        <f>$B$6</f>
        <v>FT</v>
      </c>
      <c r="H516" s="268" t="str">
        <f>$C$6</f>
        <v>PT</v>
      </c>
      <c r="I516" s="268" t="str">
        <f>$D$6</f>
        <v>SE</v>
      </c>
      <c r="J516" s="268" t="str">
        <f>$E$6</f>
        <v>Total</v>
      </c>
      <c r="K516" s="268"/>
      <c r="L516" s="268" t="str">
        <f>$L$6</f>
        <v>FT</v>
      </c>
      <c r="M516" s="268" t="str">
        <f>$M$6</f>
        <v>PT</v>
      </c>
      <c r="N516" s="268" t="str">
        <f>$N$6</f>
        <v>SE</v>
      </c>
      <c r="O516" s="268" t="str">
        <f>$O$6</f>
        <v>Total</v>
      </c>
      <c r="P516" s="268"/>
      <c r="Q516" s="268" t="str">
        <f>$L$6</f>
        <v>FT</v>
      </c>
      <c r="R516" s="268" t="str">
        <f>$M$6</f>
        <v>PT</v>
      </c>
      <c r="S516" s="268" t="str">
        <f>$N$6</f>
        <v>SE</v>
      </c>
      <c r="T516" s="268" t="str">
        <f>$O$6</f>
        <v>Total</v>
      </c>
      <c r="U516" s="268"/>
      <c r="V516" s="268" t="str">
        <f>$V$6</f>
        <v>FT</v>
      </c>
      <c r="W516" s="268" t="str">
        <f>$W$6</f>
        <v>PT</v>
      </c>
      <c r="X516" s="268" t="str">
        <f>$X$6</f>
        <v>SE</v>
      </c>
      <c r="Y516" s="268" t="str">
        <f>$Y$6</f>
        <v>Total</v>
      </c>
    </row>
    <row r="517" spans="1:25" x14ac:dyDescent="0.35">
      <c r="A517" s="262"/>
      <c r="C517" s="319"/>
      <c r="D517" s="319"/>
      <c r="E517" s="319"/>
      <c r="F517" s="319"/>
      <c r="G517" s="319"/>
      <c r="H517" s="319"/>
      <c r="I517" s="319"/>
      <c r="J517" s="319"/>
      <c r="K517" s="319"/>
      <c r="L517" s="319"/>
      <c r="M517" s="319"/>
      <c r="N517" s="319"/>
      <c r="O517" s="319"/>
      <c r="P517" s="319"/>
      <c r="Q517" s="319"/>
      <c r="R517" s="319"/>
      <c r="S517" s="319"/>
      <c r="T517" s="319"/>
      <c r="U517" s="319"/>
      <c r="V517" s="319"/>
      <c r="W517" s="319"/>
      <c r="X517" s="319"/>
      <c r="Y517" s="319"/>
    </row>
    <row r="518" spans="1:25" ht="12.45" x14ac:dyDescent="0.3">
      <c r="A518" s="261" t="str">
        <f>name!A72</f>
        <v>Arts and entertainment</v>
      </c>
      <c r="C518" s="263"/>
    </row>
    <row r="519" spans="1:25" ht="12.45" x14ac:dyDescent="0.3">
      <c r="A519" s="260" t="s">
        <v>356</v>
      </c>
      <c r="B519" s="300">
        <v>25.398999999755112</v>
      </c>
      <c r="C519" s="300">
        <v>24.408000000112267</v>
      </c>
      <c r="D519" s="300">
        <v>24.611000000172055</v>
      </c>
      <c r="E519" s="300">
        <f>SUM(B519:D519)</f>
        <v>74.418000000039427</v>
      </c>
      <c r="F519" s="300"/>
      <c r="G519" s="300">
        <v>32.947999999656432</v>
      </c>
      <c r="H519" s="300">
        <v>27.555000000140037</v>
      </c>
      <c r="I519" s="300">
        <v>30.866000000215404</v>
      </c>
      <c r="J519" s="300">
        <f>SUM(G519:I519)</f>
        <v>91.36900000001188</v>
      </c>
      <c r="K519" s="300"/>
      <c r="L519" s="300">
        <v>32.805999999913304</v>
      </c>
      <c r="M519" s="300">
        <v>25.933000000085677</v>
      </c>
      <c r="N519" s="300">
        <v>51.231999999129883</v>
      </c>
      <c r="O519" s="300">
        <f>SUM(L519:N519)</f>
        <v>109.97099999912886</v>
      </c>
      <c r="P519" s="300"/>
      <c r="Q519" s="300">
        <v>31.233000000381335</v>
      </c>
      <c r="R519" s="300">
        <v>26.470000000155544</v>
      </c>
      <c r="S519" s="300">
        <v>50.679000000131474</v>
      </c>
      <c r="T519" s="300">
        <f>SUM(Q519:S519)</f>
        <v>108.38200000066834</v>
      </c>
      <c r="U519" s="300"/>
      <c r="V519" s="300">
        <v>31.203000000116152</v>
      </c>
      <c r="W519" s="300">
        <v>29.137999999892337</v>
      </c>
      <c r="X519" s="300">
        <v>57.405000000378053</v>
      </c>
      <c r="Y519" s="300">
        <f>SUM(V519:X519)</f>
        <v>117.74600000038654</v>
      </c>
    </row>
    <row r="520" spans="1:25" ht="12.45" x14ac:dyDescent="0.3">
      <c r="A520" s="260" t="s">
        <v>355</v>
      </c>
      <c r="B520" s="300">
        <v>27.425999999883519</v>
      </c>
      <c r="C520" s="300">
        <v>11.400000000099038</v>
      </c>
      <c r="D520" s="300">
        <v>54.519000001545422</v>
      </c>
      <c r="E520" s="300">
        <f t="shared" ref="E520:E521" si="1362">SUM(B520:D520)</f>
        <v>93.345000001527978</v>
      </c>
      <c r="F520" s="300"/>
      <c r="G520" s="300">
        <v>31.569999999939778</v>
      </c>
      <c r="H520" s="300">
        <v>15.01900000009992</v>
      </c>
      <c r="I520" s="300">
        <v>53.151000000189477</v>
      </c>
      <c r="J520" s="300">
        <f t="shared" ref="J520:J521" si="1363">SUM(G520:I520)</f>
        <v>99.740000000229173</v>
      </c>
      <c r="K520" s="300"/>
      <c r="L520" s="300">
        <v>24.110000000014843</v>
      </c>
      <c r="M520" s="300">
        <v>17.764999999993641</v>
      </c>
      <c r="N520" s="300">
        <v>46.552000001630525</v>
      </c>
      <c r="O520" s="300">
        <f t="shared" ref="O520:O521" si="1364">SUM(L520:N520)</f>
        <v>88.427000001639016</v>
      </c>
      <c r="P520" s="300"/>
      <c r="Q520" s="300">
        <v>23.83500000006141</v>
      </c>
      <c r="R520" s="300">
        <v>17.076999999986125</v>
      </c>
      <c r="S520" s="300">
        <v>41.68900000342402</v>
      </c>
      <c r="T520" s="300">
        <f t="shared" ref="T520:T521" si="1365">SUM(Q520:S520)</f>
        <v>82.601000003471555</v>
      </c>
      <c r="U520" s="300"/>
      <c r="V520" s="300">
        <v>25.549000000060865</v>
      </c>
      <c r="W520" s="300">
        <v>17.47000000000779</v>
      </c>
      <c r="X520" s="300">
        <v>40.685000002514123</v>
      </c>
      <c r="Y520" s="300">
        <f t="shared" ref="Y520:Y521" si="1366">SUM(V520:X520)</f>
        <v>83.704000002582774</v>
      </c>
    </row>
    <row r="521" spans="1:25" ht="12.45" x14ac:dyDescent="0.3">
      <c r="A521" s="260" t="s">
        <v>354</v>
      </c>
      <c r="B521" s="300">
        <f>SUM(B519:B520)</f>
        <v>52.824999999638635</v>
      </c>
      <c r="C521" s="300">
        <f t="shared" ref="C521" si="1367">SUM(C519:C520)</f>
        <v>35.808000000211308</v>
      </c>
      <c r="D521" s="300">
        <f t="shared" ref="D521" si="1368">SUM(D519:D520)</f>
        <v>79.130000001717477</v>
      </c>
      <c r="E521" s="300">
        <f t="shared" si="1362"/>
        <v>167.76300000156743</v>
      </c>
      <c r="F521" s="300"/>
      <c r="G521" s="300">
        <f>SUM(G519:G520)</f>
        <v>64.517999999596213</v>
      </c>
      <c r="H521" s="300">
        <f t="shared" ref="H521" si="1369">SUM(H519:H520)</f>
        <v>42.574000000239955</v>
      </c>
      <c r="I521" s="300">
        <f t="shared" ref="I521" si="1370">SUM(I519:I520)</f>
        <v>84.017000000404877</v>
      </c>
      <c r="J521" s="300">
        <f t="shared" si="1363"/>
        <v>191.10900000024105</v>
      </c>
      <c r="K521" s="300"/>
      <c r="L521" s="300">
        <f>SUM(L519:L520)</f>
        <v>56.915999999928147</v>
      </c>
      <c r="M521" s="300">
        <f t="shared" ref="M521" si="1371">SUM(M519:M520)</f>
        <v>43.698000000079318</v>
      </c>
      <c r="N521" s="300">
        <f t="shared" ref="N521" si="1372">SUM(N519:N520)</f>
        <v>97.784000000760415</v>
      </c>
      <c r="O521" s="300">
        <f t="shared" si="1364"/>
        <v>198.39800000076787</v>
      </c>
      <c r="P521" s="300"/>
      <c r="Q521" s="300">
        <f>SUM(Q519:Q520)</f>
        <v>55.068000000442744</v>
      </c>
      <c r="R521" s="300">
        <f t="shared" ref="R521" si="1373">SUM(R519:R520)</f>
        <v>43.547000000141665</v>
      </c>
      <c r="S521" s="300">
        <f t="shared" ref="S521" si="1374">SUM(S519:S520)</f>
        <v>92.368000003555494</v>
      </c>
      <c r="T521" s="300">
        <f t="shared" si="1365"/>
        <v>190.98300000413991</v>
      </c>
      <c r="U521" s="300"/>
      <c r="V521" s="300">
        <f>SUM(V519:V520)</f>
        <v>56.75200000017702</v>
      </c>
      <c r="W521" s="300">
        <f t="shared" ref="W521" si="1375">SUM(W519:W520)</f>
        <v>46.60799999990013</v>
      </c>
      <c r="X521" s="300">
        <f t="shared" ref="X521" si="1376">SUM(X519:X520)</f>
        <v>98.090000002892168</v>
      </c>
      <c r="Y521" s="300">
        <f t="shared" si="1366"/>
        <v>201.45000000296932</v>
      </c>
    </row>
    <row r="522" spans="1:25" ht="12.45" x14ac:dyDescent="0.3">
      <c r="C522" s="319"/>
      <c r="D522" s="319"/>
      <c r="E522" s="319"/>
      <c r="F522" s="319"/>
      <c r="G522" s="319"/>
      <c r="H522" s="319"/>
      <c r="I522" s="319"/>
      <c r="J522" s="319"/>
      <c r="K522" s="319"/>
      <c r="L522" s="319"/>
      <c r="M522" s="319"/>
      <c r="N522" s="319"/>
      <c r="O522" s="319"/>
      <c r="P522" s="319"/>
      <c r="Q522" s="319"/>
      <c r="R522" s="319"/>
      <c r="S522" s="319"/>
      <c r="T522" s="319"/>
      <c r="U522" s="319"/>
      <c r="V522" s="319"/>
      <c r="W522" s="319"/>
      <c r="X522" s="319"/>
      <c r="Y522" s="319"/>
    </row>
    <row r="523" spans="1:25" ht="12.45" x14ac:dyDescent="0.3">
      <c r="A523" s="261" t="str">
        <f>name!A73</f>
        <v>Libraries, etc</v>
      </c>
      <c r="C523" s="263"/>
    </row>
    <row r="524" spans="1:25" ht="12.45" x14ac:dyDescent="0.3">
      <c r="A524" s="260" t="s">
        <v>356</v>
      </c>
      <c r="B524" s="300">
        <v>24.599999999754168</v>
      </c>
      <c r="C524" s="300">
        <v>36.588000000218386</v>
      </c>
      <c r="D524" s="300">
        <v>33.286000000217605</v>
      </c>
      <c r="E524" s="300">
        <f>SUM(B524:D524)</f>
        <v>94.474000000190159</v>
      </c>
      <c r="F524" s="300"/>
      <c r="G524" s="300">
        <v>24.736999999755643</v>
      </c>
      <c r="H524" s="300">
        <v>41.069000000257418</v>
      </c>
      <c r="I524" s="300">
        <v>37.105000000310923</v>
      </c>
      <c r="J524" s="300">
        <f>SUM(G524:I524)</f>
        <v>102.91100000032398</v>
      </c>
      <c r="K524" s="300"/>
      <c r="L524" s="300">
        <v>25.194999999909033</v>
      </c>
      <c r="M524" s="300">
        <v>39.063000000220171</v>
      </c>
      <c r="N524" s="300">
        <v>56.36699999871437</v>
      </c>
      <c r="O524" s="300">
        <f>SUM(L524:N524)</f>
        <v>120.62499999884358</v>
      </c>
      <c r="P524" s="300"/>
      <c r="Q524" s="300">
        <v>24.225000000276594</v>
      </c>
      <c r="R524" s="300">
        <v>39.087000000408622</v>
      </c>
      <c r="S524" s="300">
        <v>54.713999999910435</v>
      </c>
      <c r="T524" s="300">
        <f>SUM(Q524:S524)</f>
        <v>118.02600000059564</v>
      </c>
      <c r="U524" s="300"/>
      <c r="V524" s="300">
        <v>24.432000000086212</v>
      </c>
      <c r="W524" s="300">
        <v>43.279999999828945</v>
      </c>
      <c r="X524" s="300">
        <v>62.524000000429972</v>
      </c>
      <c r="Y524" s="300">
        <f>SUM(V524:X524)</f>
        <v>130.23600000034511</v>
      </c>
    </row>
    <row r="525" spans="1:25" ht="12.45" x14ac:dyDescent="0.3">
      <c r="A525" s="260" t="s">
        <v>355</v>
      </c>
      <c r="B525" s="300">
        <v>33.263999999892995</v>
      </c>
      <c r="C525" s="300">
        <v>11.904000000092246</v>
      </c>
      <c r="D525" s="300">
        <v>48.302000001357307</v>
      </c>
      <c r="E525" s="300">
        <f t="shared" ref="E525:E526" si="1377">SUM(B525:D525)</f>
        <v>93.470000001342555</v>
      </c>
      <c r="F525" s="300"/>
      <c r="G525" s="300">
        <v>29.014999999946792</v>
      </c>
      <c r="H525" s="300">
        <v>14.789000000092102</v>
      </c>
      <c r="I525" s="300">
        <v>42.807000000157494</v>
      </c>
      <c r="J525" s="300">
        <f t="shared" ref="J525:J526" si="1378">SUM(G525:I525)</f>
        <v>86.611000000196384</v>
      </c>
      <c r="K525" s="300"/>
      <c r="L525" s="300">
        <v>22.23799999998354</v>
      </c>
      <c r="M525" s="300">
        <v>17.883000000001982</v>
      </c>
      <c r="N525" s="300">
        <v>35.51200000118736</v>
      </c>
      <c r="O525" s="300">
        <f t="shared" ref="O525:O526" si="1379">SUM(L525:N525)</f>
        <v>75.633000001172888</v>
      </c>
      <c r="P525" s="300"/>
      <c r="Q525" s="300">
        <v>22.520000000061536</v>
      </c>
      <c r="R525" s="300">
        <v>17.123000000023158</v>
      </c>
      <c r="S525" s="300">
        <v>32.353000002504444</v>
      </c>
      <c r="T525" s="300">
        <f t="shared" ref="T525:T526" si="1380">SUM(Q525:S525)</f>
        <v>71.996000002589142</v>
      </c>
      <c r="U525" s="300"/>
      <c r="V525" s="300">
        <v>24.755000000060672</v>
      </c>
      <c r="W525" s="300">
        <v>17.888000000055772</v>
      </c>
      <c r="X525" s="300">
        <v>32.019000001829752</v>
      </c>
      <c r="Y525" s="300">
        <f t="shared" ref="Y525:Y526" si="1381">SUM(V525:X525)</f>
        <v>74.662000001946197</v>
      </c>
    </row>
    <row r="526" spans="1:25" ht="12.45" x14ac:dyDescent="0.3">
      <c r="A526" s="260" t="s">
        <v>354</v>
      </c>
      <c r="B526" s="300">
        <f>SUM(B524:B525)</f>
        <v>57.863999999647163</v>
      </c>
      <c r="C526" s="300">
        <f t="shared" ref="C526" si="1382">SUM(C524:C525)</f>
        <v>48.492000000310632</v>
      </c>
      <c r="D526" s="300">
        <f t="shared" ref="D526" si="1383">SUM(D524:D525)</f>
        <v>81.588000001574912</v>
      </c>
      <c r="E526" s="300">
        <f t="shared" si="1377"/>
        <v>187.94400000153269</v>
      </c>
      <c r="F526" s="300"/>
      <c r="G526" s="300">
        <f>SUM(G524:G525)</f>
        <v>53.751999999702434</v>
      </c>
      <c r="H526" s="300">
        <f t="shared" ref="H526" si="1384">SUM(H524:H525)</f>
        <v>55.85800000034952</v>
      </c>
      <c r="I526" s="300">
        <f t="shared" ref="I526" si="1385">SUM(I524:I525)</f>
        <v>79.912000000468424</v>
      </c>
      <c r="J526" s="300">
        <f t="shared" si="1378"/>
        <v>189.52200000052039</v>
      </c>
      <c r="K526" s="300"/>
      <c r="L526" s="300">
        <f>SUM(L524:L525)</f>
        <v>47.432999999892573</v>
      </c>
      <c r="M526" s="300">
        <f t="shared" ref="M526" si="1386">SUM(M524:M525)</f>
        <v>56.946000000222156</v>
      </c>
      <c r="N526" s="300">
        <f t="shared" ref="N526" si="1387">SUM(N524:N525)</f>
        <v>91.878999999901737</v>
      </c>
      <c r="O526" s="300">
        <f t="shared" si="1379"/>
        <v>196.25800000001647</v>
      </c>
      <c r="P526" s="300"/>
      <c r="Q526" s="300">
        <f>SUM(Q524:Q525)</f>
        <v>46.745000000338131</v>
      </c>
      <c r="R526" s="300">
        <f t="shared" ref="R526" si="1388">SUM(R524:R525)</f>
        <v>56.210000000431776</v>
      </c>
      <c r="S526" s="300">
        <f t="shared" ref="S526" si="1389">SUM(S524:S525)</f>
        <v>87.067000002414886</v>
      </c>
      <c r="T526" s="300">
        <f t="shared" si="1380"/>
        <v>190.02200000318479</v>
      </c>
      <c r="U526" s="300"/>
      <c r="V526" s="300">
        <f>SUM(V524:V525)</f>
        <v>49.187000000146881</v>
      </c>
      <c r="W526" s="300">
        <f t="shared" ref="W526" si="1390">SUM(W524:W525)</f>
        <v>61.167999999884714</v>
      </c>
      <c r="X526" s="300">
        <f t="shared" ref="X526" si="1391">SUM(X524:X525)</f>
        <v>94.543000002259731</v>
      </c>
      <c r="Y526" s="300">
        <f t="shared" si="1381"/>
        <v>204.89800000229133</v>
      </c>
    </row>
    <row r="527" spans="1:25" ht="12.45" x14ac:dyDescent="0.3">
      <c r="C527" s="319"/>
      <c r="D527" s="319"/>
      <c r="E527" s="319"/>
      <c r="F527" s="319"/>
      <c r="G527" s="319"/>
      <c r="H527" s="319"/>
      <c r="I527" s="319"/>
      <c r="J527" s="319"/>
      <c r="K527" s="319"/>
      <c r="L527" s="319"/>
      <c r="M527" s="319"/>
      <c r="N527" s="319"/>
      <c r="O527" s="319"/>
      <c r="P527" s="319"/>
      <c r="Q527" s="319"/>
      <c r="R527" s="319"/>
      <c r="S527" s="319"/>
      <c r="T527" s="319"/>
      <c r="U527" s="319"/>
      <c r="V527" s="319"/>
      <c r="W527" s="319"/>
      <c r="X527" s="319"/>
      <c r="Y527" s="319"/>
    </row>
    <row r="528" spans="1:25" ht="12.45" x14ac:dyDescent="0.3">
      <c r="A528" s="261" t="str">
        <f>name!A74</f>
        <v>Gambling and betting</v>
      </c>
      <c r="C528" s="263"/>
    </row>
    <row r="529" spans="1:25" ht="12.45" x14ac:dyDescent="0.3">
      <c r="A529" s="260" t="s">
        <v>356</v>
      </c>
      <c r="B529" s="300">
        <v>15.685999999836815</v>
      </c>
      <c r="C529" s="300">
        <v>16.993000000113359</v>
      </c>
      <c r="D529" s="300">
        <v>7.5850000000474873</v>
      </c>
      <c r="E529" s="300">
        <f>SUM(B529:D529)</f>
        <v>40.263999999997658</v>
      </c>
      <c r="F529" s="300"/>
      <c r="G529" s="300">
        <v>14.985999999877523</v>
      </c>
      <c r="H529" s="300">
        <v>16.265000000089714</v>
      </c>
      <c r="I529" s="300">
        <v>7.0710000000815194</v>
      </c>
      <c r="J529" s="300">
        <f>SUM(G529:I529)</f>
        <v>38.322000000048753</v>
      </c>
      <c r="K529" s="300"/>
      <c r="L529" s="300">
        <v>13.164999999934192</v>
      </c>
      <c r="M529" s="300">
        <v>15.747000000087837</v>
      </c>
      <c r="N529" s="300">
        <v>6.1859999998453583</v>
      </c>
      <c r="O529" s="300">
        <f>SUM(L529:N529)</f>
        <v>35.09799999986739</v>
      </c>
      <c r="P529" s="300"/>
      <c r="Q529" s="300">
        <v>13.496000000179347</v>
      </c>
      <c r="R529" s="300">
        <v>16.607000000159687</v>
      </c>
      <c r="S529" s="300">
        <v>6.6129999999732441</v>
      </c>
      <c r="T529" s="300">
        <f>SUM(Q529:S529)</f>
        <v>36.716000000312278</v>
      </c>
      <c r="U529" s="300"/>
      <c r="V529" s="300">
        <v>13.75600000005136</v>
      </c>
      <c r="W529" s="300">
        <v>17.68499999992947</v>
      </c>
      <c r="X529" s="300">
        <v>7.0880000000381163</v>
      </c>
      <c r="Y529" s="300">
        <f>SUM(V529:X529)</f>
        <v>38.529000000018947</v>
      </c>
    </row>
    <row r="530" spans="1:25" ht="12.45" x14ac:dyDescent="0.3">
      <c r="A530" s="260" t="s">
        <v>355</v>
      </c>
      <c r="B530" s="300">
        <v>41.206999999853089</v>
      </c>
      <c r="C530" s="300">
        <v>23.566000000179933</v>
      </c>
      <c r="D530" s="300">
        <v>7.9180000002176705</v>
      </c>
      <c r="E530" s="300">
        <f t="shared" ref="E530:E531" si="1392">SUM(B530:D530)</f>
        <v>72.691000000250696</v>
      </c>
      <c r="F530" s="300"/>
      <c r="G530" s="300">
        <v>37.682999999953076</v>
      </c>
      <c r="H530" s="300">
        <v>22.584000000140744</v>
      </c>
      <c r="I530" s="300">
        <v>8.5700000000326284</v>
      </c>
      <c r="J530" s="300">
        <f t="shared" ref="J530:J531" si="1393">SUM(G530:I530)</f>
        <v>68.837000000126437</v>
      </c>
      <c r="K530" s="300"/>
      <c r="L530" s="300">
        <v>35.772999999995946</v>
      </c>
      <c r="M530" s="300">
        <v>21.534000000002841</v>
      </c>
      <c r="N530" s="300">
        <v>7.7770000002752848</v>
      </c>
      <c r="O530" s="300">
        <f t="shared" ref="O530:O531" si="1394">SUM(L530:N530)</f>
        <v>65.084000000274074</v>
      </c>
      <c r="P530" s="300"/>
      <c r="Q530" s="300">
        <v>38.190000000089526</v>
      </c>
      <c r="R530" s="300">
        <v>23.692000000015415</v>
      </c>
      <c r="S530" s="300">
        <v>8.9930000007207482</v>
      </c>
      <c r="T530" s="300">
        <f t="shared" ref="T530:T531" si="1395">SUM(Q530:S530)</f>
        <v>70.875000000825679</v>
      </c>
      <c r="U530" s="300"/>
      <c r="V530" s="300">
        <v>41.678000000069225</v>
      </c>
      <c r="W530" s="300">
        <v>27.041000000054094</v>
      </c>
      <c r="X530" s="300">
        <v>11.108000000663484</v>
      </c>
      <c r="Y530" s="300">
        <f t="shared" ref="Y530:Y531" si="1396">SUM(V530:X530)</f>
        <v>79.827000000786796</v>
      </c>
    </row>
    <row r="531" spans="1:25" ht="12.45" x14ac:dyDescent="0.3">
      <c r="A531" s="260" t="s">
        <v>354</v>
      </c>
      <c r="B531" s="300">
        <f>SUM(B529:B530)</f>
        <v>56.892999999689906</v>
      </c>
      <c r="C531" s="300">
        <f t="shared" ref="C531" si="1397">SUM(C529:C530)</f>
        <v>40.559000000293295</v>
      </c>
      <c r="D531" s="300">
        <f t="shared" ref="D531" si="1398">SUM(D529:D530)</f>
        <v>15.503000000265157</v>
      </c>
      <c r="E531" s="300">
        <f t="shared" si="1392"/>
        <v>112.95500000024836</v>
      </c>
      <c r="F531" s="300"/>
      <c r="G531" s="300">
        <f>SUM(G529:G530)</f>
        <v>52.668999999830596</v>
      </c>
      <c r="H531" s="300">
        <f t="shared" ref="H531" si="1399">SUM(H529:H530)</f>
        <v>38.849000000230461</v>
      </c>
      <c r="I531" s="300">
        <f t="shared" ref="I531" si="1400">SUM(I529:I530)</f>
        <v>15.641000000114147</v>
      </c>
      <c r="J531" s="300">
        <f t="shared" si="1393"/>
        <v>107.1590000001752</v>
      </c>
      <c r="K531" s="300"/>
      <c r="L531" s="300">
        <f>SUM(L529:L530)</f>
        <v>48.937999999930142</v>
      </c>
      <c r="M531" s="300">
        <f t="shared" ref="M531" si="1401">SUM(M529:M530)</f>
        <v>37.281000000090678</v>
      </c>
      <c r="N531" s="300">
        <f t="shared" ref="N531" si="1402">SUM(N529:N530)</f>
        <v>13.963000000120644</v>
      </c>
      <c r="O531" s="300">
        <f t="shared" si="1394"/>
        <v>100.18200000014147</v>
      </c>
      <c r="P531" s="300"/>
      <c r="Q531" s="300">
        <f>SUM(Q529:Q530)</f>
        <v>51.686000000268876</v>
      </c>
      <c r="R531" s="300">
        <f t="shared" ref="R531" si="1403">SUM(R529:R530)</f>
        <v>40.299000000175099</v>
      </c>
      <c r="S531" s="300">
        <f t="shared" ref="S531" si="1404">SUM(S529:S530)</f>
        <v>15.606000000693992</v>
      </c>
      <c r="T531" s="300">
        <f t="shared" si="1395"/>
        <v>107.59100000113797</v>
      </c>
      <c r="U531" s="300"/>
      <c r="V531" s="300">
        <f>SUM(V529:V530)</f>
        <v>55.434000000120584</v>
      </c>
      <c r="W531" s="300">
        <f t="shared" ref="W531" si="1405">SUM(W529:W530)</f>
        <v>44.725999999983564</v>
      </c>
      <c r="X531" s="300">
        <f t="shared" ref="X531" si="1406">SUM(X529:X530)</f>
        <v>18.196000000701602</v>
      </c>
      <c r="Y531" s="300">
        <f t="shared" si="1396"/>
        <v>118.35600000080575</v>
      </c>
    </row>
    <row r="532" spans="1:25" ht="12.45" x14ac:dyDescent="0.3">
      <c r="C532" s="319"/>
      <c r="D532" s="319"/>
      <c r="E532" s="319"/>
      <c r="F532" s="319"/>
      <c r="G532" s="319"/>
      <c r="H532" s="319"/>
      <c r="I532" s="319"/>
      <c r="J532" s="319"/>
      <c r="K532" s="319"/>
      <c r="L532" s="319"/>
      <c r="M532" s="319"/>
      <c r="N532" s="319"/>
      <c r="O532" s="319"/>
      <c r="P532" s="319"/>
      <c r="Q532" s="319"/>
      <c r="R532" s="319"/>
      <c r="S532" s="319"/>
      <c r="T532" s="319"/>
      <c r="U532" s="319"/>
      <c r="V532" s="319"/>
      <c r="W532" s="319"/>
      <c r="X532" s="319"/>
      <c r="Y532" s="319"/>
    </row>
    <row r="533" spans="1:25" ht="12.45" x14ac:dyDescent="0.3">
      <c r="A533" s="261" t="str">
        <f>name!A75</f>
        <v>Sport and recreation</v>
      </c>
      <c r="C533" s="263"/>
    </row>
    <row r="534" spans="1:25" ht="12.45" x14ac:dyDescent="0.3">
      <c r="A534" s="260" t="s">
        <v>356</v>
      </c>
      <c r="B534" s="300">
        <v>77.308999999247789</v>
      </c>
      <c r="C534" s="300">
        <v>148.99600000095117</v>
      </c>
      <c r="D534" s="300">
        <v>34.568000000336454</v>
      </c>
      <c r="E534" s="300">
        <f>SUM(B534:D534)</f>
        <v>260.8730000005354</v>
      </c>
      <c r="F534" s="300"/>
      <c r="G534" s="300">
        <v>87.622999999093651</v>
      </c>
      <c r="H534" s="300">
        <v>148.26500000102391</v>
      </c>
      <c r="I534" s="300">
        <v>34.27900000019909</v>
      </c>
      <c r="J534" s="300">
        <f>SUM(G534:I534)</f>
        <v>270.16700000031665</v>
      </c>
      <c r="K534" s="300"/>
      <c r="L534" s="300">
        <v>75.987999999543405</v>
      </c>
      <c r="M534" s="300">
        <v>143.09900000086839</v>
      </c>
      <c r="N534" s="300">
        <v>32.726999999081286</v>
      </c>
      <c r="O534" s="300">
        <f>SUM(L534:N534)</f>
        <v>251.81399999949309</v>
      </c>
      <c r="P534" s="300"/>
      <c r="Q534" s="300">
        <v>78.472000000840069</v>
      </c>
      <c r="R534" s="300">
        <v>151.72500000170186</v>
      </c>
      <c r="S534" s="300">
        <v>35.131999999556783</v>
      </c>
      <c r="T534" s="300">
        <f>SUM(Q534:S534)</f>
        <v>265.32900000209872</v>
      </c>
      <c r="U534" s="300"/>
      <c r="V534" s="300">
        <v>80.131000000280153</v>
      </c>
      <c r="W534" s="300">
        <v>161.9389999993839</v>
      </c>
      <c r="X534" s="300">
        <v>37.756000000202874</v>
      </c>
      <c r="Y534" s="300">
        <f>SUM(V534:X534)</f>
        <v>279.82599999986689</v>
      </c>
    </row>
    <row r="535" spans="1:25" ht="12.45" x14ac:dyDescent="0.3">
      <c r="A535" s="260" t="s">
        <v>355</v>
      </c>
      <c r="B535" s="300">
        <v>103.78099999972109</v>
      </c>
      <c r="C535" s="300">
        <v>99.423000000697101</v>
      </c>
      <c r="D535" s="300">
        <v>49.206000001344961</v>
      </c>
      <c r="E535" s="300">
        <f t="shared" ref="E535:E536" si="1407">SUM(B535:D535)</f>
        <v>252.41000000176317</v>
      </c>
      <c r="F535" s="300"/>
      <c r="G535" s="300">
        <v>112.44999999982939</v>
      </c>
      <c r="H535" s="300">
        <v>101.39300000062352</v>
      </c>
      <c r="I535" s="300">
        <v>57.034000000175268</v>
      </c>
      <c r="J535" s="300">
        <f t="shared" ref="J535:J536" si="1408">SUM(G535:I535)</f>
        <v>270.87700000062819</v>
      </c>
      <c r="K535" s="300"/>
      <c r="L535" s="300">
        <v>108.22599999983306</v>
      </c>
      <c r="M535" s="300">
        <v>95.467000000151685</v>
      </c>
      <c r="N535" s="300">
        <v>49.651000001517211</v>
      </c>
      <c r="O535" s="300">
        <f t="shared" ref="O535:O536" si="1409">SUM(L535:N535)</f>
        <v>253.34400000150197</v>
      </c>
      <c r="P535" s="300"/>
      <c r="Q535" s="300">
        <v>115.12800000013043</v>
      </c>
      <c r="R535" s="300">
        <v>104.62400000028059</v>
      </c>
      <c r="S535" s="300">
        <v>57.064000004114675</v>
      </c>
      <c r="T535" s="300">
        <f t="shared" ref="T535:T536" si="1410">SUM(Q535:S535)</f>
        <v>276.81600000452568</v>
      </c>
      <c r="U535" s="300"/>
      <c r="V535" s="300">
        <v>125.01599999995187</v>
      </c>
      <c r="W535" s="300">
        <v>119.10300000058568</v>
      </c>
      <c r="X535" s="300">
        <v>70.114000003703197</v>
      </c>
      <c r="Y535" s="300">
        <f t="shared" ref="Y535:Y536" si="1411">SUM(V535:X535)</f>
        <v>314.23300000424075</v>
      </c>
    </row>
    <row r="536" spans="1:25" ht="12.45" x14ac:dyDescent="0.3">
      <c r="A536" s="260" t="s">
        <v>354</v>
      </c>
      <c r="B536" s="300">
        <f>SUM(B534:B535)</f>
        <v>181.08999999896889</v>
      </c>
      <c r="C536" s="300">
        <f t="shared" ref="C536" si="1412">SUM(C534:C535)</f>
        <v>248.41900000164827</v>
      </c>
      <c r="D536" s="300">
        <f t="shared" ref="D536" si="1413">SUM(D534:D535)</f>
        <v>83.774000001681415</v>
      </c>
      <c r="E536" s="300">
        <f t="shared" si="1407"/>
        <v>513.28300000229854</v>
      </c>
      <c r="F536" s="300"/>
      <c r="G536" s="300">
        <f>SUM(G534:G535)</f>
        <v>200.07299999892302</v>
      </c>
      <c r="H536" s="300">
        <f t="shared" ref="H536" si="1414">SUM(H534:H535)</f>
        <v>249.65800000164742</v>
      </c>
      <c r="I536" s="300">
        <f t="shared" ref="I536" si="1415">SUM(I534:I535)</f>
        <v>91.313000000374359</v>
      </c>
      <c r="J536" s="300">
        <f t="shared" si="1408"/>
        <v>541.04400000094483</v>
      </c>
      <c r="K536" s="300"/>
      <c r="L536" s="300">
        <f>SUM(L534:L535)</f>
        <v>184.21399999937648</v>
      </c>
      <c r="M536" s="300">
        <f t="shared" ref="M536" si="1416">SUM(M534:M535)</f>
        <v>238.56600000102009</v>
      </c>
      <c r="N536" s="300">
        <f t="shared" ref="N536" si="1417">SUM(N534:N535)</f>
        <v>82.37800000059849</v>
      </c>
      <c r="O536" s="300">
        <f t="shared" si="1409"/>
        <v>505.15800000099506</v>
      </c>
      <c r="P536" s="300"/>
      <c r="Q536" s="300">
        <f>SUM(Q534:Q535)</f>
        <v>193.60000000097051</v>
      </c>
      <c r="R536" s="300">
        <f t="shared" ref="R536" si="1418">SUM(R534:R535)</f>
        <v>256.34900000198246</v>
      </c>
      <c r="S536" s="300">
        <f t="shared" ref="S536" si="1419">SUM(S534:S535)</f>
        <v>92.196000003671458</v>
      </c>
      <c r="T536" s="300">
        <f t="shared" si="1410"/>
        <v>542.1450000066244</v>
      </c>
      <c r="U536" s="300"/>
      <c r="V536" s="300">
        <f>SUM(V534:V535)</f>
        <v>205.14700000023203</v>
      </c>
      <c r="W536" s="300">
        <f t="shared" ref="W536" si="1420">SUM(W534:W535)</f>
        <v>281.04199999996956</v>
      </c>
      <c r="X536" s="300">
        <f t="shared" ref="X536" si="1421">SUM(X534:X535)</f>
        <v>107.87000000390607</v>
      </c>
      <c r="Y536" s="300">
        <f t="shared" si="1411"/>
        <v>594.0590000041077</v>
      </c>
    </row>
    <row r="537" spans="1:25" x14ac:dyDescent="0.35">
      <c r="A537" s="261"/>
    </row>
    <row r="538" spans="1:25" x14ac:dyDescent="0.35">
      <c r="A538" s="261" t="s">
        <v>358</v>
      </c>
    </row>
    <row r="539" spans="1:25" ht="12.45" x14ac:dyDescent="0.3">
      <c r="A539" s="260" t="s">
        <v>356</v>
      </c>
      <c r="B539" s="300">
        <f>SUM(B519,B524,B529,B534)</f>
        <v>142.99399999859389</v>
      </c>
      <c r="C539" s="300">
        <f t="shared" ref="C539:D540" si="1422">SUM(C519,C524,C529,C534)</f>
        <v>226.98500000139518</v>
      </c>
      <c r="D539" s="300">
        <f t="shared" si="1422"/>
        <v>100.05000000077361</v>
      </c>
      <c r="E539" s="300">
        <f>SUM(B539:D539)</f>
        <v>470.02900000076266</v>
      </c>
      <c r="F539" s="300"/>
      <c r="G539" s="300">
        <f>SUM(G519,G524,G529,G534)</f>
        <v>160.29399999838324</v>
      </c>
      <c r="H539" s="300">
        <f t="shared" ref="H539:I539" si="1423">SUM(H519,H524,H529,H534)</f>
        <v>233.15400000151106</v>
      </c>
      <c r="I539" s="300">
        <f t="shared" si="1423"/>
        <v>109.32100000080695</v>
      </c>
      <c r="J539" s="300">
        <f>SUM(G539:I539)</f>
        <v>502.76900000070123</v>
      </c>
      <c r="K539" s="300"/>
      <c r="L539" s="300">
        <f>SUM(L519,L524,L529,L534)</f>
        <v>147.15399999929994</v>
      </c>
      <c r="M539" s="300">
        <f t="shared" ref="M539:N539" si="1424">SUM(M519,M524,M529,M534)</f>
        <v>223.84200000126208</v>
      </c>
      <c r="N539" s="300">
        <f t="shared" si="1424"/>
        <v>146.5119999967709</v>
      </c>
      <c r="O539" s="300">
        <f>SUM(L539:N539)</f>
        <v>517.50799999733294</v>
      </c>
      <c r="P539" s="300"/>
      <c r="Q539" s="300">
        <f>SUM(Q519,Q524,Q529,Q534)</f>
        <v>147.42600000167735</v>
      </c>
      <c r="R539" s="300">
        <f t="shared" ref="R539:S539" si="1425">SUM(R519,R524,R529,R534)</f>
        <v>233.88900000242569</v>
      </c>
      <c r="S539" s="300">
        <f t="shared" si="1425"/>
        <v>147.13799999957195</v>
      </c>
      <c r="T539" s="300">
        <f>SUM(Q539:S539)</f>
        <v>528.45300000367502</v>
      </c>
      <c r="U539" s="300"/>
      <c r="V539" s="300">
        <f>SUM(V519,V524,V529,V534)</f>
        <v>149.52200000053386</v>
      </c>
      <c r="W539" s="300">
        <f t="shared" ref="W539:X539" si="1426">SUM(W519,W524,W529,W534)</f>
        <v>252.04199999903466</v>
      </c>
      <c r="X539" s="300">
        <f t="shared" si="1426"/>
        <v>164.77300000104901</v>
      </c>
      <c r="Y539" s="300">
        <f>SUM(V539:X539)</f>
        <v>566.33700000061754</v>
      </c>
    </row>
    <row r="540" spans="1:25" ht="12.45" x14ac:dyDescent="0.3">
      <c r="A540" s="260" t="s">
        <v>355</v>
      </c>
      <c r="B540" s="300">
        <f>SUM(B520,B525,B530,B535)</f>
        <v>205.67799999935067</v>
      </c>
      <c r="C540" s="300">
        <f t="shared" si="1422"/>
        <v>146.29300000106832</v>
      </c>
      <c r="D540" s="300">
        <f t="shared" si="1422"/>
        <v>159.94500000446538</v>
      </c>
      <c r="E540" s="300">
        <f t="shared" ref="E540:E541" si="1427">SUM(B540:D540)</f>
        <v>511.91600000488438</v>
      </c>
      <c r="F540" s="300"/>
      <c r="G540" s="300">
        <f>SUM(G520,G525,G530,G535)</f>
        <v>210.71799999966902</v>
      </c>
      <c r="H540" s="300">
        <f t="shared" ref="H540:I540" si="1428">SUM(H520,H525,H530,H535)</f>
        <v>153.7850000009563</v>
      </c>
      <c r="I540" s="300">
        <f t="shared" si="1428"/>
        <v>161.56200000055486</v>
      </c>
      <c r="J540" s="300">
        <f t="shared" ref="J540:J541" si="1429">SUM(G540:I540)</f>
        <v>526.06500000118012</v>
      </c>
      <c r="K540" s="300"/>
      <c r="L540" s="300">
        <f>SUM(L520,L525,L530,L535)</f>
        <v>190.3469999998274</v>
      </c>
      <c r="M540" s="300">
        <f t="shared" ref="M540:N540" si="1430">SUM(M520,M525,M530,M535)</f>
        <v>152.64900000015015</v>
      </c>
      <c r="N540" s="300">
        <f t="shared" si="1430"/>
        <v>139.49200000461039</v>
      </c>
      <c r="O540" s="300">
        <f t="shared" ref="O540:O541" si="1431">SUM(L540:N540)</f>
        <v>482.488000004588</v>
      </c>
      <c r="P540" s="300"/>
      <c r="Q540" s="300">
        <f>SUM(Q520,Q525,Q530,Q535)</f>
        <v>199.67300000034288</v>
      </c>
      <c r="R540" s="300">
        <f t="shared" ref="R540:S540" si="1432">SUM(R520,R525,R530,R535)</f>
        <v>162.51600000030527</v>
      </c>
      <c r="S540" s="300">
        <f t="shared" si="1432"/>
        <v>140.09900001076386</v>
      </c>
      <c r="T540" s="300">
        <f t="shared" ref="T540:T541" si="1433">SUM(Q540:S540)</f>
        <v>502.28800001141201</v>
      </c>
      <c r="U540" s="300"/>
      <c r="V540" s="300">
        <f>SUM(V520,V525,V530,V535)</f>
        <v>216.99800000014264</v>
      </c>
      <c r="W540" s="300">
        <f t="shared" ref="W540:X540" si="1434">SUM(W520,W525,W530,W535)</f>
        <v>181.50200000070333</v>
      </c>
      <c r="X540" s="300">
        <f t="shared" si="1434"/>
        <v>153.92600000871056</v>
      </c>
      <c r="Y540" s="300">
        <f t="shared" ref="Y540:Y541" si="1435">SUM(V540:X540)</f>
        <v>552.42600000955645</v>
      </c>
    </row>
    <row r="541" spans="1:25" ht="12.45" x14ac:dyDescent="0.3">
      <c r="A541" s="264" t="s">
        <v>354</v>
      </c>
      <c r="B541" s="301">
        <f>SUM(B539:B540)</f>
        <v>348.67199999794457</v>
      </c>
      <c r="C541" s="301">
        <f t="shared" ref="C541" si="1436">SUM(C539:C540)</f>
        <v>373.2780000024635</v>
      </c>
      <c r="D541" s="301">
        <f t="shared" ref="D541" si="1437">SUM(D539:D540)</f>
        <v>259.99500000523898</v>
      </c>
      <c r="E541" s="301">
        <f t="shared" si="1427"/>
        <v>981.94500000564699</v>
      </c>
      <c r="F541" s="301"/>
      <c r="G541" s="301">
        <f>SUM(G539:G540)</f>
        <v>371.01199999805226</v>
      </c>
      <c r="H541" s="301">
        <f t="shared" ref="H541" si="1438">SUM(H539:H540)</f>
        <v>386.93900000246737</v>
      </c>
      <c r="I541" s="301">
        <f t="shared" ref="I541" si="1439">SUM(I539:I540)</f>
        <v>270.88300000136178</v>
      </c>
      <c r="J541" s="301">
        <f t="shared" si="1429"/>
        <v>1028.8340000018813</v>
      </c>
      <c r="K541" s="301"/>
      <c r="L541" s="301">
        <f>SUM(L539:L540)</f>
        <v>337.50099999912732</v>
      </c>
      <c r="M541" s="301">
        <f t="shared" ref="M541" si="1440">SUM(M539:M540)</f>
        <v>376.4910000014122</v>
      </c>
      <c r="N541" s="301">
        <f t="shared" ref="N541" si="1441">SUM(N539:N540)</f>
        <v>286.00400000138131</v>
      </c>
      <c r="O541" s="301">
        <f t="shared" si="1431"/>
        <v>999.99600000192083</v>
      </c>
      <c r="P541" s="301"/>
      <c r="Q541" s="301">
        <f>SUM(Q539:Q540)</f>
        <v>347.09900000202026</v>
      </c>
      <c r="R541" s="301">
        <f t="shared" ref="R541" si="1442">SUM(R539:R540)</f>
        <v>396.40500000273096</v>
      </c>
      <c r="S541" s="301">
        <f t="shared" ref="S541" si="1443">SUM(S539:S540)</f>
        <v>287.23700001033581</v>
      </c>
      <c r="T541" s="301">
        <f t="shared" si="1433"/>
        <v>1030.7410000150871</v>
      </c>
      <c r="U541" s="301"/>
      <c r="V541" s="301">
        <f>SUM(V539:V540)</f>
        <v>366.52000000067653</v>
      </c>
      <c r="W541" s="301">
        <f t="shared" ref="W541" si="1444">SUM(W539:W540)</f>
        <v>433.54399999973799</v>
      </c>
      <c r="X541" s="301">
        <f t="shared" ref="X541" si="1445">SUM(X539:X540)</f>
        <v>318.69900000975957</v>
      </c>
      <c r="Y541" s="301">
        <f t="shared" si="1435"/>
        <v>1118.7630000101742</v>
      </c>
    </row>
    <row r="545" spans="1:25" ht="14.15" x14ac:dyDescent="0.35">
      <c r="A545" s="265" t="str">
        <f>"Industry 22 : "&amp; name!B25</f>
        <v>Industry 22 : Other services</v>
      </c>
      <c r="B545" s="372">
        <f>$B$5</f>
        <v>2015</v>
      </c>
      <c r="C545" s="372"/>
      <c r="D545" s="372"/>
      <c r="E545" s="372"/>
      <c r="F545" s="320"/>
      <c r="G545" s="372">
        <f>$G$5</f>
        <v>2019</v>
      </c>
      <c r="H545" s="372"/>
      <c r="I545" s="372"/>
      <c r="J545" s="372"/>
      <c r="K545" s="320"/>
      <c r="L545" s="372">
        <f>$L$5</f>
        <v>2020</v>
      </c>
      <c r="M545" s="372"/>
      <c r="N545" s="372"/>
      <c r="O545" s="372"/>
      <c r="P545" s="318"/>
      <c r="Q545" s="372">
        <f>$Q$5</f>
        <v>2025</v>
      </c>
      <c r="R545" s="372"/>
      <c r="S545" s="372"/>
      <c r="T545" s="372"/>
      <c r="U545" s="320"/>
      <c r="V545" s="372">
        <f>$V$5</f>
        <v>2035</v>
      </c>
      <c r="W545" s="372"/>
      <c r="X545" s="372"/>
      <c r="Y545" s="372"/>
    </row>
    <row r="546" spans="1:25" ht="12.45" x14ac:dyDescent="0.3">
      <c r="A546" s="264"/>
      <c r="B546" s="268" t="str">
        <f>$B$6</f>
        <v>FT</v>
      </c>
      <c r="C546" s="268" t="str">
        <f>$C$6</f>
        <v>PT</v>
      </c>
      <c r="D546" s="268" t="str">
        <f>$D$6</f>
        <v>SE</v>
      </c>
      <c r="E546" s="268" t="str">
        <f>$E$6</f>
        <v>Total</v>
      </c>
      <c r="F546" s="268"/>
      <c r="G546" s="268" t="str">
        <f>$B$6</f>
        <v>FT</v>
      </c>
      <c r="H546" s="268" t="str">
        <f>$C$6</f>
        <v>PT</v>
      </c>
      <c r="I546" s="268" t="str">
        <f>$D$6</f>
        <v>SE</v>
      </c>
      <c r="J546" s="268" t="str">
        <f>$E$6</f>
        <v>Total</v>
      </c>
      <c r="K546" s="268"/>
      <c r="L546" s="268" t="str">
        <f>$L$6</f>
        <v>FT</v>
      </c>
      <c r="M546" s="268" t="str">
        <f>$M$6</f>
        <v>PT</v>
      </c>
      <c r="N546" s="268" t="str">
        <f>$N$6</f>
        <v>SE</v>
      </c>
      <c r="O546" s="268" t="str">
        <f>$O$6</f>
        <v>Total</v>
      </c>
      <c r="P546" s="268"/>
      <c r="Q546" s="268" t="str">
        <f>$L$6</f>
        <v>FT</v>
      </c>
      <c r="R546" s="268" t="str">
        <f>$M$6</f>
        <v>PT</v>
      </c>
      <c r="S546" s="268" t="str">
        <f>$N$6</f>
        <v>SE</v>
      </c>
      <c r="T546" s="268" t="str">
        <f>$O$6</f>
        <v>Total</v>
      </c>
      <c r="U546" s="268"/>
      <c r="V546" s="268" t="str">
        <f>$V$6</f>
        <v>FT</v>
      </c>
      <c r="W546" s="268" t="str">
        <f>$W$6</f>
        <v>PT</v>
      </c>
      <c r="X546" s="268" t="str">
        <f>$X$6</f>
        <v>SE</v>
      </c>
      <c r="Y546" s="268" t="str">
        <f>$Y$6</f>
        <v>Total</v>
      </c>
    </row>
    <row r="547" spans="1:25" ht="12.45" x14ac:dyDescent="0.3">
      <c r="C547" s="319"/>
      <c r="D547" s="319"/>
      <c r="E547" s="319"/>
      <c r="F547" s="319"/>
      <c r="G547" s="319"/>
      <c r="H547" s="319"/>
      <c r="I547" s="319"/>
      <c r="J547" s="319"/>
      <c r="K547" s="319"/>
      <c r="L547" s="319"/>
      <c r="M547" s="319"/>
      <c r="N547" s="319"/>
      <c r="O547" s="319"/>
      <c r="P547" s="319"/>
      <c r="Q547" s="319"/>
      <c r="R547" s="319"/>
      <c r="S547" s="319"/>
      <c r="T547" s="319"/>
      <c r="U547" s="319"/>
      <c r="V547" s="319"/>
      <c r="W547" s="319"/>
      <c r="X547" s="319"/>
      <c r="Y547" s="319"/>
    </row>
    <row r="548" spans="1:25" ht="12.45" x14ac:dyDescent="0.3">
      <c r="A548" s="261" t="str">
        <f>name!A76</f>
        <v>Membership organisations</v>
      </c>
      <c r="C548" s="263"/>
    </row>
    <row r="549" spans="1:25" ht="12.45" x14ac:dyDescent="0.3">
      <c r="A549" s="260" t="s">
        <v>356</v>
      </c>
      <c r="B549" s="300">
        <v>104.91099999869542</v>
      </c>
      <c r="C549" s="300">
        <v>98.166999999892852</v>
      </c>
      <c r="D549" s="300">
        <v>76.535000000058488</v>
      </c>
      <c r="E549" s="300">
        <f>SUM(B549:D549)</f>
        <v>279.61299999864673</v>
      </c>
      <c r="F549" s="300"/>
      <c r="G549" s="300">
        <v>109.07099999889395</v>
      </c>
      <c r="H549" s="300">
        <v>89.220000000061404</v>
      </c>
      <c r="I549" s="300">
        <v>99.566000000331016</v>
      </c>
      <c r="J549" s="300">
        <f>SUM(G549:I549)</f>
        <v>297.85699999928636</v>
      </c>
      <c r="K549" s="300"/>
      <c r="L549" s="300">
        <v>108.4759999994436</v>
      </c>
      <c r="M549" s="300">
        <v>88.648000000021753</v>
      </c>
      <c r="N549" s="300">
        <v>95.891999998427153</v>
      </c>
      <c r="O549" s="300">
        <f>SUM(L549:N549)</f>
        <v>293.01599999789249</v>
      </c>
      <c r="P549" s="300"/>
      <c r="Q549" s="300">
        <v>105.69700000115593</v>
      </c>
      <c r="R549" s="300">
        <v>85.987000000076236</v>
      </c>
      <c r="S549" s="300">
        <v>93.471999999687995</v>
      </c>
      <c r="T549" s="300">
        <f>SUM(Q549:S549)</f>
        <v>285.15600000092013</v>
      </c>
      <c r="U549" s="300"/>
      <c r="V549" s="300">
        <v>102.83400000032469</v>
      </c>
      <c r="W549" s="300">
        <v>84.043999999867054</v>
      </c>
      <c r="X549" s="300">
        <v>92.385000001728244</v>
      </c>
      <c r="Y549" s="300">
        <f>SUM(V549:X549)</f>
        <v>279.26300000191998</v>
      </c>
    </row>
    <row r="550" spans="1:25" ht="12.45" x14ac:dyDescent="0.3">
      <c r="A550" s="260" t="s">
        <v>355</v>
      </c>
      <c r="B550" s="300">
        <v>69.810999998460346</v>
      </c>
      <c r="C550" s="300">
        <v>22.845999999932168</v>
      </c>
      <c r="D550" s="300">
        <v>39.525000000624679</v>
      </c>
      <c r="E550" s="300">
        <f t="shared" ref="E550:E551" si="1446">SUM(B550:D550)</f>
        <v>132.18199999901719</v>
      </c>
      <c r="F550" s="300"/>
      <c r="G550" s="300">
        <v>59.853999999221998</v>
      </c>
      <c r="H550" s="300">
        <v>25.462999999916427</v>
      </c>
      <c r="I550" s="300">
        <v>37.377999999718909</v>
      </c>
      <c r="J550" s="300">
        <f t="shared" ref="J550:J551" si="1447">SUM(G550:I550)</f>
        <v>122.69499999885734</v>
      </c>
      <c r="K550" s="300"/>
      <c r="L550" s="300">
        <v>58.687999999885953</v>
      </c>
      <c r="M550" s="300">
        <v>26.339000000110861</v>
      </c>
      <c r="N550" s="300">
        <v>22.013000000547645</v>
      </c>
      <c r="O550" s="300">
        <f t="shared" ref="O550:O551" si="1448">SUM(L550:N550)</f>
        <v>107.04000000054447</v>
      </c>
      <c r="P550" s="300"/>
      <c r="Q550" s="300">
        <v>60.817000000181437</v>
      </c>
      <c r="R550" s="300">
        <v>26.493000000039448</v>
      </c>
      <c r="S550" s="300">
        <v>22.853000001338703</v>
      </c>
      <c r="T550" s="300">
        <f t="shared" ref="T550:T551" si="1449">SUM(Q550:S550)</f>
        <v>110.16300000155958</v>
      </c>
      <c r="U550" s="300"/>
      <c r="V550" s="300">
        <v>64.899999999962517</v>
      </c>
      <c r="W550" s="300">
        <v>27.138000000012276</v>
      </c>
      <c r="X550" s="300">
        <v>24.973000000980822</v>
      </c>
      <c r="Y550" s="300">
        <f t="shared" ref="Y550:Y551" si="1450">SUM(V550:X550)</f>
        <v>117.01100000095562</v>
      </c>
    </row>
    <row r="551" spans="1:25" ht="12.45" x14ac:dyDescent="0.3">
      <c r="A551" s="260" t="s">
        <v>354</v>
      </c>
      <c r="B551" s="300">
        <f>SUM(B549:B550)</f>
        <v>174.72199999715576</v>
      </c>
      <c r="C551" s="300">
        <f t="shared" ref="C551" si="1451">SUM(C549:C550)</f>
        <v>121.01299999982501</v>
      </c>
      <c r="D551" s="300">
        <f t="shared" ref="D551" si="1452">SUM(D549:D550)</f>
        <v>116.06000000068317</v>
      </c>
      <c r="E551" s="300">
        <f t="shared" si="1446"/>
        <v>411.79499999766392</v>
      </c>
      <c r="F551" s="300"/>
      <c r="G551" s="300">
        <f>SUM(G549:G550)</f>
        <v>168.92499999811594</v>
      </c>
      <c r="H551" s="300">
        <f t="shared" ref="H551" si="1453">SUM(H549:H550)</f>
        <v>114.68299999997782</v>
      </c>
      <c r="I551" s="300">
        <f t="shared" ref="I551" si="1454">SUM(I549:I550)</f>
        <v>136.94400000004993</v>
      </c>
      <c r="J551" s="300">
        <f t="shared" si="1447"/>
        <v>420.55199999814369</v>
      </c>
      <c r="K551" s="300"/>
      <c r="L551" s="300">
        <f>SUM(L549:L550)</f>
        <v>167.16399999932955</v>
      </c>
      <c r="M551" s="300">
        <f t="shared" ref="M551" si="1455">SUM(M549:M550)</f>
        <v>114.98700000013261</v>
      </c>
      <c r="N551" s="300">
        <f t="shared" ref="N551" si="1456">SUM(N549:N550)</f>
        <v>117.9049999989748</v>
      </c>
      <c r="O551" s="300">
        <f t="shared" si="1448"/>
        <v>400.05599999843696</v>
      </c>
      <c r="P551" s="300"/>
      <c r="Q551" s="300">
        <f>SUM(Q549:Q550)</f>
        <v>166.51400000133737</v>
      </c>
      <c r="R551" s="300">
        <f t="shared" ref="R551" si="1457">SUM(R549:R550)</f>
        <v>112.48000000011568</v>
      </c>
      <c r="S551" s="300">
        <f t="shared" ref="S551" si="1458">SUM(S549:S550)</f>
        <v>116.32500000102669</v>
      </c>
      <c r="T551" s="300">
        <f t="shared" si="1449"/>
        <v>395.31900000247975</v>
      </c>
      <c r="U551" s="300"/>
      <c r="V551" s="300">
        <f>SUM(V549:V550)</f>
        <v>167.73400000028721</v>
      </c>
      <c r="W551" s="300">
        <f t="shared" ref="W551" si="1459">SUM(W549:W550)</f>
        <v>111.18199999987934</v>
      </c>
      <c r="X551" s="300">
        <f t="shared" ref="X551" si="1460">SUM(X549:X550)</f>
        <v>117.35800000270906</v>
      </c>
      <c r="Y551" s="300">
        <f t="shared" si="1450"/>
        <v>396.2740000028756</v>
      </c>
    </row>
    <row r="552" spans="1:25" ht="12.45" x14ac:dyDescent="0.3">
      <c r="C552" s="319"/>
      <c r="D552" s="319"/>
      <c r="E552" s="319"/>
      <c r="F552" s="319"/>
      <c r="G552" s="319"/>
      <c r="H552" s="319"/>
      <c r="I552" s="319"/>
      <c r="J552" s="319"/>
      <c r="K552" s="319"/>
      <c r="L552" s="319"/>
      <c r="M552" s="319"/>
      <c r="N552" s="319"/>
      <c r="O552" s="319"/>
      <c r="P552" s="319"/>
      <c r="Q552" s="319"/>
      <c r="R552" s="319"/>
      <c r="S552" s="319"/>
      <c r="T552" s="319"/>
      <c r="U552" s="319"/>
      <c r="V552" s="319"/>
      <c r="W552" s="319"/>
      <c r="X552" s="319"/>
      <c r="Y552" s="319"/>
    </row>
    <row r="553" spans="1:25" ht="12.45" x14ac:dyDescent="0.3">
      <c r="A553" s="261" t="str">
        <f>name!A77</f>
        <v>Repair of goods</v>
      </c>
      <c r="C553" s="263"/>
    </row>
    <row r="554" spans="1:25" ht="12.45" x14ac:dyDescent="0.3">
      <c r="A554" s="260" t="s">
        <v>356</v>
      </c>
      <c r="B554" s="300">
        <v>6.8819999999143828</v>
      </c>
      <c r="C554" s="300">
        <v>4.4270000002137673</v>
      </c>
      <c r="D554" s="300">
        <v>10.04700000011678</v>
      </c>
      <c r="E554" s="300">
        <f>SUM(B554:D554)</f>
        <v>21.356000000244933</v>
      </c>
      <c r="F554" s="300"/>
      <c r="G554" s="300">
        <v>7.9509999998753651</v>
      </c>
      <c r="H554" s="300">
        <v>5.9310000002280843</v>
      </c>
      <c r="I554" s="300">
        <v>14.15800000018279</v>
      </c>
      <c r="J554" s="300">
        <f>SUM(G554:I554)</f>
        <v>28.040000000286241</v>
      </c>
      <c r="K554" s="300"/>
      <c r="L554" s="300">
        <v>7.7299999999305777</v>
      </c>
      <c r="M554" s="300">
        <v>5.9410000002187067</v>
      </c>
      <c r="N554" s="300">
        <v>14.33799999972234</v>
      </c>
      <c r="O554" s="300">
        <f>SUM(L554:N554)</f>
        <v>28.008999999871627</v>
      </c>
      <c r="P554" s="300"/>
      <c r="Q554" s="300">
        <v>7.4180000001678614</v>
      </c>
      <c r="R554" s="300">
        <v>5.8770000003639948</v>
      </c>
      <c r="S554" s="300">
        <v>13.970999999980579</v>
      </c>
      <c r="T554" s="300">
        <f>SUM(Q554:S554)</f>
        <v>27.266000000512435</v>
      </c>
      <c r="U554" s="300"/>
      <c r="V554" s="300">
        <v>7.1769999999918515</v>
      </c>
      <c r="W554" s="300">
        <v>5.7909999999472923</v>
      </c>
      <c r="X554" s="300">
        <v>13.799000000194544</v>
      </c>
      <c r="Y554" s="300">
        <f>SUM(V554:X554)</f>
        <v>26.767000000133688</v>
      </c>
    </row>
    <row r="555" spans="1:25" ht="12.45" x14ac:dyDescent="0.3">
      <c r="A555" s="260" t="s">
        <v>355</v>
      </c>
      <c r="B555" s="300">
        <v>30.742999999664541</v>
      </c>
      <c r="C555" s="300">
        <v>2.2100000000354161</v>
      </c>
      <c r="D555" s="300">
        <v>14.467000000155219</v>
      </c>
      <c r="E555" s="300">
        <f t="shared" ref="E555:E556" si="1461">SUM(B555:D555)</f>
        <v>47.419999999855172</v>
      </c>
      <c r="F555" s="300"/>
      <c r="G555" s="300">
        <v>29.202999999746357</v>
      </c>
      <c r="H555" s="300">
        <v>3.3600000000653041</v>
      </c>
      <c r="I555" s="300">
        <v>15.479000000079411</v>
      </c>
      <c r="J555" s="300">
        <f t="shared" ref="J555:J556" si="1462">SUM(G555:I555)</f>
        <v>48.041999999891068</v>
      </c>
      <c r="K555" s="300"/>
      <c r="L555" s="300">
        <v>28.840999999760985</v>
      </c>
      <c r="M555" s="300">
        <v>3.7479999999722167</v>
      </c>
      <c r="N555" s="300">
        <v>27.986000000218375</v>
      </c>
      <c r="O555" s="300">
        <f t="shared" ref="O555:O556" si="1463">SUM(L555:N555)</f>
        <v>60.574999999951579</v>
      </c>
      <c r="P555" s="300"/>
      <c r="Q555" s="300">
        <v>29.17799999989332</v>
      </c>
      <c r="R555" s="300">
        <v>3.7410000000007617</v>
      </c>
      <c r="S555" s="300">
        <v>29.248000000508963</v>
      </c>
      <c r="T555" s="300">
        <f t="shared" ref="T555:T556" si="1464">SUM(Q555:S555)</f>
        <v>62.16700000040305</v>
      </c>
      <c r="U555" s="300"/>
      <c r="V555" s="300">
        <v>30.789999999758614</v>
      </c>
      <c r="W555" s="300">
        <v>3.8160000000131054</v>
      </c>
      <c r="X555" s="300">
        <v>30.751000000319987</v>
      </c>
      <c r="Y555" s="300">
        <f t="shared" ref="Y555:Y556" si="1465">SUM(V555:X555)</f>
        <v>65.357000000091702</v>
      </c>
    </row>
    <row r="556" spans="1:25" ht="12.45" x14ac:dyDescent="0.3">
      <c r="A556" s="260" t="s">
        <v>354</v>
      </c>
      <c r="B556" s="300">
        <f>SUM(B554:B555)</f>
        <v>37.624999999578925</v>
      </c>
      <c r="C556" s="300">
        <f t="shared" ref="C556" si="1466">SUM(C554:C555)</f>
        <v>6.6370000002491834</v>
      </c>
      <c r="D556" s="300">
        <f t="shared" ref="D556" si="1467">SUM(D554:D555)</f>
        <v>24.514000000271999</v>
      </c>
      <c r="E556" s="300">
        <f t="shared" si="1461"/>
        <v>68.776000000100112</v>
      </c>
      <c r="F556" s="300"/>
      <c r="G556" s="300">
        <f>SUM(G554:G555)</f>
        <v>37.153999999621725</v>
      </c>
      <c r="H556" s="300">
        <f t="shared" ref="H556" si="1468">SUM(H554:H555)</f>
        <v>9.2910000002933888</v>
      </c>
      <c r="I556" s="300">
        <f t="shared" ref="I556" si="1469">SUM(I554:I555)</f>
        <v>29.637000000262201</v>
      </c>
      <c r="J556" s="300">
        <f t="shared" si="1462"/>
        <v>76.082000000177317</v>
      </c>
      <c r="K556" s="300"/>
      <c r="L556" s="300">
        <f>SUM(L554:L555)</f>
        <v>36.570999999691566</v>
      </c>
      <c r="M556" s="300">
        <f t="shared" ref="M556" si="1470">SUM(M554:M555)</f>
        <v>9.6890000001909229</v>
      </c>
      <c r="N556" s="300">
        <f t="shared" ref="N556" si="1471">SUM(N554:N555)</f>
        <v>42.323999999940717</v>
      </c>
      <c r="O556" s="300">
        <f t="shared" si="1463"/>
        <v>88.583999999823206</v>
      </c>
      <c r="P556" s="300"/>
      <c r="Q556" s="300">
        <f>SUM(Q554:Q555)</f>
        <v>36.596000000061181</v>
      </c>
      <c r="R556" s="300">
        <f t="shared" ref="R556" si="1472">SUM(R554:R555)</f>
        <v>9.6180000003647557</v>
      </c>
      <c r="S556" s="300">
        <f t="shared" ref="S556" si="1473">SUM(S554:S555)</f>
        <v>43.219000000489544</v>
      </c>
      <c r="T556" s="300">
        <f t="shared" si="1464"/>
        <v>89.433000000915484</v>
      </c>
      <c r="U556" s="300"/>
      <c r="V556" s="300">
        <f>SUM(V554:V555)</f>
        <v>37.966999999750463</v>
      </c>
      <c r="W556" s="300">
        <f t="shared" ref="W556" si="1474">SUM(W554:W555)</f>
        <v>9.6069999999603972</v>
      </c>
      <c r="X556" s="300">
        <f t="shared" ref="X556" si="1475">SUM(X554:X555)</f>
        <v>44.55000000051453</v>
      </c>
      <c r="Y556" s="300">
        <f t="shared" si="1465"/>
        <v>92.124000000225394</v>
      </c>
    </row>
    <row r="557" spans="1:25" ht="12.45" x14ac:dyDescent="0.3">
      <c r="C557" s="319"/>
      <c r="D557" s="319"/>
      <c r="E557" s="319"/>
      <c r="F557" s="319"/>
      <c r="G557" s="319"/>
      <c r="H557" s="319"/>
      <c r="I557" s="319"/>
      <c r="J557" s="319"/>
      <c r="K557" s="319"/>
      <c r="L557" s="319"/>
      <c r="M557" s="319"/>
      <c r="N557" s="319"/>
      <c r="O557" s="319"/>
      <c r="P557" s="319"/>
      <c r="Q557" s="319"/>
      <c r="R557" s="319"/>
      <c r="S557" s="319"/>
      <c r="T557" s="319"/>
      <c r="U557" s="319"/>
      <c r="V557" s="319"/>
      <c r="W557" s="319"/>
      <c r="X557" s="319"/>
      <c r="Y557" s="319"/>
    </row>
    <row r="558" spans="1:25" ht="12.45" x14ac:dyDescent="0.3">
      <c r="A558" s="261" t="str">
        <f>name!A78</f>
        <v>Other personal service</v>
      </c>
      <c r="C558" s="263"/>
    </row>
    <row r="559" spans="1:25" ht="12.45" x14ac:dyDescent="0.3">
      <c r="A559" s="260" t="s">
        <v>356</v>
      </c>
      <c r="B559" s="300">
        <v>83.487999999753413</v>
      </c>
      <c r="C559" s="300">
        <v>94.690000001428928</v>
      </c>
      <c r="D559" s="300">
        <v>106.63000000254999</v>
      </c>
      <c r="E559" s="300">
        <f>SUM(B559:D559)</f>
        <v>284.80800000373233</v>
      </c>
      <c r="F559" s="300"/>
      <c r="G559" s="300">
        <v>87.623999999401562</v>
      </c>
      <c r="H559" s="300">
        <v>93.617000001295025</v>
      </c>
      <c r="I559" s="300">
        <v>139.59900000355049</v>
      </c>
      <c r="J559" s="300">
        <f>SUM(G559:I559)</f>
        <v>320.84000000424709</v>
      </c>
      <c r="K559" s="300"/>
      <c r="L559" s="300">
        <v>89.354999999718331</v>
      </c>
      <c r="M559" s="300">
        <v>93.518000001184163</v>
      </c>
      <c r="N559" s="300">
        <v>139.76999999657122</v>
      </c>
      <c r="O559" s="300">
        <f>SUM(L559:N559)</f>
        <v>322.64299999747368</v>
      </c>
      <c r="P559" s="300"/>
      <c r="Q559" s="300">
        <v>85.787000001655301</v>
      </c>
      <c r="R559" s="300">
        <v>90.734000001608692</v>
      </c>
      <c r="S559" s="300">
        <v>135.78399999988073</v>
      </c>
      <c r="T559" s="300">
        <f>SUM(Q559:S559)</f>
        <v>312.30500000314476</v>
      </c>
      <c r="U559" s="300"/>
      <c r="V559" s="300">
        <v>82.945999999689818</v>
      </c>
      <c r="W559" s="300">
        <v>88.685999999531177</v>
      </c>
      <c r="X559" s="300">
        <v>133.97100000033322</v>
      </c>
      <c r="Y559" s="300">
        <f>SUM(V559:X559)</f>
        <v>305.60299999955419</v>
      </c>
    </row>
    <row r="560" spans="1:25" ht="12.45" x14ac:dyDescent="0.3">
      <c r="A560" s="260" t="s">
        <v>355</v>
      </c>
      <c r="B560" s="300">
        <v>112.96200000016721</v>
      </c>
      <c r="C560" s="300">
        <v>30.8180000002063</v>
      </c>
      <c r="D560" s="300">
        <v>52.801000001373367</v>
      </c>
      <c r="E560" s="300">
        <f t="shared" ref="E560:E561" si="1476">SUM(B560:D560)</f>
        <v>196.58100000174687</v>
      </c>
      <c r="F560" s="300"/>
      <c r="G560" s="300">
        <v>102.14000000004692</v>
      </c>
      <c r="H560" s="300">
        <v>35.519000000169754</v>
      </c>
      <c r="I560" s="300">
        <v>49.663000000478796</v>
      </c>
      <c r="J560" s="300">
        <f t="shared" ref="J560:J561" si="1477">SUM(G560:I560)</f>
        <v>187.32200000069548</v>
      </c>
      <c r="K560" s="300"/>
      <c r="L560" s="300">
        <v>102.01600000001088</v>
      </c>
      <c r="M560" s="300">
        <v>36.697000000034905</v>
      </c>
      <c r="N560" s="300">
        <v>50.002000000966873</v>
      </c>
      <c r="O560" s="300">
        <f t="shared" ref="O560:O561" si="1478">SUM(L560:N560)</f>
        <v>188.71500000101264</v>
      </c>
      <c r="P560" s="300"/>
      <c r="Q560" s="300">
        <v>103.25000000017491</v>
      </c>
      <c r="R560" s="300">
        <v>36.313999999992362</v>
      </c>
      <c r="S560" s="300">
        <v>50.104000002194397</v>
      </c>
      <c r="T560" s="300">
        <f t="shared" ref="T560:T561" si="1479">SUM(Q560:S560)</f>
        <v>189.66800000236165</v>
      </c>
      <c r="U560" s="300"/>
      <c r="V560" s="300">
        <v>109.03100000017103</v>
      </c>
      <c r="W560" s="300">
        <v>36.934000000005263</v>
      </c>
      <c r="X560" s="300">
        <v>52.194000001614121</v>
      </c>
      <c r="Y560" s="300">
        <f t="shared" ref="Y560:Y561" si="1480">SUM(V560:X560)</f>
        <v>198.15900000179042</v>
      </c>
    </row>
    <row r="561" spans="1:25" ht="12.45" x14ac:dyDescent="0.3">
      <c r="A561" s="260" t="s">
        <v>354</v>
      </c>
      <c r="B561" s="300">
        <f>SUM(B559:B560)</f>
        <v>196.44999999992064</v>
      </c>
      <c r="C561" s="300">
        <f t="shared" ref="C561" si="1481">SUM(C559:C560)</f>
        <v>125.50800000163522</v>
      </c>
      <c r="D561" s="300">
        <f t="shared" ref="D561" si="1482">SUM(D559:D560)</f>
        <v>159.43100000392337</v>
      </c>
      <c r="E561" s="300">
        <f t="shared" si="1476"/>
        <v>481.38900000547926</v>
      </c>
      <c r="F561" s="300"/>
      <c r="G561" s="300">
        <f>SUM(G559:G560)</f>
        <v>189.76399999944849</v>
      </c>
      <c r="H561" s="300">
        <f t="shared" ref="H561" si="1483">SUM(H559:H560)</f>
        <v>129.13600000146477</v>
      </c>
      <c r="I561" s="300">
        <f t="shared" ref="I561" si="1484">SUM(I559:I560)</f>
        <v>189.26200000402929</v>
      </c>
      <c r="J561" s="300">
        <f t="shared" si="1477"/>
        <v>508.16200000494251</v>
      </c>
      <c r="K561" s="300"/>
      <c r="L561" s="300">
        <f>SUM(L559:L560)</f>
        <v>191.37099999972921</v>
      </c>
      <c r="M561" s="300">
        <f t="shared" ref="M561" si="1485">SUM(M559:M560)</f>
        <v>130.21500000121907</v>
      </c>
      <c r="N561" s="300">
        <f t="shared" ref="N561" si="1486">SUM(N559:N560)</f>
        <v>189.7719999975381</v>
      </c>
      <c r="O561" s="300">
        <f t="shared" si="1478"/>
        <v>511.35799999848638</v>
      </c>
      <c r="P561" s="300"/>
      <c r="Q561" s="300">
        <f>SUM(Q559:Q560)</f>
        <v>189.03700000183022</v>
      </c>
      <c r="R561" s="300">
        <f t="shared" ref="R561" si="1487">SUM(R559:R560)</f>
        <v>127.04800000160105</v>
      </c>
      <c r="S561" s="300">
        <f t="shared" ref="S561" si="1488">SUM(S559:S560)</f>
        <v>185.88800000207513</v>
      </c>
      <c r="T561" s="300">
        <f t="shared" si="1479"/>
        <v>501.97300000550638</v>
      </c>
      <c r="U561" s="300"/>
      <c r="V561" s="300">
        <f>SUM(V559:V560)</f>
        <v>191.97699999986085</v>
      </c>
      <c r="W561" s="300">
        <f t="shared" ref="W561" si="1489">SUM(W559:W560)</f>
        <v>125.61999999953645</v>
      </c>
      <c r="X561" s="300">
        <f t="shared" ref="X561" si="1490">SUM(X559:X560)</f>
        <v>186.16500000194733</v>
      </c>
      <c r="Y561" s="300">
        <f t="shared" si="1480"/>
        <v>503.76200000134463</v>
      </c>
    </row>
    <row r="562" spans="1:25" ht="12.45" x14ac:dyDescent="0.3">
      <c r="A562" s="261"/>
      <c r="C562" s="263"/>
    </row>
    <row r="563" spans="1:25" ht="12.45" x14ac:dyDescent="0.3">
      <c r="A563" s="261" t="s">
        <v>357</v>
      </c>
      <c r="C563" s="263"/>
    </row>
    <row r="564" spans="1:25" ht="12.45" x14ac:dyDescent="0.3">
      <c r="A564" s="260" t="s">
        <v>356</v>
      </c>
      <c r="B564" s="300">
        <f>SUM(B549,B554,B559)</f>
        <v>195.2809999983632</v>
      </c>
      <c r="C564" s="300">
        <f t="shared" ref="C564:D564" si="1491">SUM(C549,C554,C559)</f>
        <v>197.28400000153556</v>
      </c>
      <c r="D564" s="300">
        <f t="shared" si="1491"/>
        <v>193.21200000272526</v>
      </c>
      <c r="E564" s="300">
        <f>SUM(B564:D564)</f>
        <v>585.77700000262405</v>
      </c>
      <c r="F564" s="300"/>
      <c r="G564" s="300">
        <f>SUM(G549,G554,G559)</f>
        <v>204.64599999817088</v>
      </c>
      <c r="H564" s="300">
        <f t="shared" ref="H564:I564" si="1492">SUM(H549,H554,H559)</f>
        <v>188.76800000158451</v>
      </c>
      <c r="I564" s="300">
        <f t="shared" si="1492"/>
        <v>253.32300000406428</v>
      </c>
      <c r="J564" s="300">
        <f>SUM(G564:I564)</f>
        <v>646.73700000381973</v>
      </c>
      <c r="K564" s="300"/>
      <c r="L564" s="300">
        <f>SUM(L549,L554,L559)</f>
        <v>205.56099999909253</v>
      </c>
      <c r="M564" s="300">
        <f t="shared" ref="M564" si="1493">SUM(M549,M554,M559)</f>
        <v>188.10700000142464</v>
      </c>
      <c r="N564" s="300">
        <f>SUM(N549,N554,N559)</f>
        <v>249.99999999472072</v>
      </c>
      <c r="O564" s="300">
        <f>SUM(L564:N564)</f>
        <v>643.66799999523789</v>
      </c>
      <c r="P564" s="300"/>
      <c r="Q564" s="300">
        <f>SUM(Q549,Q554,Q559)</f>
        <v>198.90200000297909</v>
      </c>
      <c r="R564" s="300">
        <f t="shared" ref="R564:S564" si="1494">SUM(R549,R554,R559)</f>
        <v>182.59800000204893</v>
      </c>
      <c r="S564" s="300">
        <f t="shared" si="1494"/>
        <v>243.22699999954932</v>
      </c>
      <c r="T564" s="300">
        <f>SUM(Q564:S564)</f>
        <v>624.72700000457735</v>
      </c>
      <c r="U564" s="300"/>
      <c r="V564" s="300">
        <f>SUM(V549,V554,V559)</f>
        <v>192.95700000000636</v>
      </c>
      <c r="W564" s="300">
        <f t="shared" ref="W564:X564" si="1495">SUM(W549,W554,W559)</f>
        <v>178.52099999934552</v>
      </c>
      <c r="X564" s="300">
        <f t="shared" si="1495"/>
        <v>240.155000002256</v>
      </c>
      <c r="Y564" s="300">
        <f>SUM(V564:X564)</f>
        <v>611.63300000160791</v>
      </c>
    </row>
    <row r="565" spans="1:25" ht="12.45" x14ac:dyDescent="0.3">
      <c r="A565" s="260" t="s">
        <v>355</v>
      </c>
      <c r="B565" s="300">
        <f>SUM(B550,B555,B560)</f>
        <v>213.5159999982921</v>
      </c>
      <c r="C565" s="300">
        <f t="shared" ref="C565:D565" si="1496">SUM(C550,C555,C560)</f>
        <v>55.874000000173879</v>
      </c>
      <c r="D565" s="300">
        <f t="shared" si="1496"/>
        <v>106.79300000215326</v>
      </c>
      <c r="E565" s="300">
        <f t="shared" ref="E565:E566" si="1497">SUM(B565:D565)</f>
        <v>376.18300000061924</v>
      </c>
      <c r="F565" s="300"/>
      <c r="G565" s="300">
        <f>SUM(G550,G555,G560)</f>
        <v>191.19699999901528</v>
      </c>
      <c r="H565" s="300">
        <f t="shared" ref="H565:I565" si="1498">SUM(H550,H555,H560)</f>
        <v>64.342000000151486</v>
      </c>
      <c r="I565" s="300">
        <f t="shared" si="1498"/>
        <v>102.52000000027712</v>
      </c>
      <c r="J565" s="300">
        <f t="shared" ref="J565:J566" si="1499">SUM(G565:I565)</f>
        <v>358.05899999944393</v>
      </c>
      <c r="K565" s="300"/>
      <c r="L565" s="300">
        <f>SUM(L550,L555,L560)</f>
        <v>189.54499999965782</v>
      </c>
      <c r="M565" s="300">
        <f t="shared" ref="M565:N565" si="1500">SUM(M550,M555,M560)</f>
        <v>66.784000000117985</v>
      </c>
      <c r="N565" s="300">
        <f t="shared" si="1500"/>
        <v>100.00100000173289</v>
      </c>
      <c r="O565" s="300">
        <f t="shared" ref="O565:O566" si="1501">SUM(L565:N565)</f>
        <v>356.33000000150872</v>
      </c>
      <c r="P565" s="300"/>
      <c r="Q565" s="300">
        <f>SUM(Q550,Q555,Q560)</f>
        <v>193.24500000024966</v>
      </c>
      <c r="R565" s="300">
        <f t="shared" ref="R565:S565" si="1502">SUM(R550,R555,R560)</f>
        <v>66.548000000032573</v>
      </c>
      <c r="S565" s="300">
        <f t="shared" si="1502"/>
        <v>102.20500000404206</v>
      </c>
      <c r="T565" s="300">
        <f t="shared" ref="T565:T566" si="1503">SUM(Q565:S565)</f>
        <v>361.9980000043243</v>
      </c>
      <c r="U565" s="300"/>
      <c r="V565" s="300">
        <f>SUM(V550,V555,V560)</f>
        <v>204.72099999989217</v>
      </c>
      <c r="W565" s="300">
        <f t="shared" ref="W565:X565" si="1504">SUM(W550,W555,W560)</f>
        <v>67.888000000030644</v>
      </c>
      <c r="X565" s="300">
        <f t="shared" si="1504"/>
        <v>107.91800000291494</v>
      </c>
      <c r="Y565" s="300">
        <f t="shared" ref="Y565:Y566" si="1505">SUM(V565:X565)</f>
        <v>380.52700000283778</v>
      </c>
    </row>
    <row r="566" spans="1:25" ht="12.45" x14ac:dyDescent="0.3">
      <c r="A566" s="264" t="s">
        <v>354</v>
      </c>
      <c r="B566" s="301">
        <f>SUM(B564:B565)</f>
        <v>408.7969999966553</v>
      </c>
      <c r="C566" s="301">
        <f t="shared" ref="C566" si="1506">SUM(C564:C565)</f>
        <v>253.15800000170944</v>
      </c>
      <c r="D566" s="301">
        <f t="shared" ref="D566" si="1507">SUM(D564:D565)</f>
        <v>300.00500000487853</v>
      </c>
      <c r="E566" s="301">
        <f t="shared" si="1497"/>
        <v>961.96000000324329</v>
      </c>
      <c r="F566" s="301"/>
      <c r="G566" s="301">
        <f>SUM(G564:G565)</f>
        <v>395.84299999718615</v>
      </c>
      <c r="H566" s="301">
        <f t="shared" ref="H566" si="1508">SUM(H564:H565)</f>
        <v>253.11000000173601</v>
      </c>
      <c r="I566" s="301">
        <f t="shared" ref="I566" si="1509">SUM(I564:I565)</f>
        <v>355.84300000434143</v>
      </c>
      <c r="J566" s="301">
        <f t="shared" si="1499"/>
        <v>1004.7960000032637</v>
      </c>
      <c r="K566" s="301"/>
      <c r="L566" s="301">
        <f>SUM(L564:L565)</f>
        <v>395.10599999875035</v>
      </c>
      <c r="M566" s="301">
        <f t="shared" ref="M566" si="1510">SUM(M564:M565)</f>
        <v>254.89100000154264</v>
      </c>
      <c r="N566" s="301">
        <f t="shared" ref="N566" si="1511">SUM(N564:N565)</f>
        <v>350.00099999645363</v>
      </c>
      <c r="O566" s="301">
        <f t="shared" si="1501"/>
        <v>999.99799999674656</v>
      </c>
      <c r="P566" s="301"/>
      <c r="Q566" s="301">
        <f>SUM(Q564:Q565)</f>
        <v>392.14700000322875</v>
      </c>
      <c r="R566" s="301">
        <f t="shared" ref="R566" si="1512">SUM(R564:R565)</f>
        <v>249.14600000208151</v>
      </c>
      <c r="S566" s="301">
        <f t="shared" ref="S566" si="1513">SUM(S564:S565)</f>
        <v>345.43200000359138</v>
      </c>
      <c r="T566" s="301">
        <f t="shared" si="1503"/>
        <v>986.72500000890159</v>
      </c>
      <c r="U566" s="301"/>
      <c r="V566" s="301">
        <f>SUM(V564:V565)</f>
        <v>397.67799999989853</v>
      </c>
      <c r="W566" s="301">
        <f t="shared" ref="W566" si="1514">SUM(W564:W565)</f>
        <v>246.40899999937616</v>
      </c>
      <c r="X566" s="301">
        <f t="shared" ref="X566" si="1515">SUM(X564:X565)</f>
        <v>348.07300000517091</v>
      </c>
      <c r="Y566" s="301">
        <f t="shared" si="1505"/>
        <v>992.16000000444558</v>
      </c>
    </row>
    <row r="578" spans="1:3" x14ac:dyDescent="0.35">
      <c r="A578" s="261"/>
    </row>
    <row r="579" spans="1:3" ht="12.45" x14ac:dyDescent="0.3">
      <c r="C579" s="263"/>
    </row>
    <row r="580" spans="1:3" ht="12.45" x14ac:dyDescent="0.3">
      <c r="C580" s="263"/>
    </row>
    <row r="581" spans="1:3" ht="12.45" x14ac:dyDescent="0.3">
      <c r="C581" s="263"/>
    </row>
    <row r="582" spans="1:3" ht="12.45" x14ac:dyDescent="0.3">
      <c r="C582" s="263"/>
    </row>
    <row r="587" spans="1:3" ht="12.45" x14ac:dyDescent="0.3">
      <c r="C587" s="263"/>
    </row>
    <row r="588" spans="1:3" x14ac:dyDescent="0.35">
      <c r="A588" s="262"/>
    </row>
    <row r="589" spans="1:3" x14ac:dyDescent="0.35">
      <c r="A589" s="261"/>
    </row>
    <row r="592" spans="1:3" ht="12.45" x14ac:dyDescent="0.3">
      <c r="C592" s="263"/>
    </row>
    <row r="593" spans="1:3" x14ac:dyDescent="0.35">
      <c r="A593" s="261"/>
    </row>
    <row r="594" spans="1:3" ht="12.45" x14ac:dyDescent="0.3">
      <c r="C594" s="263"/>
    </row>
    <row r="595" spans="1:3" ht="12.45" x14ac:dyDescent="0.3">
      <c r="C595" s="263"/>
    </row>
    <row r="596" spans="1:3" ht="12.45" x14ac:dyDescent="0.3">
      <c r="C596" s="263"/>
    </row>
    <row r="598" spans="1:3" x14ac:dyDescent="0.35">
      <c r="A598" s="261"/>
    </row>
    <row r="599" spans="1:3" ht="12.45" x14ac:dyDescent="0.3">
      <c r="C599" s="263"/>
    </row>
    <row r="600" spans="1:3" ht="12.45" x14ac:dyDescent="0.3">
      <c r="C600" s="263"/>
    </row>
    <row r="601" spans="1:3" ht="12.45" x14ac:dyDescent="0.3">
      <c r="C601" s="263"/>
    </row>
    <row r="602" spans="1:3" ht="12.45" x14ac:dyDescent="0.3">
      <c r="C602" s="263"/>
    </row>
    <row r="603" spans="1:3" ht="12.45" x14ac:dyDescent="0.3">
      <c r="C603" s="263"/>
    </row>
    <row r="604" spans="1:3" ht="12.45" x14ac:dyDescent="0.3">
      <c r="C604" s="263"/>
    </row>
    <row r="605" spans="1:3" ht="12.45" x14ac:dyDescent="0.3">
      <c r="C605" s="263"/>
    </row>
    <row r="606" spans="1:3" ht="12.45" x14ac:dyDescent="0.3">
      <c r="C606" s="263"/>
    </row>
    <row r="607" spans="1:3" x14ac:dyDescent="0.35">
      <c r="A607" s="261"/>
    </row>
    <row r="608" spans="1:3" ht="12.45" x14ac:dyDescent="0.3">
      <c r="C608" s="263"/>
    </row>
    <row r="609" spans="1:3" ht="12.45" x14ac:dyDescent="0.3">
      <c r="C609" s="263"/>
    </row>
    <row r="610" spans="1:3" x14ac:dyDescent="0.35">
      <c r="A610" s="261"/>
    </row>
    <row r="611" spans="1:3" ht="12.45" x14ac:dyDescent="0.3">
      <c r="C611" s="263"/>
    </row>
    <row r="612" spans="1:3" ht="12.45" x14ac:dyDescent="0.3">
      <c r="C612" s="263"/>
    </row>
    <row r="613" spans="1:3" ht="12.45" x14ac:dyDescent="0.3">
      <c r="C613" s="263"/>
    </row>
    <row r="638" spans="1:3" x14ac:dyDescent="0.35">
      <c r="A638" s="261"/>
    </row>
    <row r="639" spans="1:3" ht="12.45" x14ac:dyDescent="0.3">
      <c r="C639" s="263"/>
    </row>
    <row r="640" spans="1:3" ht="12.45" x14ac:dyDescent="0.3">
      <c r="C640" s="263"/>
    </row>
    <row r="641" spans="1:3" ht="12.45" x14ac:dyDescent="0.3">
      <c r="C641" s="263"/>
    </row>
    <row r="643" spans="1:3" x14ac:dyDescent="0.35">
      <c r="A643" s="261"/>
    </row>
    <row r="644" spans="1:3" ht="12.45" x14ac:dyDescent="0.3">
      <c r="C644" s="263"/>
    </row>
    <row r="645" spans="1:3" ht="12.45" x14ac:dyDescent="0.3">
      <c r="C645" s="263"/>
    </row>
    <row r="646" spans="1:3" ht="12.45" x14ac:dyDescent="0.3">
      <c r="C646" s="263"/>
    </row>
    <row r="647" spans="1:3" ht="12.45" x14ac:dyDescent="0.3">
      <c r="C647" s="263"/>
    </row>
    <row r="648" spans="1:3" x14ac:dyDescent="0.35">
      <c r="A648" s="261"/>
    </row>
    <row r="649" spans="1:3" ht="12.45" x14ac:dyDescent="0.3">
      <c r="C649" s="263"/>
    </row>
    <row r="650" spans="1:3" ht="12.45" x14ac:dyDescent="0.3">
      <c r="C650" s="263"/>
    </row>
    <row r="651" spans="1:3" ht="12.45" x14ac:dyDescent="0.3">
      <c r="C651" s="263"/>
    </row>
    <row r="652" spans="1:3" x14ac:dyDescent="0.35">
      <c r="A652" s="262"/>
    </row>
    <row r="653" spans="1:3" x14ac:dyDescent="0.35">
      <c r="A653" s="261"/>
    </row>
    <row r="654" spans="1:3" ht="12.45" x14ac:dyDescent="0.3">
      <c r="C654" s="263"/>
    </row>
    <row r="655" spans="1:3" ht="12.45" x14ac:dyDescent="0.3">
      <c r="C655" s="263"/>
    </row>
    <row r="656" spans="1:3" ht="12.45" x14ac:dyDescent="0.3">
      <c r="C656" s="263"/>
    </row>
    <row r="658" spans="1:3" x14ac:dyDescent="0.35">
      <c r="A658" s="261"/>
    </row>
    <row r="659" spans="1:3" ht="12.45" x14ac:dyDescent="0.3">
      <c r="C659" s="263"/>
    </row>
    <row r="660" spans="1:3" ht="12.45" x14ac:dyDescent="0.3">
      <c r="C660" s="263"/>
    </row>
    <row r="661" spans="1:3" ht="12.45" x14ac:dyDescent="0.3">
      <c r="C661" s="263"/>
    </row>
    <row r="662" spans="1:3" ht="12.45" x14ac:dyDescent="0.3">
      <c r="C662" s="263"/>
    </row>
    <row r="663" spans="1:3" x14ac:dyDescent="0.35">
      <c r="A663" s="261"/>
    </row>
    <row r="664" spans="1:3" ht="12.45" x14ac:dyDescent="0.3">
      <c r="C664" s="263"/>
    </row>
    <row r="665" spans="1:3" ht="12.45" x14ac:dyDescent="0.3">
      <c r="C665" s="263"/>
    </row>
    <row r="666" spans="1:3" x14ac:dyDescent="0.35">
      <c r="A666" s="261"/>
    </row>
    <row r="667" spans="1:3" ht="12.45" x14ac:dyDescent="0.3">
      <c r="C667" s="263"/>
    </row>
    <row r="668" spans="1:3" ht="12.45" x14ac:dyDescent="0.3">
      <c r="C668" s="263"/>
    </row>
    <row r="669" spans="1:3" ht="12.45" x14ac:dyDescent="0.3">
      <c r="C669" s="263"/>
    </row>
    <row r="670" spans="1:3" ht="12.45" x14ac:dyDescent="0.3">
      <c r="C670" s="263"/>
    </row>
    <row r="671" spans="1:3" ht="12.45" x14ac:dyDescent="0.3">
      <c r="C671" s="263"/>
    </row>
    <row r="672" spans="1:3" ht="12.45" x14ac:dyDescent="0.3">
      <c r="C672" s="263"/>
    </row>
    <row r="673" spans="1:3" ht="12.45" x14ac:dyDescent="0.3">
      <c r="A673" s="261"/>
      <c r="C673" s="263"/>
    </row>
    <row r="674" spans="1:3" ht="12.45" x14ac:dyDescent="0.3">
      <c r="C674" s="263"/>
    </row>
    <row r="675" spans="1:3" ht="12.45" x14ac:dyDescent="0.3">
      <c r="C675" s="263"/>
    </row>
    <row r="676" spans="1:3" ht="12.45" x14ac:dyDescent="0.3">
      <c r="C676" s="263"/>
    </row>
    <row r="677" spans="1:3" x14ac:dyDescent="0.35">
      <c r="A677" s="262"/>
    </row>
    <row r="678" spans="1:3" x14ac:dyDescent="0.35">
      <c r="A678" s="261"/>
    </row>
    <row r="679" spans="1:3" ht="12.45" x14ac:dyDescent="0.3">
      <c r="C679" s="263"/>
    </row>
    <row r="680" spans="1:3" ht="12.45" x14ac:dyDescent="0.3">
      <c r="C680" s="263"/>
    </row>
    <row r="681" spans="1:3" ht="12.45" x14ac:dyDescent="0.3">
      <c r="C681" s="263"/>
    </row>
    <row r="683" spans="1:3" x14ac:dyDescent="0.35">
      <c r="A683" s="261"/>
    </row>
    <row r="684" spans="1:3" ht="12.45" x14ac:dyDescent="0.3">
      <c r="C684" s="263"/>
    </row>
    <row r="685" spans="1:3" ht="12.45" x14ac:dyDescent="0.3">
      <c r="C685" s="263"/>
    </row>
    <row r="686" spans="1:3" ht="12.45" x14ac:dyDescent="0.3">
      <c r="C686" s="263"/>
    </row>
    <row r="687" spans="1:3" x14ac:dyDescent="0.35">
      <c r="A687" s="262"/>
    </row>
    <row r="688" spans="1:3" x14ac:dyDescent="0.35">
      <c r="A688" s="261"/>
    </row>
    <row r="689" spans="1:3" ht="12.45" x14ac:dyDescent="0.3">
      <c r="C689" s="263"/>
    </row>
    <row r="690" spans="1:3" ht="12.45" x14ac:dyDescent="0.3">
      <c r="C690" s="263"/>
    </row>
    <row r="691" spans="1:3" ht="12.45" x14ac:dyDescent="0.3">
      <c r="C691" s="263"/>
    </row>
    <row r="693" spans="1:3" x14ac:dyDescent="0.35">
      <c r="A693" s="261"/>
    </row>
    <row r="694" spans="1:3" x14ac:dyDescent="0.35">
      <c r="A694" s="261"/>
    </row>
    <row r="695" spans="1:3" ht="12.45" x14ac:dyDescent="0.3">
      <c r="C695" s="263"/>
    </row>
    <row r="696" spans="1:3" ht="12.45" x14ac:dyDescent="0.3">
      <c r="C696" s="263"/>
    </row>
    <row r="697" spans="1:3" ht="12.45" x14ac:dyDescent="0.3">
      <c r="C697" s="263"/>
    </row>
    <row r="699" spans="1:3" x14ac:dyDescent="0.35">
      <c r="A699" s="261"/>
    </row>
    <row r="700" spans="1:3" ht="12.45" x14ac:dyDescent="0.3">
      <c r="C700" s="263"/>
    </row>
    <row r="701" spans="1:3" ht="12.45" x14ac:dyDescent="0.3">
      <c r="C701" s="263"/>
    </row>
    <row r="702" spans="1:3" ht="12.45" x14ac:dyDescent="0.3">
      <c r="C702" s="263"/>
    </row>
    <row r="703" spans="1:3" ht="12.45" x14ac:dyDescent="0.3">
      <c r="C703" s="263"/>
    </row>
    <row r="704" spans="1:3" x14ac:dyDescent="0.35">
      <c r="A704" s="261"/>
    </row>
    <row r="705" spans="1:3" ht="12.45" x14ac:dyDescent="0.3">
      <c r="C705" s="263"/>
    </row>
    <row r="706" spans="1:3" ht="12.45" x14ac:dyDescent="0.3">
      <c r="C706" s="263"/>
    </row>
    <row r="707" spans="1:3" ht="12.45" x14ac:dyDescent="0.3">
      <c r="C707" s="263"/>
    </row>
    <row r="708" spans="1:3" x14ac:dyDescent="0.35">
      <c r="A708" s="262"/>
    </row>
    <row r="709" spans="1:3" x14ac:dyDescent="0.35">
      <c r="A709" s="261"/>
    </row>
    <row r="710" spans="1:3" ht="12.45" x14ac:dyDescent="0.3">
      <c r="C710" s="263"/>
    </row>
    <row r="711" spans="1:3" ht="12.45" x14ac:dyDescent="0.3">
      <c r="C711" s="263"/>
    </row>
    <row r="712" spans="1:3" ht="12.45" x14ac:dyDescent="0.3">
      <c r="C712" s="263"/>
    </row>
    <row r="714" spans="1:3" x14ac:dyDescent="0.35">
      <c r="A714" s="261"/>
    </row>
    <row r="715" spans="1:3" ht="12.45" x14ac:dyDescent="0.3">
      <c r="C715" s="263"/>
    </row>
    <row r="716" spans="1:3" ht="12.45" x14ac:dyDescent="0.3">
      <c r="C716" s="263"/>
    </row>
    <row r="717" spans="1:3" ht="12.45" x14ac:dyDescent="0.3">
      <c r="C717" s="263"/>
    </row>
    <row r="718" spans="1:3" ht="12.45" x14ac:dyDescent="0.3">
      <c r="C718" s="263"/>
    </row>
    <row r="719" spans="1:3" x14ac:dyDescent="0.35">
      <c r="A719" s="261"/>
    </row>
    <row r="720" spans="1:3" ht="12.45" x14ac:dyDescent="0.3">
      <c r="C720" s="263"/>
    </row>
    <row r="721" spans="1:3" ht="12.45" x14ac:dyDescent="0.3">
      <c r="C721" s="263"/>
    </row>
    <row r="722" spans="1:3" x14ac:dyDescent="0.35">
      <c r="A722" s="261"/>
    </row>
    <row r="723" spans="1:3" ht="12.45" x14ac:dyDescent="0.3">
      <c r="C723" s="263"/>
    </row>
    <row r="724" spans="1:3" ht="12.45" x14ac:dyDescent="0.3">
      <c r="C724" s="263"/>
    </row>
    <row r="725" spans="1:3" ht="12.45" x14ac:dyDescent="0.3">
      <c r="C725" s="263"/>
    </row>
    <row r="726" spans="1:3" ht="12.45" x14ac:dyDescent="0.3">
      <c r="C726" s="263"/>
    </row>
    <row r="728" spans="1:3" x14ac:dyDescent="0.35">
      <c r="A728" s="261"/>
    </row>
    <row r="729" spans="1:3" ht="12.45" x14ac:dyDescent="0.3">
      <c r="C729" s="263"/>
    </row>
    <row r="730" spans="1:3" ht="12.45" x14ac:dyDescent="0.3">
      <c r="C730" s="263"/>
    </row>
    <row r="731" spans="1:3" ht="12.45" x14ac:dyDescent="0.3">
      <c r="C731" s="263"/>
    </row>
    <row r="732" spans="1:3" x14ac:dyDescent="0.35">
      <c r="A732" s="262"/>
    </row>
    <row r="733" spans="1:3" x14ac:dyDescent="0.35">
      <c r="A733" s="261"/>
    </row>
    <row r="734" spans="1:3" ht="12.45" x14ac:dyDescent="0.3">
      <c r="C734" s="263"/>
    </row>
    <row r="735" spans="1:3" ht="12.45" x14ac:dyDescent="0.3">
      <c r="C735" s="263"/>
    </row>
    <row r="736" spans="1:3" ht="12.45" x14ac:dyDescent="0.3">
      <c r="C736" s="263"/>
    </row>
    <row r="738" spans="1:3" x14ac:dyDescent="0.35">
      <c r="A738" s="261"/>
    </row>
    <row r="739" spans="1:3" ht="12.45" x14ac:dyDescent="0.3">
      <c r="C739" s="263"/>
    </row>
    <row r="740" spans="1:3" ht="12.45" x14ac:dyDescent="0.3">
      <c r="C740" s="263"/>
    </row>
    <row r="741" spans="1:3" ht="12.45" x14ac:dyDescent="0.3">
      <c r="C741" s="263"/>
    </row>
    <row r="743" spans="1:3" x14ac:dyDescent="0.35">
      <c r="A743" s="261"/>
    </row>
    <row r="744" spans="1:3" ht="12.45" x14ac:dyDescent="0.3">
      <c r="C744" s="263"/>
    </row>
    <row r="745" spans="1:3" ht="12.45" x14ac:dyDescent="0.3">
      <c r="C745" s="263"/>
    </row>
    <row r="746" spans="1:3" ht="12.45" x14ac:dyDescent="0.3">
      <c r="C746" s="263"/>
    </row>
    <row r="747" spans="1:3" ht="12.45" x14ac:dyDescent="0.3">
      <c r="C747" s="263"/>
    </row>
    <row r="748" spans="1:3" x14ac:dyDescent="0.35">
      <c r="A748" s="261"/>
    </row>
    <row r="749" spans="1:3" ht="12.45" x14ac:dyDescent="0.3">
      <c r="C749" s="263"/>
    </row>
    <row r="750" spans="1:3" x14ac:dyDescent="0.35">
      <c r="A750" s="261"/>
    </row>
    <row r="751" spans="1:3" ht="12.45" x14ac:dyDescent="0.3">
      <c r="C751" s="263"/>
    </row>
    <row r="752" spans="1:3" ht="12.45" x14ac:dyDescent="0.3">
      <c r="C752" s="263"/>
    </row>
    <row r="753" spans="1:3" ht="12.45" x14ac:dyDescent="0.3">
      <c r="C753" s="263"/>
    </row>
    <row r="755" spans="1:3" x14ac:dyDescent="0.35">
      <c r="A755" s="261"/>
    </row>
    <row r="756" spans="1:3" ht="12.45" x14ac:dyDescent="0.3">
      <c r="C756" s="263"/>
    </row>
    <row r="757" spans="1:3" ht="12.45" x14ac:dyDescent="0.3">
      <c r="C757" s="263"/>
    </row>
    <row r="758" spans="1:3" ht="12.45" x14ac:dyDescent="0.3">
      <c r="C758" s="263"/>
    </row>
    <row r="759" spans="1:3" ht="12.45" x14ac:dyDescent="0.3">
      <c r="C759" s="263"/>
    </row>
    <row r="760" spans="1:3" x14ac:dyDescent="0.35">
      <c r="A760" s="261"/>
    </row>
    <row r="761" spans="1:3" ht="12.45" x14ac:dyDescent="0.3">
      <c r="C761" s="263"/>
    </row>
    <row r="762" spans="1:3" ht="12.45" x14ac:dyDescent="0.3">
      <c r="C762" s="263"/>
    </row>
    <row r="763" spans="1:3" ht="12.45" x14ac:dyDescent="0.3">
      <c r="C763" s="263"/>
    </row>
    <row r="764" spans="1:3" x14ac:dyDescent="0.35">
      <c r="A764" s="262"/>
    </row>
    <row r="765" spans="1:3" x14ac:dyDescent="0.35">
      <c r="A765" s="261"/>
    </row>
    <row r="766" spans="1:3" ht="12.45" x14ac:dyDescent="0.3">
      <c r="C766" s="263"/>
    </row>
    <row r="767" spans="1:3" ht="12.45" x14ac:dyDescent="0.3">
      <c r="C767" s="263"/>
    </row>
    <row r="768" spans="1:3" ht="12.45" x14ac:dyDescent="0.3">
      <c r="C768" s="263"/>
    </row>
    <row r="770" spans="1:3" x14ac:dyDescent="0.35">
      <c r="A770" s="261"/>
    </row>
    <row r="771" spans="1:3" ht="12.45" x14ac:dyDescent="0.3">
      <c r="C771" s="263"/>
    </row>
    <row r="772" spans="1:3" ht="12.45" x14ac:dyDescent="0.3">
      <c r="C772" s="263"/>
    </row>
    <row r="773" spans="1:3" ht="12.45" x14ac:dyDescent="0.3">
      <c r="C773" s="263"/>
    </row>
    <row r="774" spans="1:3" ht="12.45" x14ac:dyDescent="0.3">
      <c r="C774" s="263"/>
    </row>
    <row r="775" spans="1:3" x14ac:dyDescent="0.35">
      <c r="A775" s="261"/>
    </row>
    <row r="776" spans="1:3" ht="12.45" x14ac:dyDescent="0.3">
      <c r="C776" s="263"/>
    </row>
    <row r="777" spans="1:3" ht="12.45" x14ac:dyDescent="0.3">
      <c r="C777" s="263"/>
    </row>
    <row r="778" spans="1:3" x14ac:dyDescent="0.35">
      <c r="A778" s="261"/>
    </row>
    <row r="779" spans="1:3" ht="12.45" x14ac:dyDescent="0.3">
      <c r="C779" s="263"/>
    </row>
    <row r="780" spans="1:3" ht="12.45" x14ac:dyDescent="0.3">
      <c r="C780" s="263"/>
    </row>
    <row r="781" spans="1:3" ht="12.45" x14ac:dyDescent="0.3">
      <c r="C781" s="263"/>
    </row>
    <row r="782" spans="1:3" ht="12.45" x14ac:dyDescent="0.3">
      <c r="C782" s="263"/>
    </row>
    <row r="783" spans="1:3" ht="12.45" x14ac:dyDescent="0.3">
      <c r="C783" s="263"/>
    </row>
    <row r="784" spans="1:3" ht="12.45" x14ac:dyDescent="0.3">
      <c r="C784" s="263"/>
    </row>
    <row r="785" spans="1:3" ht="12.45" x14ac:dyDescent="0.3">
      <c r="A785" s="261"/>
      <c r="C785" s="263"/>
    </row>
    <row r="786" spans="1:3" ht="12.45" x14ac:dyDescent="0.3">
      <c r="C786" s="263"/>
    </row>
    <row r="787" spans="1:3" ht="12.45" x14ac:dyDescent="0.3">
      <c r="C787" s="263"/>
    </row>
    <row r="788" spans="1:3" ht="12.45" x14ac:dyDescent="0.3">
      <c r="C788" s="263"/>
    </row>
    <row r="789" spans="1:3" x14ac:dyDescent="0.35">
      <c r="A789" s="262"/>
    </row>
    <row r="790" spans="1:3" x14ac:dyDescent="0.35">
      <c r="A790" s="261"/>
    </row>
    <row r="791" spans="1:3" ht="12.45" x14ac:dyDescent="0.3">
      <c r="C791" s="263"/>
    </row>
    <row r="792" spans="1:3" ht="12.45" x14ac:dyDescent="0.3">
      <c r="C792" s="263"/>
    </row>
    <row r="793" spans="1:3" ht="12.45" x14ac:dyDescent="0.3">
      <c r="C793" s="263"/>
    </row>
    <row r="795" spans="1:3" x14ac:dyDescent="0.35">
      <c r="A795" s="261"/>
    </row>
    <row r="796" spans="1:3" ht="12.45" x14ac:dyDescent="0.3">
      <c r="C796" s="263"/>
    </row>
    <row r="797" spans="1:3" ht="12.45" x14ac:dyDescent="0.3">
      <c r="C797" s="263"/>
    </row>
    <row r="798" spans="1:3" ht="12.45" x14ac:dyDescent="0.3">
      <c r="C798" s="263"/>
    </row>
    <row r="799" spans="1:3" x14ac:dyDescent="0.35">
      <c r="A799" s="262"/>
    </row>
    <row r="800" spans="1:3" x14ac:dyDescent="0.35">
      <c r="A800" s="261"/>
    </row>
    <row r="801" spans="1:3" ht="12.45" x14ac:dyDescent="0.3">
      <c r="C801" s="263"/>
    </row>
    <row r="802" spans="1:3" ht="12.45" x14ac:dyDescent="0.3">
      <c r="C802" s="263"/>
    </row>
    <row r="803" spans="1:3" ht="12.45" x14ac:dyDescent="0.3">
      <c r="C803" s="263"/>
    </row>
    <row r="805" spans="1:3" x14ac:dyDescent="0.35">
      <c r="A805" s="261"/>
    </row>
    <row r="806" spans="1:3" x14ac:dyDescent="0.35">
      <c r="A806" s="261"/>
    </row>
    <row r="807" spans="1:3" ht="12.45" x14ac:dyDescent="0.3">
      <c r="C807" s="263"/>
    </row>
    <row r="808" spans="1:3" ht="12.45" x14ac:dyDescent="0.3">
      <c r="C808" s="263"/>
    </row>
    <row r="809" spans="1:3" ht="12.45" x14ac:dyDescent="0.3">
      <c r="C809" s="263"/>
    </row>
    <row r="811" spans="1:3" x14ac:dyDescent="0.35">
      <c r="A811" s="261"/>
    </row>
    <row r="812" spans="1:3" ht="12.45" x14ac:dyDescent="0.3">
      <c r="C812" s="263"/>
    </row>
    <row r="813" spans="1:3" ht="12.45" x14ac:dyDescent="0.3">
      <c r="C813" s="263"/>
    </row>
    <row r="814" spans="1:3" ht="12.45" x14ac:dyDescent="0.3">
      <c r="C814" s="263"/>
    </row>
    <row r="815" spans="1:3" ht="12.45" x14ac:dyDescent="0.3">
      <c r="C815" s="263"/>
    </row>
    <row r="816" spans="1:3" x14ac:dyDescent="0.35">
      <c r="A816" s="261"/>
    </row>
    <row r="817" spans="1:3" ht="12.45" x14ac:dyDescent="0.3">
      <c r="C817" s="263"/>
    </row>
    <row r="818" spans="1:3" ht="12.45" x14ac:dyDescent="0.3">
      <c r="C818" s="263"/>
    </row>
    <row r="819" spans="1:3" ht="12.45" x14ac:dyDescent="0.3">
      <c r="C819" s="263"/>
    </row>
    <row r="820" spans="1:3" x14ac:dyDescent="0.35">
      <c r="A820" s="262"/>
    </row>
    <row r="821" spans="1:3" x14ac:dyDescent="0.35">
      <c r="A821" s="261"/>
    </row>
    <row r="822" spans="1:3" ht="12.45" x14ac:dyDescent="0.3">
      <c r="C822" s="263"/>
    </row>
    <row r="823" spans="1:3" ht="12.45" x14ac:dyDescent="0.3">
      <c r="C823" s="263"/>
    </row>
    <row r="824" spans="1:3" ht="12.45" x14ac:dyDescent="0.3">
      <c r="C824" s="263"/>
    </row>
    <row r="826" spans="1:3" x14ac:dyDescent="0.35">
      <c r="A826" s="261"/>
    </row>
    <row r="827" spans="1:3" ht="12.45" x14ac:dyDescent="0.3">
      <c r="C827" s="263"/>
    </row>
    <row r="828" spans="1:3" ht="12.45" x14ac:dyDescent="0.3">
      <c r="C828" s="263"/>
    </row>
    <row r="829" spans="1:3" ht="12.45" x14ac:dyDescent="0.3">
      <c r="C829" s="263"/>
    </row>
    <row r="830" spans="1:3" ht="12.45" x14ac:dyDescent="0.3">
      <c r="C830" s="263"/>
    </row>
    <row r="831" spans="1:3" x14ac:dyDescent="0.35">
      <c r="A831" s="261"/>
    </row>
    <row r="832" spans="1:3" ht="12.45" x14ac:dyDescent="0.3">
      <c r="C832" s="263"/>
    </row>
    <row r="833" spans="1:25" ht="12.45" x14ac:dyDescent="0.3">
      <c r="C833" s="263"/>
    </row>
    <row r="834" spans="1:25" x14ac:dyDescent="0.35">
      <c r="A834" s="261"/>
    </row>
    <row r="835" spans="1:25" ht="12.45" x14ac:dyDescent="0.3">
      <c r="C835" s="263"/>
    </row>
    <row r="836" spans="1:25" ht="12.45" x14ac:dyDescent="0.3">
      <c r="C836" s="263"/>
    </row>
    <row r="837" spans="1:25" ht="12.45" x14ac:dyDescent="0.3">
      <c r="C837" s="263"/>
    </row>
    <row r="838" spans="1:25" x14ac:dyDescent="0.35">
      <c r="A838" s="261"/>
    </row>
    <row r="839" spans="1:25" ht="12.45" x14ac:dyDescent="0.3">
      <c r="C839" s="263"/>
    </row>
    <row r="840" spans="1:25" ht="12.45" x14ac:dyDescent="0.3">
      <c r="C840" s="263"/>
    </row>
    <row r="841" spans="1:25" ht="12.45" x14ac:dyDescent="0.3">
      <c r="A841" s="264"/>
      <c r="B841" s="315"/>
      <c r="C841" s="315"/>
      <c r="D841" s="315"/>
      <c r="E841" s="315"/>
      <c r="F841" s="315"/>
      <c r="G841" s="315"/>
      <c r="H841" s="315"/>
      <c r="I841" s="315"/>
      <c r="J841" s="315"/>
      <c r="K841" s="315"/>
      <c r="L841" s="315"/>
      <c r="M841" s="315"/>
      <c r="N841" s="315"/>
      <c r="O841" s="315"/>
      <c r="P841" s="315"/>
      <c r="Q841" s="315"/>
      <c r="R841" s="315"/>
      <c r="S841" s="315"/>
      <c r="T841" s="315"/>
      <c r="U841" s="315"/>
      <c r="V841" s="315"/>
      <c r="W841" s="315"/>
      <c r="X841" s="315"/>
      <c r="Y841" s="315"/>
    </row>
    <row r="842" spans="1:25" x14ac:dyDescent="0.35">
      <c r="A842" s="262"/>
    </row>
    <row r="843" spans="1:25" x14ac:dyDescent="0.35">
      <c r="A843" s="261"/>
    </row>
    <row r="844" spans="1:25" ht="12.45" x14ac:dyDescent="0.3">
      <c r="C844" s="263"/>
    </row>
    <row r="845" spans="1:25" ht="12.45" x14ac:dyDescent="0.3">
      <c r="C845" s="263"/>
    </row>
    <row r="846" spans="1:25" ht="12.45" x14ac:dyDescent="0.3">
      <c r="A846" s="264"/>
      <c r="B846" s="315"/>
      <c r="C846" s="315"/>
      <c r="D846" s="315"/>
      <c r="E846" s="315"/>
      <c r="F846" s="315"/>
      <c r="G846" s="315"/>
      <c r="H846" s="315"/>
      <c r="I846" s="315"/>
      <c r="J846" s="315"/>
      <c r="K846" s="315"/>
      <c r="L846" s="315"/>
      <c r="M846" s="315"/>
      <c r="N846" s="315"/>
      <c r="O846" s="315"/>
      <c r="P846" s="315"/>
      <c r="Q846" s="315"/>
      <c r="R846" s="315"/>
      <c r="S846" s="315"/>
      <c r="T846" s="315"/>
      <c r="U846" s="315"/>
      <c r="V846" s="315"/>
      <c r="W846" s="315"/>
      <c r="X846" s="315"/>
      <c r="Y846" s="315"/>
    </row>
    <row r="847" spans="1:25" x14ac:dyDescent="0.35">
      <c r="A847" s="262"/>
    </row>
    <row r="848" spans="1:25" x14ac:dyDescent="0.35">
      <c r="A848" s="261"/>
    </row>
    <row r="849" spans="1:3" ht="12.45" x14ac:dyDescent="0.3">
      <c r="C849" s="263"/>
    </row>
    <row r="850" spans="1:3" ht="12.45" x14ac:dyDescent="0.3">
      <c r="C850" s="263"/>
    </row>
    <row r="851" spans="1:3" ht="12.45" x14ac:dyDescent="0.3">
      <c r="C851" s="263"/>
    </row>
    <row r="853" spans="1:3" x14ac:dyDescent="0.35">
      <c r="A853" s="261"/>
    </row>
    <row r="854" spans="1:3" ht="12.45" x14ac:dyDescent="0.3">
      <c r="C854" s="263"/>
    </row>
    <row r="855" spans="1:3" ht="12.45" x14ac:dyDescent="0.3">
      <c r="C855" s="263"/>
    </row>
    <row r="856" spans="1:3" ht="12.45" x14ac:dyDescent="0.3">
      <c r="C856" s="263"/>
    </row>
    <row r="857" spans="1:3" ht="12.45" x14ac:dyDescent="0.3">
      <c r="C857" s="263"/>
    </row>
    <row r="858" spans="1:3" x14ac:dyDescent="0.35">
      <c r="A858" s="261"/>
    </row>
    <row r="859" spans="1:3" ht="12.45" x14ac:dyDescent="0.3">
      <c r="C859" s="263"/>
    </row>
    <row r="860" spans="1:3" ht="12.45" x14ac:dyDescent="0.3">
      <c r="C860" s="263"/>
    </row>
    <row r="861" spans="1:3" ht="12.45" x14ac:dyDescent="0.3">
      <c r="C861" s="263"/>
    </row>
    <row r="862" spans="1:3" x14ac:dyDescent="0.35">
      <c r="A862" s="261"/>
    </row>
    <row r="863" spans="1:3" ht="12.45" x14ac:dyDescent="0.3">
      <c r="C863" s="263"/>
    </row>
    <row r="864" spans="1:3" ht="12.45" x14ac:dyDescent="0.3">
      <c r="C864" s="263"/>
    </row>
    <row r="865" spans="1:3" ht="12.45" x14ac:dyDescent="0.3">
      <c r="C865" s="263"/>
    </row>
    <row r="867" spans="1:3" x14ac:dyDescent="0.35">
      <c r="A867" s="261"/>
    </row>
    <row r="868" spans="1:3" ht="12.45" x14ac:dyDescent="0.3">
      <c r="C868" s="263"/>
    </row>
    <row r="869" spans="1:3" ht="12.45" x14ac:dyDescent="0.3">
      <c r="C869" s="263"/>
    </row>
    <row r="870" spans="1:3" ht="12.45" x14ac:dyDescent="0.3">
      <c r="C870" s="263"/>
    </row>
    <row r="871" spans="1:3" ht="12.45" x14ac:dyDescent="0.3">
      <c r="C871" s="263"/>
    </row>
    <row r="872" spans="1:3" x14ac:dyDescent="0.35">
      <c r="A872" s="261"/>
    </row>
    <row r="873" spans="1:3" ht="12.45" x14ac:dyDescent="0.3">
      <c r="C873" s="263"/>
    </row>
    <row r="874" spans="1:3" ht="12.45" x14ac:dyDescent="0.3">
      <c r="C874" s="263"/>
    </row>
    <row r="875" spans="1:3" ht="12.45" x14ac:dyDescent="0.3">
      <c r="C875" s="263"/>
    </row>
    <row r="876" spans="1:3" x14ac:dyDescent="0.35">
      <c r="A876" s="262"/>
    </row>
    <row r="877" spans="1:3" x14ac:dyDescent="0.35">
      <c r="A877" s="261"/>
    </row>
    <row r="878" spans="1:3" ht="12.45" x14ac:dyDescent="0.3">
      <c r="C878" s="263"/>
    </row>
    <row r="879" spans="1:3" ht="12.45" x14ac:dyDescent="0.3">
      <c r="C879" s="263"/>
    </row>
    <row r="880" spans="1:3" ht="12.45" x14ac:dyDescent="0.3">
      <c r="C880" s="263"/>
    </row>
    <row r="882" spans="1:3" x14ac:dyDescent="0.35">
      <c r="A882" s="261"/>
    </row>
    <row r="883" spans="1:3" ht="12.45" x14ac:dyDescent="0.3">
      <c r="C883" s="263"/>
    </row>
    <row r="884" spans="1:3" ht="12.45" x14ac:dyDescent="0.3">
      <c r="C884" s="263"/>
    </row>
    <row r="885" spans="1:3" ht="12.45" x14ac:dyDescent="0.3">
      <c r="C885" s="263"/>
    </row>
    <row r="886" spans="1:3" ht="12.45" x14ac:dyDescent="0.3">
      <c r="C886" s="263"/>
    </row>
    <row r="887" spans="1:3" x14ac:dyDescent="0.35">
      <c r="A887" s="261"/>
    </row>
    <row r="888" spans="1:3" ht="12.45" x14ac:dyDescent="0.3">
      <c r="C888" s="263"/>
    </row>
    <row r="889" spans="1:3" ht="12.45" x14ac:dyDescent="0.3">
      <c r="C889" s="263"/>
    </row>
    <row r="890" spans="1:3" x14ac:dyDescent="0.35">
      <c r="A890" s="261"/>
    </row>
    <row r="891" spans="1:3" ht="12.45" x14ac:dyDescent="0.3">
      <c r="C891" s="263"/>
    </row>
    <row r="892" spans="1:3" ht="12.45" x14ac:dyDescent="0.3">
      <c r="C892" s="263"/>
    </row>
    <row r="893" spans="1:3" ht="12.45" x14ac:dyDescent="0.3">
      <c r="C893" s="263"/>
    </row>
    <row r="894" spans="1:3" ht="12.45" x14ac:dyDescent="0.3">
      <c r="C894" s="263"/>
    </row>
    <row r="895" spans="1:3" ht="12.45" x14ac:dyDescent="0.3">
      <c r="C895" s="263"/>
    </row>
    <row r="896" spans="1:3" ht="12.45" x14ac:dyDescent="0.3">
      <c r="C896" s="263"/>
    </row>
    <row r="897" spans="1:3" ht="12.45" x14ac:dyDescent="0.3">
      <c r="A897" s="261"/>
      <c r="C897" s="263"/>
    </row>
    <row r="898" spans="1:3" ht="12.45" x14ac:dyDescent="0.3">
      <c r="C898" s="263"/>
    </row>
    <row r="899" spans="1:3" ht="12.45" x14ac:dyDescent="0.3">
      <c r="C899" s="263"/>
    </row>
    <row r="900" spans="1:3" ht="12.45" x14ac:dyDescent="0.3">
      <c r="C900" s="263"/>
    </row>
    <row r="901" spans="1:3" x14ac:dyDescent="0.35">
      <c r="A901" s="262"/>
    </row>
    <row r="902" spans="1:3" x14ac:dyDescent="0.35">
      <c r="A902" s="261"/>
    </row>
    <row r="903" spans="1:3" ht="12.45" x14ac:dyDescent="0.3">
      <c r="C903" s="263"/>
    </row>
    <row r="904" spans="1:3" ht="12.45" x14ac:dyDescent="0.3">
      <c r="C904" s="263"/>
    </row>
    <row r="905" spans="1:3" ht="12.45" x14ac:dyDescent="0.3">
      <c r="C905" s="263"/>
    </row>
    <row r="907" spans="1:3" x14ac:dyDescent="0.35">
      <c r="A907" s="261"/>
    </row>
    <row r="908" spans="1:3" ht="12.45" x14ac:dyDescent="0.3">
      <c r="C908" s="263"/>
    </row>
    <row r="909" spans="1:3" ht="12.45" x14ac:dyDescent="0.3">
      <c r="C909" s="263"/>
    </row>
    <row r="910" spans="1:3" ht="12.45" x14ac:dyDescent="0.3">
      <c r="C910" s="263"/>
    </row>
    <row r="911" spans="1:3" x14ac:dyDescent="0.35">
      <c r="A911" s="262"/>
    </row>
    <row r="912" spans="1:3" x14ac:dyDescent="0.35">
      <c r="A912" s="261"/>
    </row>
    <row r="913" spans="1:3" ht="12.45" x14ac:dyDescent="0.3">
      <c r="C913" s="263"/>
    </row>
    <row r="914" spans="1:3" ht="12.45" x14ac:dyDescent="0.3">
      <c r="C914" s="263"/>
    </row>
    <row r="915" spans="1:3" ht="12.45" x14ac:dyDescent="0.3">
      <c r="C915" s="263"/>
    </row>
    <row r="917" spans="1:3" x14ac:dyDescent="0.35">
      <c r="A917" s="261"/>
    </row>
    <row r="918" spans="1:3" x14ac:dyDescent="0.35">
      <c r="A918" s="261"/>
    </row>
    <row r="919" spans="1:3" ht="12.45" x14ac:dyDescent="0.3">
      <c r="C919" s="263"/>
    </row>
    <row r="920" spans="1:3" ht="12.45" x14ac:dyDescent="0.3">
      <c r="C920" s="263"/>
    </row>
    <row r="921" spans="1:3" ht="12.45" x14ac:dyDescent="0.3">
      <c r="C921" s="263"/>
    </row>
    <row r="923" spans="1:3" x14ac:dyDescent="0.35">
      <c r="A923" s="261"/>
    </row>
    <row r="924" spans="1:3" ht="12.45" x14ac:dyDescent="0.3">
      <c r="C924" s="263"/>
    </row>
    <row r="925" spans="1:3" ht="12.45" x14ac:dyDescent="0.3">
      <c r="C925" s="263"/>
    </row>
    <row r="926" spans="1:3" ht="12.45" x14ac:dyDescent="0.3">
      <c r="C926" s="263"/>
    </row>
    <row r="927" spans="1:3" ht="12.45" x14ac:dyDescent="0.3">
      <c r="C927" s="263"/>
    </row>
    <row r="928" spans="1:3" x14ac:dyDescent="0.35">
      <c r="A928" s="261"/>
    </row>
    <row r="929" spans="1:3" ht="12.45" x14ac:dyDescent="0.3">
      <c r="C929" s="263"/>
    </row>
    <row r="930" spans="1:3" ht="12.45" x14ac:dyDescent="0.3">
      <c r="C930" s="263"/>
    </row>
    <row r="931" spans="1:3" ht="12.45" x14ac:dyDescent="0.3">
      <c r="C931" s="263"/>
    </row>
    <row r="932" spans="1:3" x14ac:dyDescent="0.35">
      <c r="A932" s="262"/>
    </row>
    <row r="933" spans="1:3" x14ac:dyDescent="0.35">
      <c r="A933" s="261"/>
    </row>
    <row r="934" spans="1:3" ht="12.45" x14ac:dyDescent="0.3">
      <c r="C934" s="263"/>
    </row>
    <row r="935" spans="1:3" ht="12.45" x14ac:dyDescent="0.3">
      <c r="C935" s="263"/>
    </row>
    <row r="936" spans="1:3" ht="12.45" x14ac:dyDescent="0.3">
      <c r="C936" s="263"/>
    </row>
    <row r="938" spans="1:3" x14ac:dyDescent="0.35">
      <c r="A938" s="261"/>
    </row>
    <row r="939" spans="1:3" ht="12.45" x14ac:dyDescent="0.3">
      <c r="C939" s="263"/>
    </row>
    <row r="940" spans="1:3" ht="12.45" x14ac:dyDescent="0.3">
      <c r="C940" s="263"/>
    </row>
    <row r="941" spans="1:3" ht="12.45" x14ac:dyDescent="0.3">
      <c r="C941" s="263"/>
    </row>
    <row r="942" spans="1:3" ht="12.45" x14ac:dyDescent="0.3">
      <c r="C942" s="263"/>
    </row>
    <row r="943" spans="1:3" x14ac:dyDescent="0.35">
      <c r="A943" s="261"/>
    </row>
    <row r="944" spans="1:3" ht="12.45" x14ac:dyDescent="0.3">
      <c r="C944" s="263"/>
    </row>
    <row r="945" spans="1:3" ht="12.45" x14ac:dyDescent="0.3">
      <c r="C945" s="263"/>
    </row>
    <row r="946" spans="1:3" x14ac:dyDescent="0.35">
      <c r="A946" s="261"/>
    </row>
    <row r="947" spans="1:3" ht="12.45" x14ac:dyDescent="0.3">
      <c r="C947" s="263"/>
    </row>
    <row r="948" spans="1:3" ht="12.45" x14ac:dyDescent="0.3">
      <c r="C948" s="263"/>
    </row>
    <row r="949" spans="1:3" ht="12.45" x14ac:dyDescent="0.3">
      <c r="C949" s="263"/>
    </row>
    <row r="950" spans="1:3" ht="12.45" x14ac:dyDescent="0.3">
      <c r="C950" s="263"/>
    </row>
    <row r="952" spans="1:3" x14ac:dyDescent="0.35">
      <c r="A952" s="261"/>
    </row>
    <row r="953" spans="1:3" ht="12.45" x14ac:dyDescent="0.3">
      <c r="C953" s="263"/>
    </row>
    <row r="954" spans="1:3" ht="12.45" x14ac:dyDescent="0.3">
      <c r="C954" s="263"/>
    </row>
    <row r="955" spans="1:3" ht="12.45" x14ac:dyDescent="0.3">
      <c r="C955" s="263"/>
    </row>
    <row r="956" spans="1:3" x14ac:dyDescent="0.35">
      <c r="A956" s="262"/>
    </row>
    <row r="957" spans="1:3" x14ac:dyDescent="0.35">
      <c r="A957" s="261"/>
    </row>
    <row r="958" spans="1:3" ht="12.45" x14ac:dyDescent="0.3">
      <c r="C958" s="263"/>
    </row>
    <row r="959" spans="1:3" ht="12.45" x14ac:dyDescent="0.3">
      <c r="C959" s="263"/>
    </row>
    <row r="960" spans="1:3" ht="12.45" x14ac:dyDescent="0.3">
      <c r="C960" s="263"/>
    </row>
    <row r="962" spans="1:3" x14ac:dyDescent="0.35">
      <c r="A962" s="261"/>
    </row>
    <row r="963" spans="1:3" ht="12.45" x14ac:dyDescent="0.3">
      <c r="C963" s="263"/>
    </row>
    <row r="964" spans="1:3" ht="12.45" x14ac:dyDescent="0.3">
      <c r="C964" s="263"/>
    </row>
    <row r="965" spans="1:3" ht="12.45" x14ac:dyDescent="0.3">
      <c r="C965" s="263"/>
    </row>
    <row r="967" spans="1:3" x14ac:dyDescent="0.35">
      <c r="A967" s="261"/>
    </row>
    <row r="968" spans="1:3" ht="12.45" x14ac:dyDescent="0.3">
      <c r="C968" s="263"/>
    </row>
    <row r="969" spans="1:3" ht="12.45" x14ac:dyDescent="0.3">
      <c r="C969" s="263"/>
    </row>
    <row r="970" spans="1:3" ht="12.45" x14ac:dyDescent="0.3">
      <c r="C970" s="263"/>
    </row>
    <row r="971" spans="1:3" ht="12.45" x14ac:dyDescent="0.3">
      <c r="C971" s="263"/>
    </row>
    <row r="972" spans="1:3" x14ac:dyDescent="0.35">
      <c r="A972" s="261"/>
    </row>
    <row r="973" spans="1:3" ht="12.45" x14ac:dyDescent="0.3">
      <c r="C973" s="263"/>
    </row>
    <row r="974" spans="1:3" x14ac:dyDescent="0.35">
      <c r="A974" s="261"/>
    </row>
    <row r="975" spans="1:3" ht="12.45" x14ac:dyDescent="0.3">
      <c r="C975" s="263"/>
    </row>
    <row r="976" spans="1:3" ht="12.45" x14ac:dyDescent="0.3">
      <c r="C976" s="263"/>
    </row>
    <row r="977" spans="1:3" ht="12.45" x14ac:dyDescent="0.3">
      <c r="C977" s="263"/>
    </row>
    <row r="979" spans="1:3" x14ac:dyDescent="0.35">
      <c r="A979" s="261"/>
    </row>
    <row r="980" spans="1:3" ht="12.45" x14ac:dyDescent="0.3">
      <c r="C980" s="263"/>
    </row>
    <row r="981" spans="1:3" ht="12.45" x14ac:dyDescent="0.3">
      <c r="C981" s="263"/>
    </row>
    <row r="982" spans="1:3" ht="12.45" x14ac:dyDescent="0.3">
      <c r="C982" s="263"/>
    </row>
    <row r="983" spans="1:3" ht="12.45" x14ac:dyDescent="0.3">
      <c r="C983" s="263"/>
    </row>
    <row r="984" spans="1:3" x14ac:dyDescent="0.35">
      <c r="A984" s="261"/>
    </row>
    <row r="985" spans="1:3" ht="12.45" x14ac:dyDescent="0.3">
      <c r="C985" s="263"/>
    </row>
    <row r="986" spans="1:3" ht="12.45" x14ac:dyDescent="0.3">
      <c r="C986" s="263"/>
    </row>
    <row r="987" spans="1:3" ht="12.45" x14ac:dyDescent="0.3">
      <c r="C987" s="263"/>
    </row>
    <row r="988" spans="1:3" x14ac:dyDescent="0.35">
      <c r="A988" s="262"/>
    </row>
    <row r="989" spans="1:3" x14ac:dyDescent="0.35">
      <c r="A989" s="261"/>
    </row>
    <row r="990" spans="1:3" ht="12.45" x14ac:dyDescent="0.3">
      <c r="C990" s="263"/>
    </row>
    <row r="991" spans="1:3" ht="12.45" x14ac:dyDescent="0.3">
      <c r="C991" s="263"/>
    </row>
    <row r="992" spans="1:3" ht="12.45" x14ac:dyDescent="0.3">
      <c r="C992" s="263"/>
    </row>
    <row r="994" spans="1:3" x14ac:dyDescent="0.35">
      <c r="A994" s="261"/>
    </row>
    <row r="995" spans="1:3" ht="12.45" x14ac:dyDescent="0.3">
      <c r="C995" s="263"/>
    </row>
    <row r="996" spans="1:3" ht="12.45" x14ac:dyDescent="0.3">
      <c r="C996" s="263"/>
    </row>
    <row r="997" spans="1:3" ht="12.45" x14ac:dyDescent="0.3">
      <c r="C997" s="263"/>
    </row>
    <row r="998" spans="1:3" ht="12.45" x14ac:dyDescent="0.3">
      <c r="C998" s="263"/>
    </row>
    <row r="999" spans="1:3" x14ac:dyDescent="0.35">
      <c r="A999" s="261"/>
    </row>
    <row r="1000" spans="1:3" ht="12.45" x14ac:dyDescent="0.3">
      <c r="C1000" s="263"/>
    </row>
    <row r="1001" spans="1:3" ht="12.45" x14ac:dyDescent="0.3">
      <c r="C1001" s="263"/>
    </row>
    <row r="1002" spans="1:3" x14ac:dyDescent="0.35">
      <c r="A1002" s="261"/>
    </row>
    <row r="1003" spans="1:3" ht="12.45" x14ac:dyDescent="0.3">
      <c r="C1003" s="263"/>
    </row>
    <row r="1004" spans="1:3" ht="12.45" x14ac:dyDescent="0.3">
      <c r="C1004" s="263"/>
    </row>
    <row r="1005" spans="1:3" ht="12.45" x14ac:dyDescent="0.3">
      <c r="C1005" s="263"/>
    </row>
    <row r="1006" spans="1:3" ht="12.45" x14ac:dyDescent="0.3">
      <c r="C1006" s="263"/>
    </row>
    <row r="1007" spans="1:3" ht="12.45" x14ac:dyDescent="0.3">
      <c r="C1007" s="263"/>
    </row>
    <row r="1008" spans="1:3" ht="12.45" x14ac:dyDescent="0.3">
      <c r="C1008" s="263"/>
    </row>
    <row r="1009" spans="1:3" ht="12.45" x14ac:dyDescent="0.3">
      <c r="A1009" s="261"/>
      <c r="C1009" s="263"/>
    </row>
    <row r="1010" spans="1:3" ht="12.45" x14ac:dyDescent="0.3">
      <c r="C1010" s="263"/>
    </row>
    <row r="1011" spans="1:3" ht="12.45" x14ac:dyDescent="0.3">
      <c r="C1011" s="263"/>
    </row>
    <row r="1012" spans="1:3" ht="12.45" x14ac:dyDescent="0.3">
      <c r="C1012" s="263"/>
    </row>
    <row r="1013" spans="1:3" x14ac:dyDescent="0.35">
      <c r="A1013" s="262"/>
    </row>
    <row r="1014" spans="1:3" x14ac:dyDescent="0.35">
      <c r="A1014" s="261"/>
    </row>
    <row r="1015" spans="1:3" ht="12.45" x14ac:dyDescent="0.3">
      <c r="C1015" s="263"/>
    </row>
    <row r="1016" spans="1:3" ht="12.45" x14ac:dyDescent="0.3">
      <c r="C1016" s="263"/>
    </row>
    <row r="1017" spans="1:3" ht="12.45" x14ac:dyDescent="0.3">
      <c r="C1017" s="263"/>
    </row>
    <row r="1019" spans="1:3" x14ac:dyDescent="0.35">
      <c r="A1019" s="261"/>
    </row>
    <row r="1020" spans="1:3" ht="12.45" x14ac:dyDescent="0.3">
      <c r="C1020" s="263"/>
    </row>
    <row r="1021" spans="1:3" ht="12.45" x14ac:dyDescent="0.3">
      <c r="C1021" s="263"/>
    </row>
    <row r="1022" spans="1:3" ht="12.45" x14ac:dyDescent="0.3">
      <c r="C1022" s="263"/>
    </row>
    <row r="1023" spans="1:3" x14ac:dyDescent="0.35">
      <c r="A1023" s="262"/>
    </row>
    <row r="1024" spans="1:3" x14ac:dyDescent="0.35">
      <c r="A1024" s="261"/>
    </row>
    <row r="1025" spans="1:3" ht="12.45" x14ac:dyDescent="0.3">
      <c r="C1025" s="263"/>
    </row>
    <row r="1026" spans="1:3" ht="12.45" x14ac:dyDescent="0.3">
      <c r="C1026" s="263"/>
    </row>
    <row r="1027" spans="1:3" ht="12.45" x14ac:dyDescent="0.3">
      <c r="C1027" s="263"/>
    </row>
    <row r="1029" spans="1:3" x14ac:dyDescent="0.35">
      <c r="A1029" s="261"/>
    </row>
    <row r="1030" spans="1:3" x14ac:dyDescent="0.35">
      <c r="A1030" s="261"/>
    </row>
    <row r="1031" spans="1:3" ht="12.45" x14ac:dyDescent="0.3">
      <c r="C1031" s="263"/>
    </row>
    <row r="1032" spans="1:3" ht="12.45" x14ac:dyDescent="0.3">
      <c r="C1032" s="263"/>
    </row>
    <row r="1033" spans="1:3" ht="12.45" x14ac:dyDescent="0.3">
      <c r="C1033" s="263"/>
    </row>
    <row r="1035" spans="1:3" x14ac:dyDescent="0.35">
      <c r="A1035" s="261"/>
    </row>
    <row r="1036" spans="1:3" ht="12.45" x14ac:dyDescent="0.3">
      <c r="C1036" s="263"/>
    </row>
    <row r="1037" spans="1:3" ht="12.45" x14ac:dyDescent="0.3">
      <c r="C1037" s="263"/>
    </row>
    <row r="1038" spans="1:3" ht="12.45" x14ac:dyDescent="0.3">
      <c r="C1038" s="263"/>
    </row>
    <row r="1039" spans="1:3" ht="12.45" x14ac:dyDescent="0.3">
      <c r="C1039" s="263"/>
    </row>
    <row r="1040" spans="1:3" x14ac:dyDescent="0.35">
      <c r="A1040" s="261"/>
    </row>
    <row r="1041" spans="1:3" ht="12.45" x14ac:dyDescent="0.3">
      <c r="C1041" s="263"/>
    </row>
    <row r="1042" spans="1:3" ht="12.45" x14ac:dyDescent="0.3">
      <c r="C1042" s="263"/>
    </row>
    <row r="1043" spans="1:3" ht="12.45" x14ac:dyDescent="0.3">
      <c r="C1043" s="263"/>
    </row>
    <row r="1044" spans="1:3" x14ac:dyDescent="0.35">
      <c r="A1044" s="262"/>
    </row>
    <row r="1045" spans="1:3" x14ac:dyDescent="0.35">
      <c r="A1045" s="261"/>
    </row>
    <row r="1046" spans="1:3" ht="12.45" x14ac:dyDescent="0.3">
      <c r="C1046" s="263"/>
    </row>
    <row r="1047" spans="1:3" ht="12.45" x14ac:dyDescent="0.3">
      <c r="C1047" s="263"/>
    </row>
    <row r="1048" spans="1:3" ht="12.45" x14ac:dyDescent="0.3">
      <c r="C1048" s="263"/>
    </row>
    <row r="1050" spans="1:3" x14ac:dyDescent="0.35">
      <c r="A1050" s="261"/>
    </row>
    <row r="1051" spans="1:3" ht="12.45" x14ac:dyDescent="0.3">
      <c r="C1051" s="263"/>
    </row>
    <row r="1052" spans="1:3" ht="12.45" x14ac:dyDescent="0.3">
      <c r="C1052" s="263"/>
    </row>
    <row r="1053" spans="1:3" ht="12.45" x14ac:dyDescent="0.3">
      <c r="C1053" s="263"/>
    </row>
    <row r="1054" spans="1:3" ht="12.45" x14ac:dyDescent="0.3">
      <c r="C1054" s="263"/>
    </row>
    <row r="1055" spans="1:3" x14ac:dyDescent="0.35">
      <c r="A1055" s="261"/>
    </row>
    <row r="1056" spans="1:3" ht="12.45" x14ac:dyDescent="0.3">
      <c r="C1056" s="263"/>
    </row>
    <row r="1057" spans="1:3" ht="12.45" x14ac:dyDescent="0.3">
      <c r="C1057" s="263"/>
    </row>
    <row r="1058" spans="1:3" x14ac:dyDescent="0.35">
      <c r="A1058" s="261"/>
    </row>
    <row r="1059" spans="1:3" ht="12.45" x14ac:dyDescent="0.3">
      <c r="C1059" s="263"/>
    </row>
    <row r="1060" spans="1:3" ht="12.45" x14ac:dyDescent="0.3">
      <c r="C1060" s="263"/>
    </row>
    <row r="1061" spans="1:3" ht="12.45" x14ac:dyDescent="0.3">
      <c r="C1061" s="263"/>
    </row>
  </sheetData>
  <mergeCells count="110"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</mergeCells>
  <pageMargins left="0.7" right="0.7" top="0.75" bottom="0.75" header="0.3" footer="0.3"/>
  <pageSetup paperSize="9" scale="66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43"/>
  <sheetViews>
    <sheetView zoomScale="75" zoomScaleNormal="75" workbookViewId="0"/>
  </sheetViews>
  <sheetFormatPr defaultRowHeight="12.45" x14ac:dyDescent="0.3"/>
  <cols>
    <col min="1" max="1" width="11" style="80" bestFit="1" customWidth="1"/>
    <col min="2" max="9" width="9.15234375" style="80"/>
    <col min="10" max="10" width="17.53515625" style="80" customWidth="1"/>
    <col min="11" max="11" width="8.3046875" style="80" customWidth="1"/>
    <col min="12" max="12" width="28.15234375" customWidth="1"/>
    <col min="13" max="14" width="10.15234375" customWidth="1"/>
  </cols>
  <sheetData>
    <row r="1" spans="1:16" ht="15.45" x14ac:dyDescent="0.4">
      <c r="A1" s="79" t="str">
        <f>CONCATENATE("Industry Figure 1  Growth in Employment by Industry Group (SIC 2007), ",M6," and ",N6,", ",Info!B5)</f>
        <v>Industry Figure 1  Growth in Employment by Industry Group (SIC 2007), 2015-2020 and 2020-2035, United Kingdom</v>
      </c>
    </row>
    <row r="2" spans="1:16" x14ac:dyDescent="0.3">
      <c r="A2" s="181" t="s">
        <v>532</v>
      </c>
    </row>
    <row r="3" spans="1:16" x14ac:dyDescent="0.3">
      <c r="L3" s="45" t="s">
        <v>449</v>
      </c>
    </row>
    <row r="5" spans="1:16" ht="12.9" x14ac:dyDescent="0.35">
      <c r="L5" s="29" t="s">
        <v>418</v>
      </c>
    </row>
    <row r="6" spans="1:16" x14ac:dyDescent="0.3">
      <c r="L6" s="13"/>
      <c r="M6" s="15" t="str">
        <f>'Ind T4'!B87</f>
        <v>2015-2020</v>
      </c>
      <c r="N6" s="15" t="str">
        <f>'Ind T4'!C87</f>
        <v>2020-2035</v>
      </c>
      <c r="O6" s="15"/>
      <c r="P6" s="15"/>
    </row>
    <row r="7" spans="1:16" x14ac:dyDescent="0.3">
      <c r="L7" s="1" t="str">
        <f>'Ind T4'!A83</f>
        <v>All industries</v>
      </c>
      <c r="M7">
        <f>'Ind T4'!B122</f>
        <v>0.77179721851199368</v>
      </c>
      <c r="N7">
        <f>'Ind T4'!C122</f>
        <v>0.47791580152367619</v>
      </c>
    </row>
    <row r="8" spans="1:16" x14ac:dyDescent="0.3">
      <c r="L8" s="13"/>
    </row>
    <row r="9" spans="1:16" x14ac:dyDescent="0.3">
      <c r="L9" s="13" t="str">
        <f>'Ind T4'!A81</f>
        <v>Health and social work</v>
      </c>
      <c r="M9">
        <f>'Ind T4'!B120</f>
        <v>0.91208903251582818</v>
      </c>
      <c r="N9">
        <f>'Ind T4'!C120</f>
        <v>0.92684860036267303</v>
      </c>
    </row>
    <row r="10" spans="1:16" x14ac:dyDescent="0.3">
      <c r="L10" s="13" t="str">
        <f>'Ind T4'!A80</f>
        <v>Education</v>
      </c>
      <c r="M10">
        <f>'Ind T4'!B119</f>
        <v>1.2585055677361012E-3</v>
      </c>
      <c r="N10">
        <f>'Ind T4'!C119</f>
        <v>0.31836132035545361</v>
      </c>
    </row>
    <row r="11" spans="1:16" x14ac:dyDescent="0.3">
      <c r="L11" s="13" t="str">
        <f>'Ind T4'!A79</f>
        <v>Public admin. and defence</v>
      </c>
      <c r="M11">
        <f>'Ind T4'!B118</f>
        <v>1.0604495905914835</v>
      </c>
      <c r="N11">
        <f>'Ind T4'!C118</f>
        <v>0.22568981458614967</v>
      </c>
    </row>
    <row r="12" spans="1:16" x14ac:dyDescent="0.3">
      <c r="L12" s="1" t="str">
        <f>CONCATENATE("[",'Ind T4'!A78,"]")</f>
        <v>[Non-marketed services]</v>
      </c>
      <c r="M12">
        <f>'Ind T4'!B117</f>
        <v>0.62308983153576136</v>
      </c>
      <c r="N12">
        <f>'Ind T4'!C117</f>
        <v>0.61712582916333414</v>
      </c>
    </row>
    <row r="13" spans="1:16" x14ac:dyDescent="0.3">
      <c r="L13" s="13"/>
    </row>
    <row r="14" spans="1:16" x14ac:dyDescent="0.3">
      <c r="L14" s="13" t="str">
        <f>'Ind T4'!A76</f>
        <v>Other services</v>
      </c>
      <c r="M14" s="82">
        <f>'Ind T4'!B115</f>
        <v>0.77862381600848352</v>
      </c>
      <c r="N14" s="82">
        <f>'Ind T4'!C115</f>
        <v>-5.2445538322776208E-2</v>
      </c>
    </row>
    <row r="15" spans="1:16" x14ac:dyDescent="0.3">
      <c r="L15" s="13" t="str">
        <f>'Ind T4'!A75</f>
        <v>Arts and entertainment</v>
      </c>
      <c r="M15" s="82">
        <f>'Ind T4'!B114</f>
        <v>0.3649840571615659</v>
      </c>
      <c r="N15" s="82">
        <f>'Ind T4'!C114</f>
        <v>0.75098996150659847</v>
      </c>
    </row>
    <row r="16" spans="1:16" x14ac:dyDescent="0.3">
      <c r="L16" s="13" t="str">
        <f>'Ind T4'!A74</f>
        <v>Support services</v>
      </c>
      <c r="M16" s="82">
        <f>'Ind T4'!B113</f>
        <v>-6.1914794420347974E-2</v>
      </c>
      <c r="N16" s="82">
        <f>'Ind T4'!C113</f>
        <v>0.83522099971713448</v>
      </c>
    </row>
    <row r="17" spans="12:14" x14ac:dyDescent="0.3">
      <c r="L17" s="13" t="str">
        <f>'Ind T4'!A73</f>
        <v>Professional services</v>
      </c>
      <c r="M17" s="82">
        <f>'Ind T4'!B112</f>
        <v>1.6395356888000867</v>
      </c>
      <c r="N17" s="82">
        <f>'Ind T4'!C112</f>
        <v>0.76192505191492454</v>
      </c>
    </row>
    <row r="18" spans="12:14" x14ac:dyDescent="0.3">
      <c r="L18" s="13" t="str">
        <f>'Ind T4'!A72</f>
        <v>Real estate</v>
      </c>
      <c r="M18" s="82">
        <f>'Ind T4'!B111</f>
        <v>2.5127532210172498</v>
      </c>
      <c r="N18" s="82">
        <f>'Ind T4'!C111</f>
        <v>0.296662997538788</v>
      </c>
    </row>
    <row r="19" spans="12:14" x14ac:dyDescent="0.3">
      <c r="L19" t="str">
        <f>'Ind T4'!A71</f>
        <v>Finance and insurance</v>
      </c>
      <c r="M19">
        <f>'Ind T4'!B110</f>
        <v>0.65757455805504073</v>
      </c>
      <c r="N19">
        <f>'Ind T4'!C110</f>
        <v>-8.0949708329636216E-2</v>
      </c>
    </row>
    <row r="20" spans="12:14" x14ac:dyDescent="0.3">
      <c r="L20" t="str">
        <f>'Ind T4'!A70</f>
        <v>Information technology</v>
      </c>
      <c r="M20">
        <f>'Ind T4'!B109</f>
        <v>1.6844782660904611</v>
      </c>
      <c r="N20">
        <f>'Ind T4'!C109</f>
        <v>1.0093186658386211</v>
      </c>
    </row>
    <row r="21" spans="12:14" x14ac:dyDescent="0.3">
      <c r="L21" t="str">
        <f>'Ind T4'!A69</f>
        <v>Media</v>
      </c>
      <c r="M21">
        <f>'Ind T4'!B108</f>
        <v>0.69158913819420409</v>
      </c>
      <c r="N21">
        <f>'Ind T4'!C108</f>
        <v>0.14352907986494579</v>
      </c>
    </row>
    <row r="22" spans="12:14" x14ac:dyDescent="0.3">
      <c r="L22" s="1" t="str">
        <f>CONCATENATE("[",'Ind T4'!A68,"]")</f>
        <v>[Business and other services]</v>
      </c>
      <c r="M22">
        <f>'Ind T4'!B107</f>
        <v>0.92571949449997692</v>
      </c>
      <c r="N22">
        <f>'Ind T4'!C107</f>
        <v>0.60779140694950939</v>
      </c>
    </row>
    <row r="23" spans="12:14" x14ac:dyDescent="0.3">
      <c r="L23" s="13"/>
    </row>
    <row r="24" spans="12:14" x14ac:dyDescent="0.3">
      <c r="L24" s="13" t="str">
        <f>'Ind T4'!A66</f>
        <v>Accommodation and food</v>
      </c>
      <c r="M24">
        <f>'Ind T4'!B105</f>
        <v>1.489315430163729</v>
      </c>
      <c r="N24">
        <f>'Ind T4'!C105</f>
        <v>1.1297360591954853</v>
      </c>
    </row>
    <row r="25" spans="12:14" x14ac:dyDescent="0.3">
      <c r="L25" s="13" t="str">
        <f>'Ind T4'!A65</f>
        <v>Transport and storage</v>
      </c>
      <c r="M25">
        <f>'Ind T4'!B104</f>
        <v>2.1332984294132107</v>
      </c>
      <c r="N25">
        <f>'Ind T4'!C104</f>
        <v>0.54730300792840136</v>
      </c>
    </row>
    <row r="26" spans="12:14" x14ac:dyDescent="0.3">
      <c r="L26" s="13" t="str">
        <f>'Ind T4'!A64</f>
        <v>Wholesale and retail trade</v>
      </c>
      <c r="M26">
        <f>'Ind T4'!B103</f>
        <v>3.7407457083959983E-2</v>
      </c>
      <c r="N26">
        <f>'Ind T4'!C103</f>
        <v>0.10488652769067297</v>
      </c>
    </row>
    <row r="27" spans="12:14" x14ac:dyDescent="0.3">
      <c r="L27" s="1" t="str">
        <f>CONCATENATE("[",'Ind T4'!A63,"]")</f>
        <v>[Trade, accomod. and transport]</v>
      </c>
      <c r="M27">
        <f>'Ind T4'!B102</f>
        <v>0.80419231929085289</v>
      </c>
      <c r="N27">
        <f>'Ind T4'!C102</f>
        <v>0.47386948066163725</v>
      </c>
    </row>
    <row r="28" spans="12:14" x14ac:dyDescent="0.3">
      <c r="L28" s="13"/>
    </row>
    <row r="29" spans="12:14" x14ac:dyDescent="0.3">
      <c r="L29" s="1" t="str">
        <f>CONCATENATE("[",'Ind T4'!A61,"]")</f>
        <v>[Construction]</v>
      </c>
      <c r="M29">
        <f>'Ind T4'!B100</f>
        <v>1.7922339231661422</v>
      </c>
      <c r="N29">
        <f>'Ind T4'!C100</f>
        <v>0.7215055190288755</v>
      </c>
    </row>
    <row r="30" spans="12:14" x14ac:dyDescent="0.3">
      <c r="L30" s="13"/>
    </row>
    <row r="31" spans="12:14" x14ac:dyDescent="0.3">
      <c r="L31" s="13" t="str">
        <f>'Ind T4'!A59</f>
        <v>Rest of manufacturing</v>
      </c>
      <c r="M31">
        <f>'Ind T4'!B98</f>
        <v>-0.28415597406286075</v>
      </c>
      <c r="N31">
        <f>'Ind T4'!C98</f>
        <v>-0.98769474749706987</v>
      </c>
    </row>
    <row r="32" spans="12:14" x14ac:dyDescent="0.3">
      <c r="L32" s="13" t="str">
        <f>'Ind T4'!A58</f>
        <v>Engineering</v>
      </c>
      <c r="M32">
        <f>'Ind T4'!B97</f>
        <v>-0.5446252560898257</v>
      </c>
      <c r="N32">
        <f>'Ind T4'!C97</f>
        <v>-0.63003041533075121</v>
      </c>
    </row>
    <row r="33" spans="12:14" x14ac:dyDescent="0.3">
      <c r="L33" s="13" t="str">
        <f>'Ind T4'!A57</f>
        <v>Food drink and tobacco</v>
      </c>
      <c r="M33">
        <f>'Ind T4'!B96</f>
        <v>1.1653798604115195</v>
      </c>
      <c r="N33">
        <f>'Ind T4'!C96</f>
        <v>-4.9938859494125243E-2</v>
      </c>
    </row>
    <row r="34" spans="12:14" x14ac:dyDescent="0.3">
      <c r="L34" s="1" t="str">
        <f>CONCATENATE("[",'Ind T4'!A56,"]")</f>
        <v>[Manufacturing]</v>
      </c>
      <c r="M34">
        <f>'Ind T4'!B95</f>
        <v>-8.2301413019525427E-2</v>
      </c>
      <c r="N34">
        <f>'Ind T4'!C95</f>
        <v>-0.76498622594640686</v>
      </c>
    </row>
    <row r="35" spans="12:14" x14ac:dyDescent="0.3">
      <c r="L35" s="13"/>
    </row>
    <row r="36" spans="12:14" x14ac:dyDescent="0.3">
      <c r="L36" s="13" t="str">
        <f>'Ind T4'!A54</f>
        <v>Water and sewerage</v>
      </c>
      <c r="M36">
        <f>'Ind T4'!B93</f>
        <v>0.98270049308539775</v>
      </c>
      <c r="N36">
        <f>'Ind T4'!C93</f>
        <v>0.82292603377598361</v>
      </c>
    </row>
    <row r="37" spans="12:14" x14ac:dyDescent="0.3">
      <c r="L37" s="13" t="str">
        <f>'Ind T4'!A53</f>
        <v>Electricity and gas</v>
      </c>
      <c r="M37">
        <f>'Ind T4'!B92</f>
        <v>1.882288294458756</v>
      </c>
      <c r="N37">
        <f>'Ind T4'!C92</f>
        <v>-0.34843338980957705</v>
      </c>
    </row>
    <row r="38" spans="12:14" x14ac:dyDescent="0.3">
      <c r="L38" s="13" t="str">
        <f>'Ind T4'!A52</f>
        <v>Mining and quarrying</v>
      </c>
      <c r="M38">
        <f>'Ind T4'!B91</f>
        <v>-3.4801119390548196</v>
      </c>
      <c r="N38">
        <f>'Ind T4'!C91</f>
        <v>-1.84279599743844</v>
      </c>
    </row>
    <row r="39" spans="12:14" x14ac:dyDescent="0.3">
      <c r="L39" s="44" t="str">
        <f>'Ind T4'!A51</f>
        <v>Agriculture</v>
      </c>
      <c r="M39">
        <f>'Ind T4'!B90</f>
        <v>-0.78672638330883338</v>
      </c>
      <c r="N39">
        <f>'Ind T4'!C90</f>
        <v>0.23231165635502204</v>
      </c>
    </row>
    <row r="40" spans="12:14" x14ac:dyDescent="0.3">
      <c r="L40" s="1" t="str">
        <f>CONCATENATE("[",'Ind T4'!A50,"]")</f>
        <v>[Primary sector and utilities]</v>
      </c>
      <c r="M40">
        <f>'Ind T4'!B89</f>
        <v>-0.10040761242606777</v>
      </c>
      <c r="N40">
        <f>'Ind T4'!C89</f>
        <v>0.15119388613791251</v>
      </c>
    </row>
    <row r="43" spans="12:14" x14ac:dyDescent="0.3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4" priority="2" stopIfTrue="1" operator="equal">
      <formula>0</formula>
    </cfRule>
  </conditionalFormatting>
  <conditionalFormatting sqref="M6:N6 M8:N8 M13:N13 M23:N23 M28:N28 M30:N30">
    <cfRule type="cellIs" dxfId="13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R268"/>
  <sheetViews>
    <sheetView zoomScale="75" zoomScaleNormal="75" workbookViewId="0"/>
  </sheetViews>
  <sheetFormatPr defaultRowHeight="12.45" x14ac:dyDescent="0.3"/>
  <cols>
    <col min="1" max="1" width="17" style="80" customWidth="1"/>
    <col min="2" max="10" width="9.15234375" style="80"/>
    <col min="11" max="11" width="23.3046875" style="80" customWidth="1"/>
    <col min="12" max="12" width="25.53515625" customWidth="1"/>
    <col min="13" max="13" width="8.3046875" bestFit="1" customWidth="1"/>
    <col min="14" max="14" width="8.69140625" bestFit="1" customWidth="1"/>
    <col min="15" max="15" width="8.3046875" bestFit="1" customWidth="1"/>
    <col min="16" max="17" width="8.69140625" bestFit="1" customWidth="1"/>
    <col min="18" max="23" width="9.15234375" bestFit="1" customWidth="1"/>
    <col min="24" max="24" width="8.69140625" bestFit="1" customWidth="1"/>
    <col min="25" max="28" width="9.15234375" bestFit="1" customWidth="1"/>
    <col min="29" max="29" width="8.69140625" bestFit="1" customWidth="1"/>
    <col min="30" max="36" width="9.15234375" bestFit="1" customWidth="1"/>
    <col min="37" max="37" width="8.69140625" bestFit="1" customWidth="1"/>
    <col min="38" max="38" width="9.15234375" bestFit="1" customWidth="1"/>
    <col min="39" max="40" width="7.53515625" customWidth="1"/>
    <col min="41" max="41" width="6.84375" customWidth="1"/>
    <col min="42" max="42" width="7.15234375" customWidth="1"/>
    <col min="43" max="43" width="7.53515625" customWidth="1"/>
    <col min="44" max="44" width="7.15234375" customWidth="1"/>
    <col min="45" max="47" width="7.53515625" customWidth="1"/>
    <col min="48" max="48" width="7.15234375" customWidth="1"/>
    <col min="49" max="52" width="7.53515625" customWidth="1"/>
    <col min="53" max="53" width="6.84375" customWidth="1"/>
    <col min="54" max="57" width="7.53515625" customWidth="1"/>
    <col min="58" max="58" width="7.15234375" customWidth="1"/>
    <col min="59" max="59" width="7.53515625" customWidth="1"/>
    <col min="60" max="60" width="6.53515625" customWidth="1"/>
    <col min="61" max="63" width="7.53515625" customWidth="1"/>
    <col min="64" max="64" width="2.3828125" customWidth="1"/>
    <col min="65" max="65" width="6.3046875" customWidth="1"/>
    <col min="66" max="66" width="19.3828125" customWidth="1"/>
  </cols>
  <sheetData>
    <row r="1" spans="1:96" ht="15.45" x14ac:dyDescent="0.4">
      <c r="A1" s="79" t="str">
        <f>CONCATENATE("Industry Figure 2  Employment by Industry (SIC 2007), ",$M$2,"-",$O$2,", ",Info!B5)</f>
        <v>Industry Figure 2  Employment by Industry (SIC 2007), 2010-2035, United Kingdom</v>
      </c>
      <c r="L1" s="45"/>
    </row>
    <row r="2" spans="1:96" x14ac:dyDescent="0.3">
      <c r="A2" s="181" t="s">
        <v>532</v>
      </c>
      <c r="L2" s="15" t="s">
        <v>28</v>
      </c>
      <c r="M2" s="47">
        <f>M4</f>
        <v>2010</v>
      </c>
      <c r="N2" s="46" t="s">
        <v>27</v>
      </c>
      <c r="O2" s="47">
        <f>MAX(Q4:BQ4)</f>
        <v>2035</v>
      </c>
    </row>
    <row r="3" spans="1:96" x14ac:dyDescent="0.3">
      <c r="L3" s="15"/>
      <c r="M3" s="15"/>
      <c r="N3" s="46"/>
      <c r="O3" s="15"/>
    </row>
    <row r="4" spans="1:96" x14ac:dyDescent="0.3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>
        <f t="shared" ref="AM4" si="0">BP4</f>
        <v>0</v>
      </c>
      <c r="AN4" s="10"/>
      <c r="AO4" s="10"/>
      <c r="AP4" s="10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10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</row>
    <row r="5" spans="1:96" x14ac:dyDescent="0.3">
      <c r="L5" s="1" t="str">
        <f>'Ind T4'!A7</f>
        <v>Primary sector and utilities</v>
      </c>
      <c r="M5" s="86">
        <f>SUM(M6:M9)</f>
        <v>784.16700000009473</v>
      </c>
      <c r="N5" s="86">
        <f t="shared" ref="N5:AL5" si="1">SUM(N6:N9)</f>
        <v>771.90899999987403</v>
      </c>
      <c r="O5" s="86">
        <f t="shared" si="1"/>
        <v>815.08599999830392</v>
      </c>
      <c r="P5" s="86">
        <f t="shared" si="1"/>
        <v>756.95099999697754</v>
      </c>
      <c r="Q5" s="86">
        <f t="shared" si="1"/>
        <v>812.03299999787487</v>
      </c>
      <c r="R5" s="86">
        <f t="shared" si="1"/>
        <v>793.96300000055226</v>
      </c>
      <c r="S5" s="86">
        <f t="shared" si="1"/>
        <v>784.00899999692729</v>
      </c>
      <c r="T5" s="86">
        <f t="shared" si="1"/>
        <v>826.0550000021185</v>
      </c>
      <c r="U5" s="86">
        <f t="shared" si="1"/>
        <v>847.8940000044081</v>
      </c>
      <c r="V5" s="86">
        <f t="shared" si="1"/>
        <v>823.87700000225686</v>
      </c>
      <c r="W5" s="86">
        <f t="shared" si="1"/>
        <v>789.98499999598903</v>
      </c>
      <c r="X5" s="86">
        <f t="shared" si="1"/>
        <v>784.03999999571727</v>
      </c>
      <c r="Y5" s="86">
        <f t="shared" si="1"/>
        <v>781.67499999809024</v>
      </c>
      <c r="Z5" s="86">
        <f t="shared" si="1"/>
        <v>784.59399999816753</v>
      </c>
      <c r="AA5" s="86">
        <f t="shared" si="1"/>
        <v>792.66699999646858</v>
      </c>
      <c r="AB5" s="86">
        <f t="shared" si="1"/>
        <v>795.87099999957115</v>
      </c>
      <c r="AC5" s="86">
        <f t="shared" si="1"/>
        <v>798.47899999922618</v>
      </c>
      <c r="AD5" s="86">
        <f t="shared" si="1"/>
        <v>800.17000000051053</v>
      </c>
      <c r="AE5" s="86">
        <f t="shared" si="1"/>
        <v>801.27899999910767</v>
      </c>
      <c r="AF5" s="86">
        <f t="shared" si="1"/>
        <v>802.1700000006831</v>
      </c>
      <c r="AG5" s="86">
        <f t="shared" si="1"/>
        <v>803.37500000020361</v>
      </c>
      <c r="AH5" s="86">
        <f t="shared" si="1"/>
        <v>804.32200000126818</v>
      </c>
      <c r="AI5" s="86">
        <f t="shared" si="1"/>
        <v>805.24400000156834</v>
      </c>
      <c r="AJ5" s="86">
        <f t="shared" si="1"/>
        <v>806.17400000232522</v>
      </c>
      <c r="AK5" s="86">
        <f t="shared" si="1"/>
        <v>807.10599999966064</v>
      </c>
      <c r="AL5" s="86">
        <f t="shared" si="1"/>
        <v>808.09199999781731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3">
      <c r="L6" s="82" t="str">
        <f>'Ind T4'!A8</f>
        <v>Agriculture</v>
      </c>
      <c r="M6" s="11">
        <v>415.15199999962249</v>
      </c>
      <c r="N6" s="11">
        <v>402.91300000106474</v>
      </c>
      <c r="O6" s="11">
        <v>422.08799999945427</v>
      </c>
      <c r="P6" s="11">
        <v>375.98499999834547</v>
      </c>
      <c r="Q6" s="11">
        <v>435.04599999920998</v>
      </c>
      <c r="R6" s="11">
        <v>386.98700000151018</v>
      </c>
      <c r="S6" s="11">
        <v>382.02299999804802</v>
      </c>
      <c r="T6" s="11">
        <v>405.05000000134294</v>
      </c>
      <c r="U6" s="11">
        <v>407.91200000333401</v>
      </c>
      <c r="V6" s="11">
        <v>395.90500000286579</v>
      </c>
      <c r="W6" s="11">
        <v>372.00199999699367</v>
      </c>
      <c r="X6" s="11">
        <v>374.24699999695906</v>
      </c>
      <c r="Y6" s="11">
        <v>376.5559999975427</v>
      </c>
      <c r="Z6" s="11">
        <v>379.27799999747202</v>
      </c>
      <c r="AA6" s="11">
        <v>381.08999999619527</v>
      </c>
      <c r="AB6" s="11">
        <v>381.17099999725599</v>
      </c>
      <c r="AC6" s="11">
        <v>381.56899999708219</v>
      </c>
      <c r="AD6" s="11">
        <v>381.90799999838043</v>
      </c>
      <c r="AE6" s="11">
        <v>382.15099999727175</v>
      </c>
      <c r="AF6" s="11">
        <v>382.37899999878471</v>
      </c>
      <c r="AG6" s="11">
        <v>382.91799999804482</v>
      </c>
      <c r="AH6" s="11">
        <v>383.42499999930266</v>
      </c>
      <c r="AI6" s="11">
        <v>383.90799999922149</v>
      </c>
      <c r="AJ6" s="11">
        <v>384.36099999953672</v>
      </c>
      <c r="AK6" s="171">
        <v>384.76999999713496</v>
      </c>
      <c r="AL6" s="11">
        <v>385.17799999710059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3">
      <c r="L7" s="82" t="str">
        <f>'Ind T4'!A9</f>
        <v>Mining and quarrying</v>
      </c>
      <c r="M7" s="11">
        <v>60.003999999983428</v>
      </c>
      <c r="N7" s="11">
        <v>61.00299999974159</v>
      </c>
      <c r="O7" s="11">
        <v>77.009999999606038</v>
      </c>
      <c r="P7" s="11">
        <v>69.992999999807807</v>
      </c>
      <c r="Q7" s="11">
        <v>65.994999999662696</v>
      </c>
      <c r="R7" s="11">
        <v>74.000999999618358</v>
      </c>
      <c r="S7" s="11">
        <v>61.998999999805555</v>
      </c>
      <c r="T7" s="11">
        <v>58.99500000010076</v>
      </c>
      <c r="U7" s="11">
        <v>63.003000000080071</v>
      </c>
      <c r="V7" s="11">
        <v>60.993999999880636</v>
      </c>
      <c r="W7" s="11">
        <v>61.989999999907816</v>
      </c>
      <c r="X7" s="11">
        <v>60.056999999841779</v>
      </c>
      <c r="Y7" s="11">
        <v>59.450000000063731</v>
      </c>
      <c r="Z7" s="11">
        <v>57.553000000056009</v>
      </c>
      <c r="AA7" s="11">
        <v>55.537000000027945</v>
      </c>
      <c r="AB7" s="11">
        <v>54.095000000151984</v>
      </c>
      <c r="AC7" s="11">
        <v>53.095000000151117</v>
      </c>
      <c r="AD7" s="11">
        <v>52.099000000228585</v>
      </c>
      <c r="AE7" s="11">
        <v>51.235000000171311</v>
      </c>
      <c r="AF7" s="11">
        <v>50.468000000193818</v>
      </c>
      <c r="AG7" s="11">
        <v>49.851000000171872</v>
      </c>
      <c r="AH7" s="11">
        <v>49.103000000233152</v>
      </c>
      <c r="AI7" s="11">
        <v>48.449000000238527</v>
      </c>
      <c r="AJ7" s="11">
        <v>47.86100000024895</v>
      </c>
      <c r="AK7" s="171">
        <v>47.346000000162128</v>
      </c>
      <c r="AL7" s="11">
        <v>46.898000000171301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3">
      <c r="L8" s="82" t="str">
        <f>'Ind T4'!A10</f>
        <v>Electricity and gas</v>
      </c>
      <c r="M8" s="11">
        <v>132.00599999998795</v>
      </c>
      <c r="N8" s="11">
        <v>118.99699999947715</v>
      </c>
      <c r="O8" s="11">
        <v>121.9979999993497</v>
      </c>
      <c r="P8" s="11">
        <v>121.98999999972703</v>
      </c>
      <c r="Q8" s="11">
        <v>113.99799999967465</v>
      </c>
      <c r="R8" s="11">
        <v>132.99599999935342</v>
      </c>
      <c r="S8" s="11">
        <v>140.99499999941619</v>
      </c>
      <c r="T8" s="11">
        <v>146.00399999993292</v>
      </c>
      <c r="U8" s="11">
        <v>149.99399999990746</v>
      </c>
      <c r="V8" s="11">
        <v>143.9939999993542</v>
      </c>
      <c r="W8" s="11">
        <v>145.99299999949051</v>
      </c>
      <c r="X8" s="11">
        <v>144.0349999990722</v>
      </c>
      <c r="Y8" s="11">
        <v>141.28200000016514</v>
      </c>
      <c r="Z8" s="11">
        <v>140.54500000013127</v>
      </c>
      <c r="AA8" s="11">
        <v>140.27000000007078</v>
      </c>
      <c r="AB8" s="11">
        <v>140.01800000093294</v>
      </c>
      <c r="AC8" s="11">
        <v>139.7140000006265</v>
      </c>
      <c r="AD8" s="11">
        <v>139.48800000046225</v>
      </c>
      <c r="AE8" s="11">
        <v>139.23800000038003</v>
      </c>
      <c r="AF8" s="11">
        <v>139.04600000050914</v>
      </c>
      <c r="AG8" s="11">
        <v>138.92300000056252</v>
      </c>
      <c r="AH8" s="11">
        <v>138.82200000045015</v>
      </c>
      <c r="AI8" s="11">
        <v>138.73200000065782</v>
      </c>
      <c r="AJ8" s="11">
        <v>138.66200000059868</v>
      </c>
      <c r="AK8" s="171">
        <v>138.59800000053346</v>
      </c>
      <c r="AL8" s="11">
        <v>138.5459999994923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3">
      <c r="L9" s="82" t="str">
        <f>'Ind T4'!A11</f>
        <v>Water and sewerage</v>
      </c>
      <c r="M9" s="11">
        <v>177.00500000050087</v>
      </c>
      <c r="N9" s="11">
        <v>188.99599999959062</v>
      </c>
      <c r="O9" s="11">
        <v>193.98999999989397</v>
      </c>
      <c r="P9" s="11">
        <v>188.98299999909722</v>
      </c>
      <c r="Q9" s="11">
        <v>196.9939999993276</v>
      </c>
      <c r="R9" s="11">
        <v>199.97900000007024</v>
      </c>
      <c r="S9" s="11">
        <v>198.99199999965751</v>
      </c>
      <c r="T9" s="11">
        <v>216.00600000074192</v>
      </c>
      <c r="U9" s="11">
        <v>226.98500000108655</v>
      </c>
      <c r="V9" s="11">
        <v>222.98400000015624</v>
      </c>
      <c r="W9" s="11">
        <v>209.99999999959704</v>
      </c>
      <c r="X9" s="11">
        <v>205.70099999984424</v>
      </c>
      <c r="Y9" s="11">
        <v>204.38700000031872</v>
      </c>
      <c r="Z9" s="11">
        <v>207.21800000050828</v>
      </c>
      <c r="AA9" s="11">
        <v>215.77000000017463</v>
      </c>
      <c r="AB9" s="11">
        <v>220.58700000123022</v>
      </c>
      <c r="AC9" s="11">
        <v>224.10100000136637</v>
      </c>
      <c r="AD9" s="11">
        <v>226.67500000143929</v>
      </c>
      <c r="AE9" s="11">
        <v>228.65500000128463</v>
      </c>
      <c r="AF9" s="11">
        <v>230.27700000119546</v>
      </c>
      <c r="AG9" s="11">
        <v>231.68300000142435</v>
      </c>
      <c r="AH9" s="11">
        <v>232.97200000128214</v>
      </c>
      <c r="AI9" s="11">
        <v>234.15500000145053</v>
      </c>
      <c r="AJ9" s="11">
        <v>235.29000000194085</v>
      </c>
      <c r="AK9" s="171">
        <v>236.3920000018301</v>
      </c>
      <c r="AL9" s="11">
        <v>237.47000000105308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3">
      <c r="L10" s="13"/>
      <c r="AK10" s="171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3">
      <c r="L11" s="1" t="str">
        <f>'Ind T4'!A13</f>
        <v>Manufacturing</v>
      </c>
      <c r="M11" s="86">
        <f t="shared" ref="M11:P11" si="2">SUM(M12:M14)</f>
        <v>2567.1549999983481</v>
      </c>
      <c r="N11" s="86">
        <f t="shared" si="2"/>
        <v>2560.0349999943737</v>
      </c>
      <c r="O11" s="86">
        <f t="shared" si="2"/>
        <v>2599.9809999952904</v>
      </c>
      <c r="P11" s="86">
        <f t="shared" si="2"/>
        <v>2558.8089999857302</v>
      </c>
      <c r="Q11" s="86">
        <f>SUM(Q12:Q14)</f>
        <v>2612.0449999924376</v>
      </c>
      <c r="R11" s="86">
        <f t="shared" ref="R11" si="3">SUM(R12:R14)</f>
        <v>2637.8289999997633</v>
      </c>
      <c r="S11" s="86">
        <f t="shared" ref="S11" si="4">SUM(S12:S14)</f>
        <v>2650.9559999927997</v>
      </c>
      <c r="T11" s="86">
        <f t="shared" ref="T11" si="5">SUM(T12:T14)</f>
        <v>2675.1310000103881</v>
      </c>
      <c r="U11" s="86">
        <f t="shared" ref="U11" si="6">SUM(U12:U14)</f>
        <v>2715.8160000106495</v>
      </c>
      <c r="V11" s="86">
        <f t="shared" ref="V11" si="7">SUM(V12:V14)</f>
        <v>2686.7669999965783</v>
      </c>
      <c r="W11" s="86">
        <f t="shared" ref="W11" si="8">SUM(W12:W14)</f>
        <v>2626.9919999948092</v>
      </c>
      <c r="X11" s="86">
        <f t="shared" ref="X11" si="9">SUM(X12:X14)</f>
        <v>2627.2839999883454</v>
      </c>
      <c r="Y11" s="86">
        <f t="shared" ref="Y11" si="10">SUM(Y12:Y14)</f>
        <v>2604.2820000045044</v>
      </c>
      <c r="Z11" s="86">
        <f t="shared" ref="Z11" si="11">SUM(Z12:Z14)</f>
        <v>2582.1010000049409</v>
      </c>
      <c r="AA11" s="86">
        <f t="shared" ref="AA11" si="12">SUM(AA12:AA14)</f>
        <v>2564.6110000013887</v>
      </c>
      <c r="AB11" s="86">
        <f t="shared" ref="AB11" si="13">SUM(AB12:AB14)</f>
        <v>2540.6200000154372</v>
      </c>
      <c r="AC11" s="86">
        <f t="shared" ref="AC11" si="14">SUM(AC12:AC14)</f>
        <v>2518.0710000147528</v>
      </c>
      <c r="AD11" s="86">
        <f>SUM(AD12:AD14)</f>
        <v>2495.0490000164245</v>
      </c>
      <c r="AE11" s="86">
        <f t="shared" ref="AE11" si="15">SUM(AE12:AE14)</f>
        <v>2472.8220000132278</v>
      </c>
      <c r="AF11" s="86">
        <f t="shared" ref="AF11" si="16">SUM(AF12:AF14)</f>
        <v>2451.4160000129814</v>
      </c>
      <c r="AG11" s="86">
        <f t="shared" ref="AG11:AL11" si="17">SUM(AG12:AG14)</f>
        <v>2432.6620000155608</v>
      </c>
      <c r="AH11" s="86">
        <f t="shared" si="17"/>
        <v>2413.1480000139181</v>
      </c>
      <c r="AI11" s="86">
        <f t="shared" si="17"/>
        <v>2394.2300000163655</v>
      </c>
      <c r="AJ11" s="86">
        <f t="shared" si="17"/>
        <v>2375.8580000209113</v>
      </c>
      <c r="AK11" s="86">
        <f t="shared" si="17"/>
        <v>2358.0260000180788</v>
      </c>
      <c r="AL11" s="86">
        <f t="shared" si="17"/>
        <v>2341.1690000025401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3">
      <c r="L12" s="82" t="str">
        <f>'Ind T4'!A14</f>
        <v>Food drink and tobacco</v>
      </c>
      <c r="M12" s="11">
        <v>410.94399999843347</v>
      </c>
      <c r="N12" s="11">
        <v>394.85299999912797</v>
      </c>
      <c r="O12" s="11">
        <v>403.13499999993928</v>
      </c>
      <c r="P12" s="11">
        <v>414.09599999668683</v>
      </c>
      <c r="Q12" s="11">
        <v>415.14199999895703</v>
      </c>
      <c r="R12" s="11">
        <v>426.8060000017868</v>
      </c>
      <c r="S12" s="11">
        <v>441.44099999926368</v>
      </c>
      <c r="T12" s="11">
        <v>451.06900000296861</v>
      </c>
      <c r="U12" s="11">
        <v>442.06100000297988</v>
      </c>
      <c r="V12" s="11">
        <v>452.71200000046275</v>
      </c>
      <c r="W12" s="11">
        <v>452.26199999991479</v>
      </c>
      <c r="X12" s="11">
        <v>454.4589999977394</v>
      </c>
      <c r="Y12" s="11">
        <v>457.49500000192319</v>
      </c>
      <c r="Z12" s="11">
        <v>460.20700000266555</v>
      </c>
      <c r="AA12" s="11">
        <v>460.52800000100547</v>
      </c>
      <c r="AB12" s="11">
        <v>459.38400000572176</v>
      </c>
      <c r="AC12" s="11">
        <v>458.49500000530401</v>
      </c>
      <c r="AD12" s="11">
        <v>457.42600000520304</v>
      </c>
      <c r="AE12" s="11">
        <v>456.26900000444738</v>
      </c>
      <c r="AF12" s="11">
        <v>455.07200000465861</v>
      </c>
      <c r="AG12" s="11">
        <v>454.11800000497129</v>
      </c>
      <c r="AH12" s="11">
        <v>453.16500000460229</v>
      </c>
      <c r="AI12" s="11">
        <v>452.18500000532856</v>
      </c>
      <c r="AJ12" s="11">
        <v>451.13800000641618</v>
      </c>
      <c r="AK12" s="171">
        <v>450.03800000600722</v>
      </c>
      <c r="AL12" s="11">
        <v>448.88600000038093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3">
      <c r="L13" s="82" t="str">
        <f>'Ind T4'!A15</f>
        <v>Engineering</v>
      </c>
      <c r="M13" s="11">
        <v>391.02799999984529</v>
      </c>
      <c r="N13" s="11">
        <v>422.83899999876394</v>
      </c>
      <c r="O13" s="11">
        <v>422.08899999877559</v>
      </c>
      <c r="P13" s="11">
        <v>423.09899999861852</v>
      </c>
      <c r="Q13" s="11">
        <v>395.1089999988601</v>
      </c>
      <c r="R13" s="11">
        <v>394.82099999887174</v>
      </c>
      <c r="S13" s="11">
        <v>386.3909999987095</v>
      </c>
      <c r="T13" s="11">
        <v>403.09200000045104</v>
      </c>
      <c r="U13" s="11">
        <v>398.00500000051318</v>
      </c>
      <c r="V13" s="11">
        <v>402.64999999893888</v>
      </c>
      <c r="W13" s="11">
        <v>384.18599999891455</v>
      </c>
      <c r="X13" s="11">
        <v>395.41399999838831</v>
      </c>
      <c r="Y13" s="11">
        <v>393.4660000003517</v>
      </c>
      <c r="Z13" s="11">
        <v>394.92400000025532</v>
      </c>
      <c r="AA13" s="11">
        <v>394.92400000008371</v>
      </c>
      <c r="AB13" s="11">
        <v>393.4140000017203</v>
      </c>
      <c r="AC13" s="11">
        <v>388.6310000015896</v>
      </c>
      <c r="AD13" s="11">
        <v>383.85800000184378</v>
      </c>
      <c r="AE13" s="11">
        <v>379.13400000157986</v>
      </c>
      <c r="AF13" s="11">
        <v>374.51800000154185</v>
      </c>
      <c r="AG13" s="11">
        <v>370.42600000203481</v>
      </c>
      <c r="AH13" s="11">
        <v>366.18400000157811</v>
      </c>
      <c r="AI13" s="11">
        <v>361.9630000018974</v>
      </c>
      <c r="AJ13" s="11">
        <v>357.76600000233833</v>
      </c>
      <c r="AK13" s="171">
        <v>353.58000000194738</v>
      </c>
      <c r="AL13" s="11">
        <v>349.43700000037808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3">
      <c r="L14" s="82" t="str">
        <f>'Ind T4'!A16</f>
        <v>Rest of manufacturing</v>
      </c>
      <c r="M14" s="11">
        <v>1765.1830000000691</v>
      </c>
      <c r="N14" s="11">
        <v>1742.3429999964817</v>
      </c>
      <c r="O14" s="11">
        <v>1774.7569999965754</v>
      </c>
      <c r="P14" s="11">
        <v>1721.6139999904246</v>
      </c>
      <c r="Q14" s="11">
        <v>1801.7939999946207</v>
      </c>
      <c r="R14" s="11">
        <v>1816.2019999991048</v>
      </c>
      <c r="S14" s="11">
        <v>1823.1239999948266</v>
      </c>
      <c r="T14" s="11">
        <v>1820.9700000069683</v>
      </c>
      <c r="U14" s="11">
        <v>1875.7500000071564</v>
      </c>
      <c r="V14" s="11">
        <v>1831.4049999971767</v>
      </c>
      <c r="W14" s="11">
        <v>1790.5439999959799</v>
      </c>
      <c r="X14" s="11">
        <v>1777.4109999922177</v>
      </c>
      <c r="Y14" s="11">
        <v>1753.3210000022295</v>
      </c>
      <c r="Z14" s="11">
        <v>1726.9700000020202</v>
      </c>
      <c r="AA14" s="11">
        <v>1709.1590000002998</v>
      </c>
      <c r="AB14" s="11">
        <v>1687.8220000079953</v>
      </c>
      <c r="AC14" s="11">
        <v>1670.9450000078593</v>
      </c>
      <c r="AD14" s="11">
        <v>1653.7650000093774</v>
      </c>
      <c r="AE14" s="11">
        <v>1637.4190000072008</v>
      </c>
      <c r="AF14" s="11">
        <v>1621.8260000067812</v>
      </c>
      <c r="AG14" s="11">
        <v>1608.1180000085546</v>
      </c>
      <c r="AH14" s="11">
        <v>1593.7990000077377</v>
      </c>
      <c r="AI14" s="11">
        <v>1580.0820000091396</v>
      </c>
      <c r="AJ14" s="11">
        <v>1566.9540000121569</v>
      </c>
      <c r="AK14" s="171">
        <v>1554.4080000101242</v>
      </c>
      <c r="AL14" s="11">
        <v>1542.846000001781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3">
      <c r="L15" s="13"/>
      <c r="AK15" s="171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3">
      <c r="L16" s="1" t="str">
        <f>'Ind T4'!A18</f>
        <v>Construction</v>
      </c>
      <c r="M16" s="86">
        <v>2097.6090000068534</v>
      </c>
      <c r="N16" s="86">
        <v>2057.642999987544</v>
      </c>
      <c r="O16" s="86">
        <v>2056.3379999923327</v>
      </c>
      <c r="P16" s="86">
        <v>2039.9179999815094</v>
      </c>
      <c r="Q16" s="86">
        <v>2117.1799999730288</v>
      </c>
      <c r="R16" s="86">
        <v>2121.909999979634</v>
      </c>
      <c r="S16" s="86">
        <v>2235.1399999722307</v>
      </c>
      <c r="T16" s="86">
        <v>2318.2290000064759</v>
      </c>
      <c r="U16" s="86">
        <v>2304.5680000210627</v>
      </c>
      <c r="V16" s="86">
        <v>2333.5340000224637</v>
      </c>
      <c r="W16" s="86">
        <v>2318.9969999678442</v>
      </c>
      <c r="X16" s="86">
        <v>2291.3399999582948</v>
      </c>
      <c r="Y16" s="86">
        <v>2313.1219999327873</v>
      </c>
      <c r="Z16" s="86">
        <v>2360.909999933785</v>
      </c>
      <c r="AA16" s="86">
        <v>2399.655999920094</v>
      </c>
      <c r="AB16" s="86">
        <v>2419.1419999278801</v>
      </c>
      <c r="AC16" s="86">
        <v>2436.2689999326103</v>
      </c>
      <c r="AD16" s="86">
        <v>2448.3909999338975</v>
      </c>
      <c r="AE16" s="86">
        <v>2463.1599999194609</v>
      </c>
      <c r="AF16" s="86">
        <v>2476.7569999318162</v>
      </c>
      <c r="AG16" s="86">
        <v>2493.1969999222756</v>
      </c>
      <c r="AH16" s="86">
        <v>2510.1889999392115</v>
      </c>
      <c r="AI16" s="86">
        <v>2527.8019999290768</v>
      </c>
      <c r="AJ16" s="86">
        <v>2545.8879999456663</v>
      </c>
      <c r="AK16" s="355">
        <v>2564.3269999320351</v>
      </c>
      <c r="AL16" s="86">
        <v>2583.0529999460769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3">
      <c r="L17" s="13"/>
      <c r="AK17" s="171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3">
      <c r="L18" s="1" t="str">
        <f>'Ind T4'!A20</f>
        <v>Trade, accomod. and transport</v>
      </c>
      <c r="M18" s="86">
        <f t="shared" ref="M18:P18" si="18">SUM(M19:M21)</f>
        <v>8210.5839999346754</v>
      </c>
      <c r="N18" s="86">
        <f t="shared" si="18"/>
        <v>8258.892999953905</v>
      </c>
      <c r="O18" s="86">
        <f t="shared" si="18"/>
        <v>8403.117999966762</v>
      </c>
      <c r="P18" s="86">
        <f t="shared" si="18"/>
        <v>8377.4549999598876</v>
      </c>
      <c r="Q18" s="86">
        <f>SUM(Q19:Q21)</f>
        <v>8599.1750000721913</v>
      </c>
      <c r="R18" s="86">
        <f t="shared" ref="R18" si="19">SUM(R19:R21)</f>
        <v>8823.4510001404869</v>
      </c>
      <c r="S18" s="86">
        <f t="shared" ref="S18" si="20">SUM(S19:S21)</f>
        <v>9054.8970000888967</v>
      </c>
      <c r="T18" s="86">
        <f t="shared" ref="T18" si="21">SUM(T19:T21)</f>
        <v>9124.4650001190639</v>
      </c>
      <c r="U18" s="86">
        <f t="shared" ref="U18" si="22">SUM(U19:U21)</f>
        <v>9138.3740001178539</v>
      </c>
      <c r="V18" s="86">
        <f t="shared" ref="V18" si="23">SUM(V19:V21)</f>
        <v>9328.0920000844544</v>
      </c>
      <c r="W18" s="86">
        <f t="shared" ref="W18" si="24">SUM(W19:W21)</f>
        <v>9183.9910000514137</v>
      </c>
      <c r="X18" s="86">
        <f t="shared" ref="X18" si="25">SUM(X19:X21)</f>
        <v>9156.0359999461725</v>
      </c>
      <c r="Y18" s="86">
        <f t="shared" ref="Y18" si="26">SUM(Y19:Y21)</f>
        <v>9208.6910001316392</v>
      </c>
      <c r="Z18" s="86">
        <f t="shared" ref="Z18" si="27">SUM(Z19:Z21)</f>
        <v>9279.5950001724086</v>
      </c>
      <c r="AA18" s="86">
        <f t="shared" ref="AA18" si="28">SUM(AA19:AA21)</f>
        <v>9360.0340001241129</v>
      </c>
      <c r="AB18" s="86">
        <f t="shared" ref="AB18" si="29">SUM(AB19:AB21)</f>
        <v>9425.3850001917017</v>
      </c>
      <c r="AC18" s="86">
        <f t="shared" ref="AC18" si="30">SUM(AC19:AC21)</f>
        <v>9477.1410001639488</v>
      </c>
      <c r="AD18" s="86">
        <f>SUM(AD19:AD21)</f>
        <v>9523.7860001549889</v>
      </c>
      <c r="AE18" s="86">
        <f t="shared" ref="AE18" si="31">SUM(AE19:AE21)</f>
        <v>9567.6230001491112</v>
      </c>
      <c r="AF18" s="86">
        <f t="shared" ref="AF18" si="32">SUM(AF19:AF21)</f>
        <v>9609.9220001493541</v>
      </c>
      <c r="AG18" s="86">
        <f t="shared" ref="AG18:AL18" si="33">SUM(AG19:AG21)</f>
        <v>9653.1450001446392</v>
      </c>
      <c r="AH18" s="86">
        <f t="shared" si="33"/>
        <v>9695.3920001443948</v>
      </c>
      <c r="AI18" s="86">
        <f t="shared" si="33"/>
        <v>9736.6310001535712</v>
      </c>
      <c r="AJ18" s="86">
        <f t="shared" si="33"/>
        <v>9778.7750001638342</v>
      </c>
      <c r="AK18" s="86">
        <f t="shared" si="33"/>
        <v>9819.3090001833079</v>
      </c>
      <c r="AL18" s="86">
        <f t="shared" si="33"/>
        <v>9858.8979999900694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3">
      <c r="L19" s="82" t="str">
        <f>'Ind T4'!A21</f>
        <v>Wholesale and retail trade</v>
      </c>
      <c r="M19" s="11">
        <v>4791.2889999567533</v>
      </c>
      <c r="N19" s="11">
        <v>4767.9769999739774</v>
      </c>
      <c r="O19" s="11">
        <v>4841.0259999745986</v>
      </c>
      <c r="P19" s="11">
        <v>4797.6889999684299</v>
      </c>
      <c r="Q19" s="11">
        <v>4890.0830000637588</v>
      </c>
      <c r="R19" s="11">
        <v>4970.689000089862</v>
      </c>
      <c r="S19" s="11">
        <v>4993.9200000576584</v>
      </c>
      <c r="T19" s="11">
        <v>4989.2390000868736</v>
      </c>
      <c r="U19" s="11">
        <v>4965.6940000781842</v>
      </c>
      <c r="V19" s="11">
        <v>4991.5540000616611</v>
      </c>
      <c r="W19" s="11">
        <v>4979.9930000385002</v>
      </c>
      <c r="X19" s="11">
        <v>4990.8359999583772</v>
      </c>
      <c r="Y19" s="11">
        <v>4991.109000080779</v>
      </c>
      <c r="Z19" s="11">
        <v>4991.5750001043825</v>
      </c>
      <c r="AA19" s="11">
        <v>4997.9600000764412</v>
      </c>
      <c r="AB19" s="11">
        <v>5007.1890001147076</v>
      </c>
      <c r="AC19" s="11">
        <v>5012.2700000952073</v>
      </c>
      <c r="AD19" s="11">
        <v>5016.2350000891092</v>
      </c>
      <c r="AE19" s="11">
        <v>5019.7060000831707</v>
      </c>
      <c r="AF19" s="11">
        <v>5023.0600000858803</v>
      </c>
      <c r="AG19" s="11">
        <v>5027.4730000774171</v>
      </c>
      <c r="AH19" s="11">
        <v>5032.5360000798291</v>
      </c>
      <c r="AI19" s="11">
        <v>5037.6420000839325</v>
      </c>
      <c r="AJ19" s="11">
        <v>5044.9160000881111</v>
      </c>
      <c r="AK19" s="171">
        <v>5051.8970000981062</v>
      </c>
      <c r="AL19" s="11">
        <v>5058.9209999896593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3">
      <c r="L20" s="82" t="str">
        <f>'Ind T4'!A22</f>
        <v>Transport and storage</v>
      </c>
      <c r="M20" s="11">
        <v>1461.1809999881661</v>
      </c>
      <c r="N20" s="11">
        <v>1489.9229999852744</v>
      </c>
      <c r="O20" s="11">
        <v>1508.0809999876997</v>
      </c>
      <c r="P20" s="11">
        <v>1484.90599999139</v>
      </c>
      <c r="Q20" s="11">
        <v>1508.058999989202</v>
      </c>
      <c r="R20" s="11">
        <v>1608.9080000134998</v>
      </c>
      <c r="S20" s="11">
        <v>1712.0190000073594</v>
      </c>
      <c r="T20" s="11">
        <v>1722.1139999984364</v>
      </c>
      <c r="U20" s="11">
        <v>1724.8230000037634</v>
      </c>
      <c r="V20" s="11">
        <v>1811.763999990661</v>
      </c>
      <c r="W20" s="11">
        <v>1788.0020000024331</v>
      </c>
      <c r="X20" s="11">
        <v>1866.9750000057447</v>
      </c>
      <c r="Y20" s="11">
        <v>1876.1580000200829</v>
      </c>
      <c r="Z20" s="11">
        <v>1885.8540000245239</v>
      </c>
      <c r="AA20" s="11">
        <v>1897.5960000163768</v>
      </c>
      <c r="AB20" s="11">
        <v>1904.4200000279936</v>
      </c>
      <c r="AC20" s="11">
        <v>1908.528000029245</v>
      </c>
      <c r="AD20" s="11">
        <v>1912.3750000266307</v>
      </c>
      <c r="AE20" s="11">
        <v>1915.9950000287522</v>
      </c>
      <c r="AF20" s="11">
        <v>1919.6750000218487</v>
      </c>
      <c r="AG20" s="11">
        <v>1923.789000028966</v>
      </c>
      <c r="AH20" s="11">
        <v>1927.3740000220096</v>
      </c>
      <c r="AI20" s="11">
        <v>1930.8630000247772</v>
      </c>
      <c r="AJ20" s="11">
        <v>1934.2040000294317</v>
      </c>
      <c r="AK20" s="171">
        <v>1937.3760000307336</v>
      </c>
      <c r="AL20" s="11">
        <v>1940.5480000121872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3">
      <c r="L21" s="82" t="str">
        <f>'Ind T4'!A23</f>
        <v>Accommodation and food</v>
      </c>
      <c r="M21" s="11">
        <v>1958.113999989755</v>
      </c>
      <c r="N21" s="11">
        <v>2000.9929999946532</v>
      </c>
      <c r="O21" s="11">
        <v>2054.0110000044651</v>
      </c>
      <c r="P21" s="11">
        <v>2094.8600000000674</v>
      </c>
      <c r="Q21" s="11">
        <v>2201.0330000192312</v>
      </c>
      <c r="R21" s="11">
        <v>2243.8540000371245</v>
      </c>
      <c r="S21" s="11">
        <v>2348.958000023878</v>
      </c>
      <c r="T21" s="11">
        <v>2413.1120000337551</v>
      </c>
      <c r="U21" s="11">
        <v>2447.8570000359073</v>
      </c>
      <c r="V21" s="11">
        <v>2524.7740000321319</v>
      </c>
      <c r="W21" s="11">
        <v>2415.9960000104807</v>
      </c>
      <c r="X21" s="11">
        <v>2298.2249999820506</v>
      </c>
      <c r="Y21" s="11">
        <v>2341.4240000307782</v>
      </c>
      <c r="Z21" s="11">
        <v>2402.1660000435013</v>
      </c>
      <c r="AA21" s="11">
        <v>2464.4780000312949</v>
      </c>
      <c r="AB21" s="11">
        <v>2513.7760000489998</v>
      </c>
      <c r="AC21" s="11">
        <v>2556.343000039496</v>
      </c>
      <c r="AD21" s="11">
        <v>2595.1760000392496</v>
      </c>
      <c r="AE21" s="11">
        <v>2631.9220000371879</v>
      </c>
      <c r="AF21" s="11">
        <v>2667.1870000416243</v>
      </c>
      <c r="AG21" s="11">
        <v>2701.8830000382568</v>
      </c>
      <c r="AH21" s="11">
        <v>2735.4820000425566</v>
      </c>
      <c r="AI21" s="11">
        <v>2768.1260000448628</v>
      </c>
      <c r="AJ21" s="11">
        <v>2799.6550000462903</v>
      </c>
      <c r="AK21" s="171">
        <v>2830.0360000544683</v>
      </c>
      <c r="AL21" s="11">
        <v>2859.4289999882239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3">
      <c r="L22" s="13"/>
      <c r="AK22" s="171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3">
      <c r="L23" s="1" t="str">
        <f>'Ind T4'!A25</f>
        <v>Business and other services</v>
      </c>
      <c r="M23" s="86">
        <f>SUM(M24:M31)</f>
        <v>9380.0899999789654</v>
      </c>
      <c r="N23" s="86">
        <f t="shared" ref="N23:AL23" si="34">SUM(N24:N31)</f>
        <v>9475.5489999881611</v>
      </c>
      <c r="O23" s="86">
        <f t="shared" si="34"/>
        <v>9789.46199997023</v>
      </c>
      <c r="P23" s="86">
        <f t="shared" si="34"/>
        <v>9953.3909999632797</v>
      </c>
      <c r="Q23" s="86">
        <f t="shared" si="34"/>
        <v>10596.401999994341</v>
      </c>
      <c r="R23" s="86">
        <f t="shared" si="34"/>
        <v>10766.368999966548</v>
      </c>
      <c r="S23" s="86">
        <f t="shared" si="34"/>
        <v>11055.069999956757</v>
      </c>
      <c r="T23" s="86">
        <f t="shared" si="34"/>
        <v>11100.717999977949</v>
      </c>
      <c r="U23" s="86">
        <f t="shared" si="34"/>
        <v>11181.919999970705</v>
      </c>
      <c r="V23" s="86">
        <f t="shared" si="34"/>
        <v>11478.555999953878</v>
      </c>
      <c r="W23" s="86">
        <f t="shared" si="34"/>
        <v>11274.012999979988</v>
      </c>
      <c r="X23" s="86">
        <f t="shared" si="34"/>
        <v>11416.439999959041</v>
      </c>
      <c r="Y23" s="86">
        <f t="shared" si="34"/>
        <v>11473.03900004991</v>
      </c>
      <c r="Z23" s="86">
        <f t="shared" si="34"/>
        <v>11550.322000041097</v>
      </c>
      <c r="AA23" s="86">
        <f t="shared" si="34"/>
        <v>11629.179000065587</v>
      </c>
      <c r="AB23" s="86">
        <f t="shared" si="34"/>
        <v>11689.746000110052</v>
      </c>
      <c r="AC23" s="86">
        <f t="shared" si="34"/>
        <v>11754.382000096817</v>
      </c>
      <c r="AD23" s="86">
        <f t="shared" si="34"/>
        <v>11818.224000138527</v>
      </c>
      <c r="AE23" s="86">
        <f t="shared" si="34"/>
        <v>11881.569000139312</v>
      </c>
      <c r="AF23" s="86">
        <f t="shared" si="34"/>
        <v>11945.664000156317</v>
      </c>
      <c r="AG23" s="86">
        <f t="shared" si="34"/>
        <v>12013.416000161504</v>
      </c>
      <c r="AH23" s="86">
        <f t="shared" si="34"/>
        <v>12079.881000146554</v>
      </c>
      <c r="AI23" s="86">
        <f t="shared" si="34"/>
        <v>12146.931000167491</v>
      </c>
      <c r="AJ23" s="86">
        <f t="shared" si="34"/>
        <v>12213.857000161157</v>
      </c>
      <c r="AK23" s="86">
        <f t="shared" si="34"/>
        <v>12280.398000141267</v>
      </c>
      <c r="AL23" s="86">
        <f t="shared" si="34"/>
        <v>12346.753000035324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3">
      <c r="L24" s="82" t="str">
        <f>'Ind T4'!A26</f>
        <v>Media</v>
      </c>
      <c r="M24" s="11">
        <v>328.79699999883667</v>
      </c>
      <c r="N24" s="11">
        <v>351.96200000123736</v>
      </c>
      <c r="O24" s="11">
        <v>373.52799999841324</v>
      </c>
      <c r="P24" s="11">
        <v>340.9879999981768</v>
      </c>
      <c r="Q24" s="11">
        <v>377.54300000022249</v>
      </c>
      <c r="R24" s="11">
        <v>364.73499999974388</v>
      </c>
      <c r="S24" s="11">
        <v>359.80399999895087</v>
      </c>
      <c r="T24" s="11">
        <v>385.03399999939779</v>
      </c>
      <c r="U24" s="11">
        <v>367.50499999944577</v>
      </c>
      <c r="V24" s="11">
        <v>379.56299999890012</v>
      </c>
      <c r="W24" s="11">
        <v>377.52300000078952</v>
      </c>
      <c r="X24" s="11">
        <v>378.16599999970998</v>
      </c>
      <c r="Y24" s="11">
        <v>379.10700000390699</v>
      </c>
      <c r="Z24" s="11">
        <v>379.91200000363176</v>
      </c>
      <c r="AA24" s="11">
        <v>380.87300000452694</v>
      </c>
      <c r="AB24" s="11">
        <v>381.39600000564667</v>
      </c>
      <c r="AC24" s="11">
        <v>381.87200000551599</v>
      </c>
      <c r="AD24" s="11">
        <v>382.30400000739138</v>
      </c>
      <c r="AE24" s="11">
        <v>382.74400000769612</v>
      </c>
      <c r="AF24" s="11">
        <v>383.14600000790267</v>
      </c>
      <c r="AG24" s="11">
        <v>383.51300000792634</v>
      </c>
      <c r="AH24" s="11">
        <v>383.88700000708747</v>
      </c>
      <c r="AI24" s="11">
        <v>384.300000008219</v>
      </c>
      <c r="AJ24" s="11">
        <v>384.74000000780495</v>
      </c>
      <c r="AK24" s="171">
        <v>385.22800000669019</v>
      </c>
      <c r="AL24" s="11">
        <v>385.7330000034936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3">
      <c r="L25" s="82" t="str">
        <f>'Ind T4'!A27</f>
        <v>Information technology</v>
      </c>
      <c r="M25" s="11">
        <v>842.31499999829157</v>
      </c>
      <c r="N25" s="11">
        <v>876.98899999799994</v>
      </c>
      <c r="O25" s="11">
        <v>849.51099999525388</v>
      </c>
      <c r="P25" s="11">
        <v>928.94199999523198</v>
      </c>
      <c r="Q25" s="11">
        <v>979.50999999897272</v>
      </c>
      <c r="R25" s="11">
        <v>1025.1799999874218</v>
      </c>
      <c r="S25" s="11">
        <v>1069.1919999912018</v>
      </c>
      <c r="T25" s="11">
        <v>1124.0609999935587</v>
      </c>
      <c r="U25" s="11">
        <v>1114.3579999895367</v>
      </c>
      <c r="V25" s="11">
        <v>1117.2739999872433</v>
      </c>
      <c r="W25" s="11">
        <v>1114.4829999960457</v>
      </c>
      <c r="X25" s="11">
        <v>1140.34499999318</v>
      </c>
      <c r="Y25" s="11">
        <v>1149.9450000009854</v>
      </c>
      <c r="Z25" s="11">
        <v>1170.0029999976291</v>
      </c>
      <c r="AA25" s="11">
        <v>1185.5990000037182</v>
      </c>
      <c r="AB25" s="11">
        <v>1198.4030000068365</v>
      </c>
      <c r="AC25" s="11">
        <v>1210.2650000038095</v>
      </c>
      <c r="AD25" s="11">
        <v>1220.5110000067932</v>
      </c>
      <c r="AE25" s="11">
        <v>1230.1850000050742</v>
      </c>
      <c r="AF25" s="11">
        <v>1239.7790000082205</v>
      </c>
      <c r="AG25" s="11">
        <v>1249.8970000084532</v>
      </c>
      <c r="AH25" s="11">
        <v>1259.8100000088439</v>
      </c>
      <c r="AI25" s="11">
        <v>1269.4840000110921</v>
      </c>
      <c r="AJ25" s="11">
        <v>1278.7360000075557</v>
      </c>
      <c r="AK25" s="171">
        <v>1287.4550000074528</v>
      </c>
      <c r="AL25" s="11">
        <v>1295.6719999975307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3">
      <c r="L26" s="82" t="str">
        <f>'Ind T4'!A28</f>
        <v>Finance and insurance</v>
      </c>
      <c r="M26" s="11">
        <v>1124.0509999950896</v>
      </c>
      <c r="N26" s="11">
        <v>1132.0079999988266</v>
      </c>
      <c r="O26" s="11">
        <v>1144.9949999928192</v>
      </c>
      <c r="P26" s="11">
        <v>1113.9179999935943</v>
      </c>
      <c r="Q26" s="11">
        <v>1133.0169999983091</v>
      </c>
      <c r="R26" s="11">
        <v>1112.9259999897026</v>
      </c>
      <c r="S26" s="11">
        <v>1119.9879999915479</v>
      </c>
      <c r="T26" s="11">
        <v>1119.0489999974832</v>
      </c>
      <c r="U26" s="11">
        <v>1110.9379999921136</v>
      </c>
      <c r="V26" s="11">
        <v>1134.9019999887487</v>
      </c>
      <c r="W26" s="11">
        <v>1150.001999996904</v>
      </c>
      <c r="X26" s="11">
        <v>1170.8819999938585</v>
      </c>
      <c r="Y26" s="11">
        <v>1168.3530000060243</v>
      </c>
      <c r="Z26" s="11">
        <v>1165.1490000034589</v>
      </c>
      <c r="AA26" s="11">
        <v>1159.9080000074139</v>
      </c>
      <c r="AB26" s="11">
        <v>1156.948000015336</v>
      </c>
      <c r="AC26" s="11">
        <v>1155.3050000136216</v>
      </c>
      <c r="AD26" s="11">
        <v>1153.5270000169542</v>
      </c>
      <c r="AE26" s="11">
        <v>1151.6560000152183</v>
      </c>
      <c r="AF26" s="11">
        <v>1149.7210000194596</v>
      </c>
      <c r="AG26" s="11">
        <v>1148.0580000188343</v>
      </c>
      <c r="AH26" s="11">
        <v>1145.638000017372</v>
      </c>
      <c r="AI26" s="11">
        <v>1143.2460000202682</v>
      </c>
      <c r="AJ26" s="11">
        <v>1140.8700000186641</v>
      </c>
      <c r="AK26" s="171">
        <v>1138.4650000184356</v>
      </c>
      <c r="AL26" s="11">
        <v>1136.1170000037719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3">
      <c r="L27" s="82" t="str">
        <f>'Ind T4'!A29</f>
        <v>Real estate</v>
      </c>
      <c r="M27" s="11">
        <v>485.04199999871031</v>
      </c>
      <c r="N27" s="11">
        <v>466.98599999857066</v>
      </c>
      <c r="O27" s="11">
        <v>494.0089999977555</v>
      </c>
      <c r="P27" s="11">
        <v>538.96599999752266</v>
      </c>
      <c r="Q27" s="11">
        <v>549.01699999907441</v>
      </c>
      <c r="R27" s="11">
        <v>567.9639999983068</v>
      </c>
      <c r="S27" s="11">
        <v>579.00399999752801</v>
      </c>
      <c r="T27" s="11">
        <v>554.03499999985763</v>
      </c>
      <c r="U27" s="11">
        <v>564.95499999937556</v>
      </c>
      <c r="V27" s="11">
        <v>589.93499999883011</v>
      </c>
      <c r="W27" s="11">
        <v>642.99899999800766</v>
      </c>
      <c r="X27" s="11">
        <v>633.13399999734077</v>
      </c>
      <c r="Y27" s="11">
        <v>622.77300000172147</v>
      </c>
      <c r="Z27" s="11">
        <v>617.175000001434</v>
      </c>
      <c r="AA27" s="11">
        <v>616.18400000189308</v>
      </c>
      <c r="AB27" s="11">
        <v>618.73400000524055</v>
      </c>
      <c r="AC27" s="11">
        <v>622.89000000422516</v>
      </c>
      <c r="AD27" s="11">
        <v>627.8190000060066</v>
      </c>
      <c r="AE27" s="11">
        <v>633.15600000511893</v>
      </c>
      <c r="AF27" s="11">
        <v>638.69200000656554</v>
      </c>
      <c r="AG27" s="11">
        <v>644.29000000667122</v>
      </c>
      <c r="AH27" s="11">
        <v>649.94700000618138</v>
      </c>
      <c r="AI27" s="11">
        <v>655.61100000738656</v>
      </c>
      <c r="AJ27" s="11">
        <v>661.23100000724321</v>
      </c>
      <c r="AK27" s="171">
        <v>666.77100000687517</v>
      </c>
      <c r="AL27" s="11">
        <v>672.2139999999257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3">
      <c r="L28" s="82" t="str">
        <f>'Ind T4'!A30</f>
        <v>Professional services</v>
      </c>
      <c r="M28" s="11">
        <v>2417.3529999969037</v>
      </c>
      <c r="N28" s="11">
        <v>2426.8359999963818</v>
      </c>
      <c r="O28" s="11">
        <v>2529.1669999815003</v>
      </c>
      <c r="P28" s="11">
        <v>2627.8439999847283</v>
      </c>
      <c r="Q28" s="11">
        <v>2822.1089999949268</v>
      </c>
      <c r="R28" s="11">
        <v>2905.8439999622501</v>
      </c>
      <c r="S28" s="11">
        <v>3021.0269999720244</v>
      </c>
      <c r="T28" s="11">
        <v>2986.1979999777527</v>
      </c>
      <c r="U28" s="11">
        <v>3027.7049999661394</v>
      </c>
      <c r="V28" s="11">
        <v>3211.5779999596048</v>
      </c>
      <c r="W28" s="11">
        <v>3151.9959999898483</v>
      </c>
      <c r="X28" s="11">
        <v>3214.4729999815513</v>
      </c>
      <c r="Y28" s="11">
        <v>3236.110000009945</v>
      </c>
      <c r="Z28" s="11">
        <v>3262.6900000025066</v>
      </c>
      <c r="AA28" s="11">
        <v>3290.5190000197822</v>
      </c>
      <c r="AB28" s="11">
        <v>3312.1770000340834</v>
      </c>
      <c r="AC28" s="11">
        <v>3332.0400000314321</v>
      </c>
      <c r="AD28" s="11">
        <v>3352.749000041526</v>
      </c>
      <c r="AE28" s="11">
        <v>3374.1700000441874</v>
      </c>
      <c r="AF28" s="11">
        <v>3396.43800005311</v>
      </c>
      <c r="AG28" s="11">
        <v>3419.5010000550792</v>
      </c>
      <c r="AH28" s="11">
        <v>3441.9460000491308</v>
      </c>
      <c r="AI28" s="11">
        <v>3464.4720000553884</v>
      </c>
      <c r="AJ28" s="11">
        <v>3487.0090000515097</v>
      </c>
      <c r="AK28" s="171">
        <v>3509.5510000502095</v>
      </c>
      <c r="AL28" s="11">
        <v>3532.0960000137479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3">
      <c r="L29" s="82" t="str">
        <f>'Ind T4'!A31</f>
        <v>Support services</v>
      </c>
      <c r="M29" s="11">
        <v>2423.1969999969592</v>
      </c>
      <c r="N29" s="11">
        <v>2436.9559999981684</v>
      </c>
      <c r="O29" s="11">
        <v>2614.0640000074454</v>
      </c>
      <c r="P29" s="11">
        <v>2587.8290000006627</v>
      </c>
      <c r="Q29" s="11">
        <v>2808.0780000028553</v>
      </c>
      <c r="R29" s="11">
        <v>2845.8150000202299</v>
      </c>
      <c r="S29" s="11">
        <v>2948.9870000074102</v>
      </c>
      <c r="T29" s="11">
        <v>2974.167000012586</v>
      </c>
      <c r="U29" s="11">
        <v>2997.7610000181703</v>
      </c>
      <c r="V29" s="11">
        <v>3011.6740000154059</v>
      </c>
      <c r="W29" s="11">
        <v>2837.0159999997272</v>
      </c>
      <c r="X29" s="11">
        <v>2879.5169999983882</v>
      </c>
      <c r="Y29" s="11">
        <v>2932.0430000113856</v>
      </c>
      <c r="Z29" s="11">
        <v>2961.617000015367</v>
      </c>
      <c r="AA29" s="11">
        <v>2985.6380000087888</v>
      </c>
      <c r="AB29" s="11">
        <v>3004.622000018921</v>
      </c>
      <c r="AC29" s="11">
        <v>3025.9550000165291</v>
      </c>
      <c r="AD29" s="11">
        <v>3046.9750000212475</v>
      </c>
      <c r="AE29" s="11">
        <v>3067.8210000196714</v>
      </c>
      <c r="AF29" s="11">
        <v>3088.6720000196292</v>
      </c>
      <c r="AG29" s="11">
        <v>3110.1260000213451</v>
      </c>
      <c r="AH29" s="11">
        <v>3130.8390000183799</v>
      </c>
      <c r="AI29" s="11">
        <v>3151.5680000212174</v>
      </c>
      <c r="AJ29" s="11">
        <v>3172.3310000236625</v>
      </c>
      <c r="AK29" s="171">
        <v>3193.120000020313</v>
      </c>
      <c r="AL29" s="11">
        <v>3213.9980000022347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3">
      <c r="L30" s="82" t="str">
        <f>'Ind T4'!A32</f>
        <v>Arts and entertainment</v>
      </c>
      <c r="M30" s="11">
        <v>859.14399999906607</v>
      </c>
      <c r="N30" s="11">
        <v>877.92699999954311</v>
      </c>
      <c r="O30" s="11">
        <v>901.08499999996229</v>
      </c>
      <c r="P30" s="11">
        <v>912.94499999823495</v>
      </c>
      <c r="Q30" s="11">
        <v>941.0500000019706</v>
      </c>
      <c r="R30" s="11">
        <v>981.94500000564778</v>
      </c>
      <c r="S30" s="11">
        <v>967.02200000060759</v>
      </c>
      <c r="T30" s="11">
        <v>992.0830000000625</v>
      </c>
      <c r="U30" s="11">
        <v>1008.8650000025332</v>
      </c>
      <c r="V30" s="11">
        <v>1028.8340000018818</v>
      </c>
      <c r="W30" s="11">
        <v>999.99600000192049</v>
      </c>
      <c r="X30" s="11">
        <v>1009.8289999995932</v>
      </c>
      <c r="Y30" s="11">
        <v>1001.4050000103338</v>
      </c>
      <c r="Z30" s="11">
        <v>1008.8800000112932</v>
      </c>
      <c r="AA30" s="11">
        <v>1023.179000012962</v>
      </c>
      <c r="AB30" s="11">
        <v>1030.7410000150874</v>
      </c>
      <c r="AC30" s="11">
        <v>1040.3640000144783</v>
      </c>
      <c r="AD30" s="11">
        <v>1049.5220000214406</v>
      </c>
      <c r="AE30" s="11">
        <v>1057.552000024695</v>
      </c>
      <c r="AF30" s="11">
        <v>1065.0410000235788</v>
      </c>
      <c r="AG30" s="11">
        <v>1073.3000000248296</v>
      </c>
      <c r="AH30" s="11">
        <v>1082.1370000223144</v>
      </c>
      <c r="AI30" s="11">
        <v>1091.3210000251722</v>
      </c>
      <c r="AJ30" s="11">
        <v>1100.5340000253545</v>
      </c>
      <c r="AK30" s="171">
        <v>1109.681000019644</v>
      </c>
      <c r="AL30" s="11">
        <v>1118.7630000101731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3">
      <c r="L31" s="82" t="str">
        <f>'Ind T4'!A33</f>
        <v>Other services</v>
      </c>
      <c r="M31" s="11">
        <v>900.19099999511013</v>
      </c>
      <c r="N31" s="11">
        <v>905.88499999743328</v>
      </c>
      <c r="O31" s="11">
        <v>883.10299999708002</v>
      </c>
      <c r="P31" s="11">
        <v>901.95899999512847</v>
      </c>
      <c r="Q31" s="11">
        <v>986.07799999800977</v>
      </c>
      <c r="R31" s="11">
        <v>961.96000000324341</v>
      </c>
      <c r="S31" s="11">
        <v>990.04599999748666</v>
      </c>
      <c r="T31" s="11">
        <v>966.09099999725072</v>
      </c>
      <c r="U31" s="11">
        <v>989.83300000338841</v>
      </c>
      <c r="V31" s="11">
        <v>1004.7960000032627</v>
      </c>
      <c r="W31" s="11">
        <v>999.99799999674599</v>
      </c>
      <c r="X31" s="11">
        <v>990.09399999541915</v>
      </c>
      <c r="Y31" s="11">
        <v>983.30300000560544</v>
      </c>
      <c r="Z31" s="11">
        <v>984.89600000577673</v>
      </c>
      <c r="AA31" s="11">
        <v>987.27900000650345</v>
      </c>
      <c r="AB31" s="11">
        <v>986.72500000890125</v>
      </c>
      <c r="AC31" s="11">
        <v>985.69100000720539</v>
      </c>
      <c r="AD31" s="11">
        <v>984.81700001716615</v>
      </c>
      <c r="AE31" s="11">
        <v>984.28500001765042</v>
      </c>
      <c r="AF31" s="11">
        <v>984.17500001785015</v>
      </c>
      <c r="AG31" s="11">
        <v>984.73100001836428</v>
      </c>
      <c r="AH31" s="11">
        <v>985.67700001724324</v>
      </c>
      <c r="AI31" s="11">
        <v>986.92900001874739</v>
      </c>
      <c r="AJ31" s="11">
        <v>988.40600001936343</v>
      </c>
      <c r="AK31" s="171">
        <v>990.12700001164831</v>
      </c>
      <c r="AL31" s="11">
        <v>992.16000000444592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3">
      <c r="L32" s="13"/>
      <c r="AK32" s="171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3">
      <c r="L33" s="1" t="str">
        <f>'Ind T4'!A35</f>
        <v>Non-marketed services</v>
      </c>
      <c r="M33" s="86">
        <f>SUM(M34:M36)</f>
        <v>8221.4120000809235</v>
      </c>
      <c r="N33" s="86">
        <f t="shared" ref="N33:P33" si="35">SUM(N34:N36)</f>
        <v>8169.9960000762512</v>
      </c>
      <c r="O33" s="86">
        <f t="shared" si="35"/>
        <v>8136.9830000768525</v>
      </c>
      <c r="P33" s="86">
        <f t="shared" si="35"/>
        <v>8285.4360001121713</v>
      </c>
      <c r="Q33" s="86">
        <f>SUM(Q34:Q36)</f>
        <v>8455.1489999700716</v>
      </c>
      <c r="R33" s="86">
        <f t="shared" ref="R33" si="36">SUM(R34:R36)</f>
        <v>8512.4629999130666</v>
      </c>
      <c r="S33" s="86">
        <f t="shared" ref="S33" si="37">SUM(S34:S36)</f>
        <v>8563.87899999197</v>
      </c>
      <c r="T33" s="86">
        <f t="shared" ref="T33" si="38">SUM(T34:T36)</f>
        <v>8609.4049998841092</v>
      </c>
      <c r="U33" s="86">
        <f t="shared" ref="U33" si="39">SUM(U34:U36)</f>
        <v>8606.4359998752298</v>
      </c>
      <c r="V33" s="86">
        <f t="shared" ref="V33" si="40">SUM(V34:V36)</f>
        <v>8714.177999940568</v>
      </c>
      <c r="W33" s="86">
        <f t="shared" ref="W33" si="41">SUM(W34:W36)</f>
        <v>8780.9900000097841</v>
      </c>
      <c r="X33" s="86">
        <f t="shared" ref="X33" si="42">SUM(X34:X36)</f>
        <v>8864.4980001526274</v>
      </c>
      <c r="Y33" s="86">
        <f t="shared" ref="Y33" si="43">SUM(Y34:Y36)</f>
        <v>8939.5149998830348</v>
      </c>
      <c r="Z33" s="86">
        <f t="shared" ref="Z33" si="44">SUM(Z34:Z36)</f>
        <v>9006.4329998494577</v>
      </c>
      <c r="AA33" s="86">
        <f t="shared" ref="AA33" si="45">SUM(AA34:AA36)</f>
        <v>9087.0839998923766</v>
      </c>
      <c r="AB33" s="86">
        <f t="shared" ref="AB33" si="46">SUM(AB34:AB36)</f>
        <v>9151.5599997551762</v>
      </c>
      <c r="AC33" s="86">
        <f t="shared" ref="AC33" si="47">SUM(AC34:AC36)</f>
        <v>9200.0379997930941</v>
      </c>
      <c r="AD33" s="86">
        <f t="shared" ref="AD33" si="48">SUM(AD34:AD36)</f>
        <v>9246.1849997559912</v>
      </c>
      <c r="AE33" s="86">
        <f t="shared" ref="AE33" si="49">SUM(AE34:AE36)</f>
        <v>9291.9219997794753</v>
      </c>
      <c r="AF33" s="86">
        <f t="shared" ref="AF33" si="50">SUM(AF34:AF36)</f>
        <v>9338.1429997487085</v>
      </c>
      <c r="AG33" s="86">
        <f t="shared" ref="AG33:AL33" si="51">SUM(AG34:AG36)</f>
        <v>9386.7509997558227</v>
      </c>
      <c r="AH33" s="86">
        <f t="shared" si="51"/>
        <v>9435.035999754924</v>
      </c>
      <c r="AI33" s="86">
        <f t="shared" si="51"/>
        <v>9483.2499997316809</v>
      </c>
      <c r="AJ33" s="86">
        <f t="shared" si="51"/>
        <v>9531.7089997059447</v>
      </c>
      <c r="AK33" s="86">
        <f t="shared" si="51"/>
        <v>9580.5829997255496</v>
      </c>
      <c r="AL33" s="86">
        <f t="shared" si="51"/>
        <v>9629.9070000282736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3">
      <c r="L34" s="82" t="str">
        <f>'Ind T4'!A36</f>
        <v>Public admin. and defence</v>
      </c>
      <c r="M34" s="11">
        <v>1541.0250000019494</v>
      </c>
      <c r="N34" s="11">
        <v>1442.0379999978088</v>
      </c>
      <c r="O34" s="11">
        <v>1389.9659999955409</v>
      </c>
      <c r="P34" s="11">
        <v>1380.898999998715</v>
      </c>
      <c r="Q34" s="11">
        <v>1375.0059999940336</v>
      </c>
      <c r="R34" s="11">
        <v>1330.9139999902939</v>
      </c>
      <c r="S34" s="11">
        <v>1319.9669999941514</v>
      </c>
      <c r="T34" s="11">
        <v>1327.0549999939658</v>
      </c>
      <c r="U34" s="11">
        <v>1337.9339999926199</v>
      </c>
      <c r="V34" s="11">
        <v>1358.8989999937271</v>
      </c>
      <c r="W34" s="11">
        <v>1402.9949999971047</v>
      </c>
      <c r="X34" s="11">
        <v>1402.6219999982404</v>
      </c>
      <c r="Y34" s="11">
        <v>1410.9419999989534</v>
      </c>
      <c r="Z34" s="11">
        <v>1415.833999997034</v>
      </c>
      <c r="AA34" s="11">
        <v>1421.7840000006411</v>
      </c>
      <c r="AB34" s="11">
        <v>1426.146000000607</v>
      </c>
      <c r="AC34" s="11">
        <v>1428.8150000006842</v>
      </c>
      <c r="AD34" s="11">
        <v>1431.448000002956</v>
      </c>
      <c r="AE34" s="11">
        <v>1434.0500000030181</v>
      </c>
      <c r="AF34" s="11">
        <v>1436.6230000043518</v>
      </c>
      <c r="AG34" s="11">
        <v>1439.2130000052568</v>
      </c>
      <c r="AH34" s="11">
        <v>1441.6770000040979</v>
      </c>
      <c r="AI34" s="11">
        <v>1444.1200000037811</v>
      </c>
      <c r="AJ34" s="11">
        <v>1446.5250000026347</v>
      </c>
      <c r="AK34" s="171">
        <v>1448.8960000030972</v>
      </c>
      <c r="AL34" s="11">
        <v>1451.2490000022112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3">
      <c r="L35" s="82" t="str">
        <f>'Ind T4'!A37</f>
        <v>Education</v>
      </c>
      <c r="M35" s="11">
        <v>2758.166000040696</v>
      </c>
      <c r="N35" s="11">
        <v>2742.9760000517376</v>
      </c>
      <c r="O35" s="11">
        <v>2765.017000050038</v>
      </c>
      <c r="P35" s="11">
        <v>2813.8150000699466</v>
      </c>
      <c r="Q35" s="11">
        <v>2889.0589999941963</v>
      </c>
      <c r="R35" s="11">
        <v>2955.812999982074</v>
      </c>
      <c r="S35" s="11">
        <v>2963.9740000056377</v>
      </c>
      <c r="T35" s="11">
        <v>2928.1409999184289</v>
      </c>
      <c r="U35" s="11">
        <v>2942.7869999387553</v>
      </c>
      <c r="V35" s="11">
        <v>2945.7029999933557</v>
      </c>
      <c r="W35" s="11">
        <v>2955.9990000195403</v>
      </c>
      <c r="X35" s="11">
        <v>2958.5470001141657</v>
      </c>
      <c r="Y35" s="11">
        <v>2963.568999914783</v>
      </c>
      <c r="Z35" s="11">
        <v>2972.3199998969744</v>
      </c>
      <c r="AA35" s="11">
        <v>2983.7939999263258</v>
      </c>
      <c r="AB35" s="11">
        <v>2996.5779997995442</v>
      </c>
      <c r="AC35" s="11">
        <v>3004.1619998274646</v>
      </c>
      <c r="AD35" s="11">
        <v>3012.0409998324517</v>
      </c>
      <c r="AE35" s="11">
        <v>3020.3719998599836</v>
      </c>
      <c r="AF35" s="11">
        <v>3029.4819998363314</v>
      </c>
      <c r="AG35" s="11">
        <v>3041.1779998357988</v>
      </c>
      <c r="AH35" s="11">
        <v>3052.9189998488332</v>
      </c>
      <c r="AI35" s="11">
        <v>3064.7139998298476</v>
      </c>
      <c r="AJ35" s="11">
        <v>3076.540999818495</v>
      </c>
      <c r="AK35" s="171">
        <v>3088.4209998072351</v>
      </c>
      <c r="AL35" s="11">
        <v>3100.350000033804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3">
      <c r="L36" s="82" t="str">
        <f>'Ind T4'!A38</f>
        <v>Health and social work</v>
      </c>
      <c r="M36" s="11">
        <v>3922.2210000382793</v>
      </c>
      <c r="N36" s="11">
        <v>3984.982000026705</v>
      </c>
      <c r="O36" s="11">
        <v>3982.0000000312739</v>
      </c>
      <c r="P36" s="11">
        <v>4090.7220000435095</v>
      </c>
      <c r="Q36" s="11">
        <v>4191.0839999818409</v>
      </c>
      <c r="R36" s="11">
        <v>4225.7359999406981</v>
      </c>
      <c r="S36" s="11">
        <v>4279.9379999921812</v>
      </c>
      <c r="T36" s="11">
        <v>4354.2089999717145</v>
      </c>
      <c r="U36" s="11">
        <v>4325.7149999438543</v>
      </c>
      <c r="V36" s="11">
        <v>4409.5759999534857</v>
      </c>
      <c r="W36" s="11">
        <v>4421.9959999931389</v>
      </c>
      <c r="X36" s="11">
        <v>4503.3290000402221</v>
      </c>
      <c r="Y36" s="11">
        <v>4565.0039999692981</v>
      </c>
      <c r="Z36" s="11">
        <v>4618.2789999554489</v>
      </c>
      <c r="AA36" s="11">
        <v>4681.5059999654086</v>
      </c>
      <c r="AB36" s="11">
        <v>4728.8359999550248</v>
      </c>
      <c r="AC36" s="11">
        <v>4767.0609999649441</v>
      </c>
      <c r="AD36" s="11">
        <v>4802.6959999205828</v>
      </c>
      <c r="AE36" s="11">
        <v>4837.4999999164747</v>
      </c>
      <c r="AF36" s="11">
        <v>4872.0379999080251</v>
      </c>
      <c r="AG36" s="11">
        <v>4906.3599999147673</v>
      </c>
      <c r="AH36" s="11">
        <v>4940.4399999019934</v>
      </c>
      <c r="AI36" s="11">
        <v>4974.4159998980522</v>
      </c>
      <c r="AJ36" s="11">
        <v>5008.6429998848153</v>
      </c>
      <c r="AK36" s="171">
        <v>5043.2659999152183</v>
      </c>
      <c r="AL36" s="11">
        <v>5078.3079999922593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3">
      <c r="L37" s="44"/>
      <c r="AH37" s="11"/>
      <c r="AI37" s="11"/>
      <c r="AJ37" s="11"/>
      <c r="AK37" s="171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3">
      <c r="L38" s="1" t="str">
        <f>'Ind T4'!A40</f>
        <v>All industries</v>
      </c>
      <c r="M38" s="86">
        <f>SUM(M5,M11,M16,M18,M23,M33)</f>
        <v>31261.016999999862</v>
      </c>
      <c r="N38" s="86">
        <f t="shared" ref="N38:P38" si="52">SUM(N5,N11,N16,N18,N23,N33)</f>
        <v>31294.025000000111</v>
      </c>
      <c r="O38" s="86">
        <f t="shared" si="52"/>
        <v>31800.967999999772</v>
      </c>
      <c r="P38" s="86">
        <f t="shared" si="52"/>
        <v>31971.959999999559</v>
      </c>
      <c r="Q38" s="86">
        <f>SUM(Q5,Q11,Q16,Q18,Q23,Q33)</f>
        <v>33191.983999999946</v>
      </c>
      <c r="R38" s="86">
        <f t="shared" ref="R38:AL38" si="53">SUM(R5,R11,R16,R18,R23,R33)</f>
        <v>33655.985000000052</v>
      </c>
      <c r="S38" s="86">
        <f t="shared" si="53"/>
        <v>34343.950999999579</v>
      </c>
      <c r="T38" s="86">
        <f t="shared" si="53"/>
        <v>34654.003000000106</v>
      </c>
      <c r="U38" s="86">
        <f t="shared" si="53"/>
        <v>34795.007999999914</v>
      </c>
      <c r="V38" s="86">
        <f t="shared" si="53"/>
        <v>35365.004000000197</v>
      </c>
      <c r="W38" s="86">
        <f t="shared" si="53"/>
        <v>34974.967999999826</v>
      </c>
      <c r="X38" s="86">
        <f t="shared" si="53"/>
        <v>35139.638000000195</v>
      </c>
      <c r="Y38" s="86">
        <f t="shared" si="53"/>
        <v>35320.323999999964</v>
      </c>
      <c r="Z38" s="86">
        <f t="shared" si="53"/>
        <v>35563.954999999856</v>
      </c>
      <c r="AA38" s="86">
        <f t="shared" si="53"/>
        <v>35833.231000000029</v>
      </c>
      <c r="AB38" s="86">
        <f t="shared" si="53"/>
        <v>36022.323999999819</v>
      </c>
      <c r="AC38" s="86">
        <f t="shared" si="53"/>
        <v>36184.380000000448</v>
      </c>
      <c r="AD38" s="86">
        <f>SUM(AD5,AD11,AD16,AD18,AD23,AD33)</f>
        <v>36331.805000000342</v>
      </c>
      <c r="AE38" s="86">
        <f t="shared" si="53"/>
        <v>36478.374999999694</v>
      </c>
      <c r="AF38" s="86">
        <f t="shared" si="53"/>
        <v>36624.071999999862</v>
      </c>
      <c r="AG38" s="86">
        <f t="shared" si="53"/>
        <v>36782.546000000002</v>
      </c>
      <c r="AH38" s="86">
        <f t="shared" si="53"/>
        <v>36937.96800000027</v>
      </c>
      <c r="AI38" s="86">
        <f t="shared" si="53"/>
        <v>37094.087999999756</v>
      </c>
      <c r="AJ38" s="86">
        <f t="shared" si="53"/>
        <v>37252.260999999839</v>
      </c>
      <c r="AK38" s="86">
        <f t="shared" si="53"/>
        <v>37409.748999999902</v>
      </c>
      <c r="AL38" s="86">
        <f t="shared" si="53"/>
        <v>37567.872000000105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3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3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3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3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3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3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3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3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45" x14ac:dyDescent="0.4">
      <c r="A47" s="79" t="str">
        <f>CONCATENATE("Industry Figure 2.1  Change in Employment in ",$L$5,", ",$M$2,"-",$O$2,", ",Info!B5)</f>
        <v>Industry Figure 2.1  Change in Employment in Primary sector and utilities, 2010-2035, United Kingdom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3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3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3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3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3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3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3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3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3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3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3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3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3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3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3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3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3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3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3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3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3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3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3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3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3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3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3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3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3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45" x14ac:dyDescent="0.4">
      <c r="A77" s="79" t="str">
        <f>CONCATENATE("Industry Figure 2.2  Change in Employment in ",$L$11,", ",$M$2,"-",$O$2,", ",Info!B5)</f>
        <v>Industry Figure 2.2  Change in Employment in Manufacturing, 2010-2035, United Kingdom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3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3">
      <c r="AL79" s="11"/>
    </row>
    <row r="107" spans="1:1" ht="15.45" x14ac:dyDescent="0.4">
      <c r="A107" s="79" t="str">
        <f>CONCATENATE("Industry Figure 2.3  Change in Employment in ",$L$16,", ",$M$2,"-",$O$2,", ",Info!B5)</f>
        <v>Industry Figure 2.3  Change in Employment in Construction, 2010-2035, United Kingdom</v>
      </c>
    </row>
    <row r="137" spans="1:1" ht="15.45" x14ac:dyDescent="0.4">
      <c r="A137" s="79" t="str">
        <f>CONCATENATE("Industry Figure 2.4  Change in Employment in ",$L$18,", ",$M$2,"-",$O$2,", ",Info!B5)</f>
        <v>Industry Figure 2.4  Change in Employment in Trade, accomod. and transport, 2010-2035, United Kingdom</v>
      </c>
    </row>
    <row r="167" spans="1:1" ht="15.45" x14ac:dyDescent="0.4">
      <c r="A167" s="79" t="str">
        <f>CONCATENATE("Industry Figure 2.5  Change in Employment in ",$L$23,", ",$M$2,"- ",$O$2,", ",Info!B5)</f>
        <v>Industry Figure 2.5  Change in Employment in Business and other services, 2010- 2035, United Kingdom</v>
      </c>
    </row>
    <row r="197" spans="1:1" ht="15.45" x14ac:dyDescent="0.4">
      <c r="A197" s="79" t="str">
        <f>CONCATENATE("Industry Figure 2.6  Change in Employment in ",$L$33,", ",$M$2,"-",$O$2,", ",Info!B5)</f>
        <v>Industry Figure 2.6  Change in Employment in Non-marketed services, 2010-2035, United Kingdom</v>
      </c>
    </row>
    <row r="227" spans="1:15" ht="15.45" x14ac:dyDescent="0.4">
      <c r="A227" s="79" t="str">
        <f>CONCATENATE("Industry Figure 2.7  Employment trends by broad sector (SIC 2007), shares in %, ",$M$230,"-",$O$230,", ",Info!B5)</f>
        <v>Industry Figure 2.7  Employment trends by broad sector (SIC 2007), shares in %, 2015-2035, United Kingdom</v>
      </c>
      <c r="L227" s="45" t="s">
        <v>440</v>
      </c>
    </row>
    <row r="228" spans="1:15" ht="12.9" x14ac:dyDescent="0.35">
      <c r="L228" s="29" t="s">
        <v>421</v>
      </c>
    </row>
    <row r="230" spans="1:15" x14ac:dyDescent="0.3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3">
      <c r="L231" t="str">
        <f>L33</f>
        <v>Non-marketed services</v>
      </c>
      <c r="M231" s="39">
        <f>'Ind T1'!B25</f>
        <v>25.292568320056763</v>
      </c>
      <c r="N231" s="39">
        <f>'Ind T1'!D25</f>
        <v>25.106499025273809</v>
      </c>
      <c r="O231" s="39">
        <f>'Ind T1'!F25</f>
        <v>25.633357673355167</v>
      </c>
    </row>
    <row r="232" spans="1:15" x14ac:dyDescent="0.3">
      <c r="L232" t="str">
        <f>L23</f>
        <v>Business and other services</v>
      </c>
      <c r="M232" s="39">
        <f>'Ind T1'!B24</f>
        <v>31.9894633895473</v>
      </c>
      <c r="N232" s="39">
        <f>'Ind T1'!D24</f>
        <v>32.234519842820283</v>
      </c>
      <c r="O232" s="39">
        <f>'Ind T1'!F24</f>
        <v>32.86519129972357</v>
      </c>
    </row>
    <row r="233" spans="1:15" x14ac:dyDescent="0.3">
      <c r="L233" t="str">
        <f>L18</f>
        <v>Trade, accomod. and transport</v>
      </c>
      <c r="M233" s="39">
        <f>'Ind T1'!B23</f>
        <v>26.216588223878979</v>
      </c>
      <c r="N233" s="39">
        <f>'Ind T1'!D23</f>
        <v>26.258754547113405</v>
      </c>
      <c r="O233" s="39">
        <f>'Ind T1'!F23</f>
        <v>26.242897122280556</v>
      </c>
    </row>
    <row r="234" spans="1:15" x14ac:dyDescent="0.3">
      <c r="L234" t="str">
        <f>L16</f>
        <v>Construction</v>
      </c>
      <c r="M234" s="39">
        <f>'Ind T1'!B22</f>
        <v>6.3047033090240303</v>
      </c>
      <c r="N234" s="39">
        <f>'Ind T1'!D22</f>
        <v>6.6304478104679179</v>
      </c>
      <c r="O234" s="39">
        <f>'Ind T1'!F22</f>
        <v>6.8756968719071168</v>
      </c>
    </row>
    <row r="235" spans="1:15" x14ac:dyDescent="0.3">
      <c r="L235" t="str">
        <f>L11</f>
        <v>Manufacturing</v>
      </c>
      <c r="M235" s="39">
        <f>'Ind T1'!B21</f>
        <v>7.8376223426524572</v>
      </c>
      <c r="N235" s="39">
        <f>'Ind T1'!D21</f>
        <v>7.5110633410581604</v>
      </c>
      <c r="O235" s="39">
        <f>'Ind T1'!F21</f>
        <v>6.2318382047365715</v>
      </c>
    </row>
    <row r="236" spans="1:15" x14ac:dyDescent="0.3">
      <c r="L236" t="str">
        <f>L5</f>
        <v>Primary sector and utilities</v>
      </c>
      <c r="M236" s="39">
        <f>'Ind T1'!B20</f>
        <v>2.3590544148404846</v>
      </c>
      <c r="N236" s="39">
        <f>'Ind T1'!D20</f>
        <v>2.2587154332664237</v>
      </c>
      <c r="O236" s="39">
        <f>'Ind T1'!F20</f>
        <v>2.1510188279970048</v>
      </c>
    </row>
    <row r="257" spans="1:16" ht="15.45" x14ac:dyDescent="0.4">
      <c r="A257" s="79" t="str">
        <f>CONCATENATE("Industry Figure 2.8  Employment trends by broad sector (SIC 2007), change in thousands, ",$M$230,"-",$O$230,", ",Info!B5)</f>
        <v>Industry Figure 2.8  Employment trends by broad sector (SIC 2007), change in thousands, 2015-2035, United Kingdom</v>
      </c>
      <c r="L257" s="45" t="s">
        <v>441</v>
      </c>
    </row>
    <row r="258" spans="1:16" ht="12.9" x14ac:dyDescent="0.35">
      <c r="L258" s="29" t="s">
        <v>420</v>
      </c>
      <c r="M258" s="10"/>
      <c r="N258" s="10"/>
      <c r="O258" s="10"/>
    </row>
    <row r="259" spans="1:16" x14ac:dyDescent="0.3">
      <c r="P259" s="10"/>
    </row>
    <row r="260" spans="1:16" x14ac:dyDescent="0.3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3">
      <c r="L261" t="str">
        <f t="shared" ref="L261:L266" si="54">L231</f>
        <v>Non-marketed services</v>
      </c>
      <c r="N261" s="11">
        <f>'Ind T1'!D12-'Ind T1'!B12</f>
        <v>268.52700009671753</v>
      </c>
      <c r="O261" s="11">
        <f>'Ind T1'!F50</f>
        <v>848.91700001848949</v>
      </c>
      <c r="P261" s="11"/>
    </row>
    <row r="262" spans="1:16" x14ac:dyDescent="0.3">
      <c r="L262" t="str">
        <f t="shared" si="54"/>
        <v>Business and other services</v>
      </c>
      <c r="N262" s="11">
        <f>'Ind T1'!D11-'Ind T1'!B11</f>
        <v>507.64400001344075</v>
      </c>
      <c r="O262" s="11">
        <f>'Ind T1'!F49</f>
        <v>1072.7400000553371</v>
      </c>
      <c r="P262" s="11"/>
    </row>
    <row r="263" spans="1:16" x14ac:dyDescent="0.3">
      <c r="L263" t="str">
        <f t="shared" si="54"/>
        <v>Trade, accomod. and transport</v>
      </c>
      <c r="N263" s="11">
        <f>'Ind T1'!D10-'Ind T1'!B10</f>
        <v>360.53999991092678</v>
      </c>
      <c r="O263" s="11">
        <f>'Ind T1'!F48</f>
        <v>674.90699993865746</v>
      </c>
      <c r="P263" s="11"/>
    </row>
    <row r="264" spans="1:16" x14ac:dyDescent="0.3">
      <c r="L264" t="str">
        <f t="shared" si="54"/>
        <v>Construction</v>
      </c>
      <c r="N264" s="11">
        <f>'Ind T1'!D9-'Ind T1'!B9</f>
        <v>197.08699998820975</v>
      </c>
      <c r="O264" s="11">
        <f>'Ind T1'!F47</f>
        <v>264.0559999782331</v>
      </c>
      <c r="P264" s="11"/>
    </row>
    <row r="265" spans="1:16" x14ac:dyDescent="0.3">
      <c r="L265" t="str">
        <f t="shared" si="54"/>
        <v>Manufacturing</v>
      </c>
      <c r="N265" s="11">
        <f>'Ind T1'!D8-'Ind T1'!B8</f>
        <v>-10.837000004954007</v>
      </c>
      <c r="O265" s="11">
        <f>'Ind T1'!F46</f>
        <v>-285.82299999226962</v>
      </c>
      <c r="P265" s="11"/>
    </row>
    <row r="266" spans="1:16" x14ac:dyDescent="0.3">
      <c r="L266" t="str">
        <f t="shared" si="54"/>
        <v>Primary sector and utilities</v>
      </c>
      <c r="N266" s="11">
        <f>'Ind T1'!D7-'Ind T1'!B7</f>
        <v>-3.9780000045632278</v>
      </c>
      <c r="O266" s="11">
        <f>'Ind T1'!F45</f>
        <v>18.107000001828283</v>
      </c>
    </row>
    <row r="268" spans="1:16" x14ac:dyDescent="0.3">
      <c r="L268" t="str">
        <f>L38</f>
        <v>All industries</v>
      </c>
      <c r="N268" s="11">
        <f>'Ind T1'!D14-'Ind T1'!B14</f>
        <v>1318.9829999997819</v>
      </c>
      <c r="O268" s="11">
        <f>SUM(O261:O266)</f>
        <v>2592.904000000276</v>
      </c>
    </row>
  </sheetData>
  <phoneticPr fontId="4" type="noConversion"/>
  <conditionalFormatting sqref="L4:AM4 L22:AM22 L17:AM17">
    <cfRule type="cellIs" dxfId="12" priority="3" stopIfTrue="1" operator="equal">
      <formula>0</formula>
    </cfRule>
  </conditionalFormatting>
  <conditionalFormatting sqref="AQ4:BP4">
    <cfRule type="cellIs" dxfId="11" priority="2" stopIfTrue="1" operator="equal">
      <formula>0</formula>
    </cfRule>
  </conditionalFormatting>
  <conditionalFormatting sqref="BS4:CR4">
    <cfRule type="cellIs" dxfId="10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/>
  <dimension ref="A1:R1295"/>
  <sheetViews>
    <sheetView showGridLines="0" zoomScale="85" zoomScaleNormal="85" workbookViewId="0"/>
  </sheetViews>
  <sheetFormatPr defaultRowHeight="12.45" x14ac:dyDescent="0.3"/>
  <cols>
    <col min="1" max="1" width="38.3828125" customWidth="1"/>
    <col min="2" max="12" width="7.3046875" customWidth="1"/>
    <col min="257" max="257" width="33.15234375" bestFit="1" customWidth="1"/>
    <col min="258" max="260" width="7.15234375" customWidth="1"/>
    <col min="261" max="261" width="5" customWidth="1"/>
    <col min="262" max="264" width="7.15234375" customWidth="1"/>
    <col min="265" max="265" width="5" customWidth="1"/>
    <col min="266" max="268" width="7.15234375" customWidth="1"/>
    <col min="513" max="513" width="33.15234375" bestFit="1" customWidth="1"/>
    <col min="514" max="516" width="7.15234375" customWidth="1"/>
    <col min="517" max="517" width="5" customWidth="1"/>
    <col min="518" max="520" width="7.15234375" customWidth="1"/>
    <col min="521" max="521" width="5" customWidth="1"/>
    <col min="522" max="524" width="7.15234375" customWidth="1"/>
    <col min="769" max="769" width="33.15234375" bestFit="1" customWidth="1"/>
    <col min="770" max="772" width="7.15234375" customWidth="1"/>
    <col min="773" max="773" width="5" customWidth="1"/>
    <col min="774" max="776" width="7.15234375" customWidth="1"/>
    <col min="777" max="777" width="5" customWidth="1"/>
    <col min="778" max="780" width="7.15234375" customWidth="1"/>
    <col min="1025" max="1025" width="33.15234375" bestFit="1" customWidth="1"/>
    <col min="1026" max="1028" width="7.15234375" customWidth="1"/>
    <col min="1029" max="1029" width="5" customWidth="1"/>
    <col min="1030" max="1032" width="7.15234375" customWidth="1"/>
    <col min="1033" max="1033" width="5" customWidth="1"/>
    <col min="1034" max="1036" width="7.15234375" customWidth="1"/>
    <col min="1281" max="1281" width="33.15234375" bestFit="1" customWidth="1"/>
    <col min="1282" max="1284" width="7.15234375" customWidth="1"/>
    <col min="1285" max="1285" width="5" customWidth="1"/>
    <col min="1286" max="1288" width="7.15234375" customWidth="1"/>
    <col min="1289" max="1289" width="5" customWidth="1"/>
    <col min="1290" max="1292" width="7.15234375" customWidth="1"/>
    <col min="1537" max="1537" width="33.15234375" bestFit="1" customWidth="1"/>
    <col min="1538" max="1540" width="7.15234375" customWidth="1"/>
    <col min="1541" max="1541" width="5" customWidth="1"/>
    <col min="1542" max="1544" width="7.15234375" customWidth="1"/>
    <col min="1545" max="1545" width="5" customWidth="1"/>
    <col min="1546" max="1548" width="7.15234375" customWidth="1"/>
    <col min="1793" max="1793" width="33.15234375" bestFit="1" customWidth="1"/>
    <col min="1794" max="1796" width="7.15234375" customWidth="1"/>
    <col min="1797" max="1797" width="5" customWidth="1"/>
    <col min="1798" max="1800" width="7.15234375" customWidth="1"/>
    <col min="1801" max="1801" width="5" customWidth="1"/>
    <col min="1802" max="1804" width="7.15234375" customWidth="1"/>
    <col min="2049" max="2049" width="33.15234375" bestFit="1" customWidth="1"/>
    <col min="2050" max="2052" width="7.15234375" customWidth="1"/>
    <col min="2053" max="2053" width="5" customWidth="1"/>
    <col min="2054" max="2056" width="7.15234375" customWidth="1"/>
    <col min="2057" max="2057" width="5" customWidth="1"/>
    <col min="2058" max="2060" width="7.15234375" customWidth="1"/>
    <col min="2305" max="2305" width="33.15234375" bestFit="1" customWidth="1"/>
    <col min="2306" max="2308" width="7.15234375" customWidth="1"/>
    <col min="2309" max="2309" width="5" customWidth="1"/>
    <col min="2310" max="2312" width="7.15234375" customWidth="1"/>
    <col min="2313" max="2313" width="5" customWidth="1"/>
    <col min="2314" max="2316" width="7.15234375" customWidth="1"/>
    <col min="2561" max="2561" width="33.15234375" bestFit="1" customWidth="1"/>
    <col min="2562" max="2564" width="7.15234375" customWidth="1"/>
    <col min="2565" max="2565" width="5" customWidth="1"/>
    <col min="2566" max="2568" width="7.15234375" customWidth="1"/>
    <col min="2569" max="2569" width="5" customWidth="1"/>
    <col min="2570" max="2572" width="7.15234375" customWidth="1"/>
    <col min="2817" max="2817" width="33.15234375" bestFit="1" customWidth="1"/>
    <col min="2818" max="2820" width="7.15234375" customWidth="1"/>
    <col min="2821" max="2821" width="5" customWidth="1"/>
    <col min="2822" max="2824" width="7.15234375" customWidth="1"/>
    <col min="2825" max="2825" width="5" customWidth="1"/>
    <col min="2826" max="2828" width="7.15234375" customWidth="1"/>
    <col min="3073" max="3073" width="33.15234375" bestFit="1" customWidth="1"/>
    <col min="3074" max="3076" width="7.15234375" customWidth="1"/>
    <col min="3077" max="3077" width="5" customWidth="1"/>
    <col min="3078" max="3080" width="7.15234375" customWidth="1"/>
    <col min="3081" max="3081" width="5" customWidth="1"/>
    <col min="3082" max="3084" width="7.15234375" customWidth="1"/>
    <col min="3329" max="3329" width="33.15234375" bestFit="1" customWidth="1"/>
    <col min="3330" max="3332" width="7.15234375" customWidth="1"/>
    <col min="3333" max="3333" width="5" customWidth="1"/>
    <col min="3334" max="3336" width="7.15234375" customWidth="1"/>
    <col min="3337" max="3337" width="5" customWidth="1"/>
    <col min="3338" max="3340" width="7.15234375" customWidth="1"/>
    <col min="3585" max="3585" width="33.15234375" bestFit="1" customWidth="1"/>
    <col min="3586" max="3588" width="7.15234375" customWidth="1"/>
    <col min="3589" max="3589" width="5" customWidth="1"/>
    <col min="3590" max="3592" width="7.15234375" customWidth="1"/>
    <col min="3593" max="3593" width="5" customWidth="1"/>
    <col min="3594" max="3596" width="7.15234375" customWidth="1"/>
    <col min="3841" max="3841" width="33.15234375" bestFit="1" customWidth="1"/>
    <col min="3842" max="3844" width="7.15234375" customWidth="1"/>
    <col min="3845" max="3845" width="5" customWidth="1"/>
    <col min="3846" max="3848" width="7.15234375" customWidth="1"/>
    <col min="3849" max="3849" width="5" customWidth="1"/>
    <col min="3850" max="3852" width="7.15234375" customWidth="1"/>
    <col min="4097" max="4097" width="33.15234375" bestFit="1" customWidth="1"/>
    <col min="4098" max="4100" width="7.15234375" customWidth="1"/>
    <col min="4101" max="4101" width="5" customWidth="1"/>
    <col min="4102" max="4104" width="7.15234375" customWidth="1"/>
    <col min="4105" max="4105" width="5" customWidth="1"/>
    <col min="4106" max="4108" width="7.15234375" customWidth="1"/>
    <col min="4353" max="4353" width="33.15234375" bestFit="1" customWidth="1"/>
    <col min="4354" max="4356" width="7.15234375" customWidth="1"/>
    <col min="4357" max="4357" width="5" customWidth="1"/>
    <col min="4358" max="4360" width="7.15234375" customWidth="1"/>
    <col min="4361" max="4361" width="5" customWidth="1"/>
    <col min="4362" max="4364" width="7.15234375" customWidth="1"/>
    <col min="4609" max="4609" width="33.15234375" bestFit="1" customWidth="1"/>
    <col min="4610" max="4612" width="7.15234375" customWidth="1"/>
    <col min="4613" max="4613" width="5" customWidth="1"/>
    <col min="4614" max="4616" width="7.15234375" customWidth="1"/>
    <col min="4617" max="4617" width="5" customWidth="1"/>
    <col min="4618" max="4620" width="7.15234375" customWidth="1"/>
    <col min="4865" max="4865" width="33.15234375" bestFit="1" customWidth="1"/>
    <col min="4866" max="4868" width="7.15234375" customWidth="1"/>
    <col min="4869" max="4869" width="5" customWidth="1"/>
    <col min="4870" max="4872" width="7.15234375" customWidth="1"/>
    <col min="4873" max="4873" width="5" customWidth="1"/>
    <col min="4874" max="4876" width="7.15234375" customWidth="1"/>
    <col min="5121" max="5121" width="33.15234375" bestFit="1" customWidth="1"/>
    <col min="5122" max="5124" width="7.15234375" customWidth="1"/>
    <col min="5125" max="5125" width="5" customWidth="1"/>
    <col min="5126" max="5128" width="7.15234375" customWidth="1"/>
    <col min="5129" max="5129" width="5" customWidth="1"/>
    <col min="5130" max="5132" width="7.15234375" customWidth="1"/>
    <col min="5377" max="5377" width="33.15234375" bestFit="1" customWidth="1"/>
    <col min="5378" max="5380" width="7.15234375" customWidth="1"/>
    <col min="5381" max="5381" width="5" customWidth="1"/>
    <col min="5382" max="5384" width="7.15234375" customWidth="1"/>
    <col min="5385" max="5385" width="5" customWidth="1"/>
    <col min="5386" max="5388" width="7.15234375" customWidth="1"/>
    <col min="5633" max="5633" width="33.15234375" bestFit="1" customWidth="1"/>
    <col min="5634" max="5636" width="7.15234375" customWidth="1"/>
    <col min="5637" max="5637" width="5" customWidth="1"/>
    <col min="5638" max="5640" width="7.15234375" customWidth="1"/>
    <col min="5641" max="5641" width="5" customWidth="1"/>
    <col min="5642" max="5644" width="7.15234375" customWidth="1"/>
    <col min="5889" max="5889" width="33.15234375" bestFit="1" customWidth="1"/>
    <col min="5890" max="5892" width="7.15234375" customWidth="1"/>
    <col min="5893" max="5893" width="5" customWidth="1"/>
    <col min="5894" max="5896" width="7.15234375" customWidth="1"/>
    <col min="5897" max="5897" width="5" customWidth="1"/>
    <col min="5898" max="5900" width="7.15234375" customWidth="1"/>
    <col min="6145" max="6145" width="33.15234375" bestFit="1" customWidth="1"/>
    <col min="6146" max="6148" width="7.15234375" customWidth="1"/>
    <col min="6149" max="6149" width="5" customWidth="1"/>
    <col min="6150" max="6152" width="7.15234375" customWidth="1"/>
    <col min="6153" max="6153" width="5" customWidth="1"/>
    <col min="6154" max="6156" width="7.15234375" customWidth="1"/>
    <col min="6401" max="6401" width="33.15234375" bestFit="1" customWidth="1"/>
    <col min="6402" max="6404" width="7.15234375" customWidth="1"/>
    <col min="6405" max="6405" width="5" customWidth="1"/>
    <col min="6406" max="6408" width="7.15234375" customWidth="1"/>
    <col min="6409" max="6409" width="5" customWidth="1"/>
    <col min="6410" max="6412" width="7.15234375" customWidth="1"/>
    <col min="6657" max="6657" width="33.15234375" bestFit="1" customWidth="1"/>
    <col min="6658" max="6660" width="7.15234375" customWidth="1"/>
    <col min="6661" max="6661" width="5" customWidth="1"/>
    <col min="6662" max="6664" width="7.15234375" customWidth="1"/>
    <col min="6665" max="6665" width="5" customWidth="1"/>
    <col min="6666" max="6668" width="7.15234375" customWidth="1"/>
    <col min="6913" max="6913" width="33.15234375" bestFit="1" customWidth="1"/>
    <col min="6914" max="6916" width="7.15234375" customWidth="1"/>
    <col min="6917" max="6917" width="5" customWidth="1"/>
    <col min="6918" max="6920" width="7.15234375" customWidth="1"/>
    <col min="6921" max="6921" width="5" customWidth="1"/>
    <col min="6922" max="6924" width="7.15234375" customWidth="1"/>
    <col min="7169" max="7169" width="33.15234375" bestFit="1" customWidth="1"/>
    <col min="7170" max="7172" width="7.15234375" customWidth="1"/>
    <col min="7173" max="7173" width="5" customWidth="1"/>
    <col min="7174" max="7176" width="7.15234375" customWidth="1"/>
    <col min="7177" max="7177" width="5" customWidth="1"/>
    <col min="7178" max="7180" width="7.15234375" customWidth="1"/>
    <col min="7425" max="7425" width="33.15234375" bestFit="1" customWidth="1"/>
    <col min="7426" max="7428" width="7.15234375" customWidth="1"/>
    <col min="7429" max="7429" width="5" customWidth="1"/>
    <col min="7430" max="7432" width="7.15234375" customWidth="1"/>
    <col min="7433" max="7433" width="5" customWidth="1"/>
    <col min="7434" max="7436" width="7.15234375" customWidth="1"/>
    <col min="7681" max="7681" width="33.15234375" bestFit="1" customWidth="1"/>
    <col min="7682" max="7684" width="7.15234375" customWidth="1"/>
    <col min="7685" max="7685" width="5" customWidth="1"/>
    <col min="7686" max="7688" width="7.15234375" customWidth="1"/>
    <col min="7689" max="7689" width="5" customWidth="1"/>
    <col min="7690" max="7692" width="7.15234375" customWidth="1"/>
    <col min="7937" max="7937" width="33.15234375" bestFit="1" customWidth="1"/>
    <col min="7938" max="7940" width="7.15234375" customWidth="1"/>
    <col min="7941" max="7941" width="5" customWidth="1"/>
    <col min="7942" max="7944" width="7.15234375" customWidth="1"/>
    <col min="7945" max="7945" width="5" customWidth="1"/>
    <col min="7946" max="7948" width="7.15234375" customWidth="1"/>
    <col min="8193" max="8193" width="33.15234375" bestFit="1" customWidth="1"/>
    <col min="8194" max="8196" width="7.15234375" customWidth="1"/>
    <col min="8197" max="8197" width="5" customWidth="1"/>
    <col min="8198" max="8200" width="7.15234375" customWidth="1"/>
    <col min="8201" max="8201" width="5" customWidth="1"/>
    <col min="8202" max="8204" width="7.15234375" customWidth="1"/>
    <col min="8449" max="8449" width="33.15234375" bestFit="1" customWidth="1"/>
    <col min="8450" max="8452" width="7.15234375" customWidth="1"/>
    <col min="8453" max="8453" width="5" customWidth="1"/>
    <col min="8454" max="8456" width="7.15234375" customWidth="1"/>
    <col min="8457" max="8457" width="5" customWidth="1"/>
    <col min="8458" max="8460" width="7.15234375" customWidth="1"/>
    <col min="8705" max="8705" width="33.15234375" bestFit="1" customWidth="1"/>
    <col min="8706" max="8708" width="7.15234375" customWidth="1"/>
    <col min="8709" max="8709" width="5" customWidth="1"/>
    <col min="8710" max="8712" width="7.15234375" customWidth="1"/>
    <col min="8713" max="8713" width="5" customWidth="1"/>
    <col min="8714" max="8716" width="7.15234375" customWidth="1"/>
    <col min="8961" max="8961" width="33.15234375" bestFit="1" customWidth="1"/>
    <col min="8962" max="8964" width="7.15234375" customWidth="1"/>
    <col min="8965" max="8965" width="5" customWidth="1"/>
    <col min="8966" max="8968" width="7.15234375" customWidth="1"/>
    <col min="8969" max="8969" width="5" customWidth="1"/>
    <col min="8970" max="8972" width="7.15234375" customWidth="1"/>
    <col min="9217" max="9217" width="33.15234375" bestFit="1" customWidth="1"/>
    <col min="9218" max="9220" width="7.15234375" customWidth="1"/>
    <col min="9221" max="9221" width="5" customWidth="1"/>
    <col min="9222" max="9224" width="7.15234375" customWidth="1"/>
    <col min="9225" max="9225" width="5" customWidth="1"/>
    <col min="9226" max="9228" width="7.15234375" customWidth="1"/>
    <col min="9473" max="9473" width="33.15234375" bestFit="1" customWidth="1"/>
    <col min="9474" max="9476" width="7.15234375" customWidth="1"/>
    <col min="9477" max="9477" width="5" customWidth="1"/>
    <col min="9478" max="9480" width="7.15234375" customWidth="1"/>
    <col min="9481" max="9481" width="5" customWidth="1"/>
    <col min="9482" max="9484" width="7.15234375" customWidth="1"/>
    <col min="9729" max="9729" width="33.15234375" bestFit="1" customWidth="1"/>
    <col min="9730" max="9732" width="7.15234375" customWidth="1"/>
    <col min="9733" max="9733" width="5" customWidth="1"/>
    <col min="9734" max="9736" width="7.15234375" customWidth="1"/>
    <col min="9737" max="9737" width="5" customWidth="1"/>
    <col min="9738" max="9740" width="7.15234375" customWidth="1"/>
    <col min="9985" max="9985" width="33.15234375" bestFit="1" customWidth="1"/>
    <col min="9986" max="9988" width="7.15234375" customWidth="1"/>
    <col min="9989" max="9989" width="5" customWidth="1"/>
    <col min="9990" max="9992" width="7.15234375" customWidth="1"/>
    <col min="9993" max="9993" width="5" customWidth="1"/>
    <col min="9994" max="9996" width="7.15234375" customWidth="1"/>
    <col min="10241" max="10241" width="33.15234375" bestFit="1" customWidth="1"/>
    <col min="10242" max="10244" width="7.15234375" customWidth="1"/>
    <col min="10245" max="10245" width="5" customWidth="1"/>
    <col min="10246" max="10248" width="7.15234375" customWidth="1"/>
    <col min="10249" max="10249" width="5" customWidth="1"/>
    <col min="10250" max="10252" width="7.15234375" customWidth="1"/>
    <col min="10497" max="10497" width="33.15234375" bestFit="1" customWidth="1"/>
    <col min="10498" max="10500" width="7.15234375" customWidth="1"/>
    <col min="10501" max="10501" width="5" customWidth="1"/>
    <col min="10502" max="10504" width="7.15234375" customWidth="1"/>
    <col min="10505" max="10505" width="5" customWidth="1"/>
    <col min="10506" max="10508" width="7.15234375" customWidth="1"/>
    <col min="10753" max="10753" width="33.15234375" bestFit="1" customWidth="1"/>
    <col min="10754" max="10756" width="7.15234375" customWidth="1"/>
    <col min="10757" max="10757" width="5" customWidth="1"/>
    <col min="10758" max="10760" width="7.15234375" customWidth="1"/>
    <col min="10761" max="10761" width="5" customWidth="1"/>
    <col min="10762" max="10764" width="7.15234375" customWidth="1"/>
    <col min="11009" max="11009" width="33.15234375" bestFit="1" customWidth="1"/>
    <col min="11010" max="11012" width="7.15234375" customWidth="1"/>
    <col min="11013" max="11013" width="5" customWidth="1"/>
    <col min="11014" max="11016" width="7.15234375" customWidth="1"/>
    <col min="11017" max="11017" width="5" customWidth="1"/>
    <col min="11018" max="11020" width="7.15234375" customWidth="1"/>
    <col min="11265" max="11265" width="33.15234375" bestFit="1" customWidth="1"/>
    <col min="11266" max="11268" width="7.15234375" customWidth="1"/>
    <col min="11269" max="11269" width="5" customWidth="1"/>
    <col min="11270" max="11272" width="7.15234375" customWidth="1"/>
    <col min="11273" max="11273" width="5" customWidth="1"/>
    <col min="11274" max="11276" width="7.15234375" customWidth="1"/>
    <col min="11521" max="11521" width="33.15234375" bestFit="1" customWidth="1"/>
    <col min="11522" max="11524" width="7.15234375" customWidth="1"/>
    <col min="11525" max="11525" width="5" customWidth="1"/>
    <col min="11526" max="11528" width="7.15234375" customWidth="1"/>
    <col min="11529" max="11529" width="5" customWidth="1"/>
    <col min="11530" max="11532" width="7.15234375" customWidth="1"/>
    <col min="11777" max="11777" width="33.15234375" bestFit="1" customWidth="1"/>
    <col min="11778" max="11780" width="7.15234375" customWidth="1"/>
    <col min="11781" max="11781" width="5" customWidth="1"/>
    <col min="11782" max="11784" width="7.15234375" customWidth="1"/>
    <col min="11785" max="11785" width="5" customWidth="1"/>
    <col min="11786" max="11788" width="7.15234375" customWidth="1"/>
    <col min="12033" max="12033" width="33.15234375" bestFit="1" customWidth="1"/>
    <col min="12034" max="12036" width="7.15234375" customWidth="1"/>
    <col min="12037" max="12037" width="5" customWidth="1"/>
    <col min="12038" max="12040" width="7.15234375" customWidth="1"/>
    <col min="12041" max="12041" width="5" customWidth="1"/>
    <col min="12042" max="12044" width="7.15234375" customWidth="1"/>
    <col min="12289" max="12289" width="33.15234375" bestFit="1" customWidth="1"/>
    <col min="12290" max="12292" width="7.15234375" customWidth="1"/>
    <col min="12293" max="12293" width="5" customWidth="1"/>
    <col min="12294" max="12296" width="7.15234375" customWidth="1"/>
    <col min="12297" max="12297" width="5" customWidth="1"/>
    <col min="12298" max="12300" width="7.15234375" customWidth="1"/>
    <col min="12545" max="12545" width="33.15234375" bestFit="1" customWidth="1"/>
    <col min="12546" max="12548" width="7.15234375" customWidth="1"/>
    <col min="12549" max="12549" width="5" customWidth="1"/>
    <col min="12550" max="12552" width="7.15234375" customWidth="1"/>
    <col min="12553" max="12553" width="5" customWidth="1"/>
    <col min="12554" max="12556" width="7.15234375" customWidth="1"/>
    <col min="12801" max="12801" width="33.15234375" bestFit="1" customWidth="1"/>
    <col min="12802" max="12804" width="7.15234375" customWidth="1"/>
    <col min="12805" max="12805" width="5" customWidth="1"/>
    <col min="12806" max="12808" width="7.15234375" customWidth="1"/>
    <col min="12809" max="12809" width="5" customWidth="1"/>
    <col min="12810" max="12812" width="7.15234375" customWidth="1"/>
    <col min="13057" max="13057" width="33.15234375" bestFit="1" customWidth="1"/>
    <col min="13058" max="13060" width="7.15234375" customWidth="1"/>
    <col min="13061" max="13061" width="5" customWidth="1"/>
    <col min="13062" max="13064" width="7.15234375" customWidth="1"/>
    <col min="13065" max="13065" width="5" customWidth="1"/>
    <col min="13066" max="13068" width="7.15234375" customWidth="1"/>
    <col min="13313" max="13313" width="33.15234375" bestFit="1" customWidth="1"/>
    <col min="13314" max="13316" width="7.15234375" customWidth="1"/>
    <col min="13317" max="13317" width="5" customWidth="1"/>
    <col min="13318" max="13320" width="7.15234375" customWidth="1"/>
    <col min="13321" max="13321" width="5" customWidth="1"/>
    <col min="13322" max="13324" width="7.15234375" customWidth="1"/>
    <col min="13569" max="13569" width="33.15234375" bestFit="1" customWidth="1"/>
    <col min="13570" max="13572" width="7.15234375" customWidth="1"/>
    <col min="13573" max="13573" width="5" customWidth="1"/>
    <col min="13574" max="13576" width="7.15234375" customWidth="1"/>
    <col min="13577" max="13577" width="5" customWidth="1"/>
    <col min="13578" max="13580" width="7.15234375" customWidth="1"/>
    <col min="13825" max="13825" width="33.15234375" bestFit="1" customWidth="1"/>
    <col min="13826" max="13828" width="7.15234375" customWidth="1"/>
    <col min="13829" max="13829" width="5" customWidth="1"/>
    <col min="13830" max="13832" width="7.15234375" customWidth="1"/>
    <col min="13833" max="13833" width="5" customWidth="1"/>
    <col min="13834" max="13836" width="7.15234375" customWidth="1"/>
    <col min="14081" max="14081" width="33.15234375" bestFit="1" customWidth="1"/>
    <col min="14082" max="14084" width="7.15234375" customWidth="1"/>
    <col min="14085" max="14085" width="5" customWidth="1"/>
    <col min="14086" max="14088" width="7.15234375" customWidth="1"/>
    <col min="14089" max="14089" width="5" customWidth="1"/>
    <col min="14090" max="14092" width="7.15234375" customWidth="1"/>
    <col min="14337" max="14337" width="33.15234375" bestFit="1" customWidth="1"/>
    <col min="14338" max="14340" width="7.15234375" customWidth="1"/>
    <col min="14341" max="14341" width="5" customWidth="1"/>
    <col min="14342" max="14344" width="7.15234375" customWidth="1"/>
    <col min="14345" max="14345" width="5" customWidth="1"/>
    <col min="14346" max="14348" width="7.15234375" customWidth="1"/>
    <col min="14593" max="14593" width="33.15234375" bestFit="1" customWidth="1"/>
    <col min="14594" max="14596" width="7.15234375" customWidth="1"/>
    <col min="14597" max="14597" width="5" customWidth="1"/>
    <col min="14598" max="14600" width="7.15234375" customWidth="1"/>
    <col min="14601" max="14601" width="5" customWidth="1"/>
    <col min="14602" max="14604" width="7.15234375" customWidth="1"/>
    <col min="14849" max="14849" width="33.15234375" bestFit="1" customWidth="1"/>
    <col min="14850" max="14852" width="7.15234375" customWidth="1"/>
    <col min="14853" max="14853" width="5" customWidth="1"/>
    <col min="14854" max="14856" width="7.15234375" customWidth="1"/>
    <col min="14857" max="14857" width="5" customWidth="1"/>
    <col min="14858" max="14860" width="7.15234375" customWidth="1"/>
    <col min="15105" max="15105" width="33.15234375" bestFit="1" customWidth="1"/>
    <col min="15106" max="15108" width="7.15234375" customWidth="1"/>
    <col min="15109" max="15109" width="5" customWidth="1"/>
    <col min="15110" max="15112" width="7.15234375" customWidth="1"/>
    <col min="15113" max="15113" width="5" customWidth="1"/>
    <col min="15114" max="15116" width="7.15234375" customWidth="1"/>
    <col min="15361" max="15361" width="33.15234375" bestFit="1" customWidth="1"/>
    <col min="15362" max="15364" width="7.15234375" customWidth="1"/>
    <col min="15365" max="15365" width="5" customWidth="1"/>
    <col min="15366" max="15368" width="7.15234375" customWidth="1"/>
    <col min="15369" max="15369" width="5" customWidth="1"/>
    <col min="15370" max="15372" width="7.15234375" customWidth="1"/>
    <col min="15617" max="15617" width="33.15234375" bestFit="1" customWidth="1"/>
    <col min="15618" max="15620" width="7.15234375" customWidth="1"/>
    <col min="15621" max="15621" width="5" customWidth="1"/>
    <col min="15622" max="15624" width="7.15234375" customWidth="1"/>
    <col min="15625" max="15625" width="5" customWidth="1"/>
    <col min="15626" max="15628" width="7.15234375" customWidth="1"/>
    <col min="15873" max="15873" width="33.15234375" bestFit="1" customWidth="1"/>
    <col min="15874" max="15876" width="7.15234375" customWidth="1"/>
    <col min="15877" max="15877" width="5" customWidth="1"/>
    <col min="15878" max="15880" width="7.15234375" customWidth="1"/>
    <col min="15881" max="15881" width="5" customWidth="1"/>
    <col min="15882" max="15884" width="7.15234375" customWidth="1"/>
    <col min="16129" max="16129" width="33.15234375" bestFit="1" customWidth="1"/>
    <col min="16130" max="16132" width="7.15234375" customWidth="1"/>
    <col min="16133" max="16133" width="5" customWidth="1"/>
    <col min="16134" max="16136" width="7.15234375" customWidth="1"/>
    <col min="16137" max="16137" width="5" customWidth="1"/>
    <col min="16138" max="16140" width="7.15234375" customWidth="1"/>
  </cols>
  <sheetData>
    <row r="1" spans="1:14" ht="15.45" x14ac:dyDescent="0.4">
      <c r="A1" s="18" t="str">
        <f>CONCATENATE("Industry and Occupation Table 1  Occuptation composition (SOC2020) by gender, ",B$6,"-",J$6,", ",Info!B5)</f>
        <v>Industry and Occupation Table 1  Occuptation composition (SOC2020) by gender, 2015-2035, United Kingdom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3">
      <c r="A2" s="258" t="s">
        <v>533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3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3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236"/>
    </row>
    <row r="5" spans="1:14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3">
      <c r="A6" s="241" t="s">
        <v>0</v>
      </c>
      <c r="B6" s="373">
        <v>2015</v>
      </c>
      <c r="C6" s="374"/>
      <c r="D6" s="374"/>
      <c r="E6" s="246"/>
      <c r="F6" s="373">
        <v>2020</v>
      </c>
      <c r="G6" s="373"/>
      <c r="H6" s="373"/>
      <c r="I6" s="246"/>
      <c r="J6" s="373">
        <v>2035</v>
      </c>
      <c r="K6" s="373"/>
      <c r="L6" s="373"/>
      <c r="M6" s="236"/>
      <c r="N6" s="236"/>
    </row>
    <row r="7" spans="1:14" x14ac:dyDescent="0.3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236"/>
    </row>
    <row r="8" spans="1:14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3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1076.2750106031565</v>
      </c>
      <c r="C9" s="249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2129.1501277330208</v>
      </c>
      <c r="D9" s="249">
        <f>SUM(B9:C9)</f>
        <v>3205.425138336177</v>
      </c>
      <c r="E9" s="238"/>
      <c r="F9" s="249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1359.8149414128397</v>
      </c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2386.7442606418949</v>
      </c>
      <c r="H9" s="249">
        <f>SUM(F9:G9)</f>
        <v>3746.5592020547347</v>
      </c>
      <c r="I9" s="238"/>
      <c r="J9" s="249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1699.6926255738961</v>
      </c>
      <c r="K9" s="249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2618.5562447798889</v>
      </c>
      <c r="L9" s="249">
        <f>SUM(J9:K9)</f>
        <v>4318.2488703537847</v>
      </c>
      <c r="M9" s="236"/>
      <c r="N9" s="236"/>
    </row>
    <row r="10" spans="1:14" x14ac:dyDescent="0.3">
      <c r="A10" s="237" t="str">
        <f>name!E$5</f>
        <v>Professional occupations</v>
      </c>
      <c r="B10" s="249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3378.1401727870834</v>
      </c>
      <c r="C10" s="249">
        <f t="shared" si="0"/>
        <v>3507.3416727466229</v>
      </c>
      <c r="D10" s="249">
        <f t="shared" ref="D10:D17" si="1">SUM(B10:C10)</f>
        <v>6885.4818455337063</v>
      </c>
      <c r="E10" s="238"/>
      <c r="F10" s="249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4105.5509526513715</v>
      </c>
      <c r="G10" s="249">
        <f t="shared" si="2"/>
        <v>4094.0287575490129</v>
      </c>
      <c r="H10" s="249">
        <f t="shared" ref="H10:H17" si="3">SUM(F10:G10)</f>
        <v>8199.5797102003853</v>
      </c>
      <c r="I10" s="238"/>
      <c r="J10" s="249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5064.9977646997477</v>
      </c>
      <c r="K10" s="249">
        <f t="shared" si="4"/>
        <v>4776.8193157540582</v>
      </c>
      <c r="L10" s="249">
        <f t="shared" ref="L10:L17" si="5">SUM(J10:K10)</f>
        <v>9841.8170804538058</v>
      </c>
      <c r="M10" s="236"/>
      <c r="N10" s="236"/>
    </row>
    <row r="11" spans="1:14" x14ac:dyDescent="0.3">
      <c r="A11" s="237" t="str">
        <f>name!E$6</f>
        <v>Associate professional occupations</v>
      </c>
      <c r="B11" s="249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1941.356606387792</v>
      </c>
      <c r="C11" s="249">
        <f t="shared" si="6"/>
        <v>2278.1138359246979</v>
      </c>
      <c r="D11" s="249">
        <f t="shared" si="1"/>
        <v>4219.4704423124895</v>
      </c>
      <c r="E11" s="238"/>
      <c r="F11" s="249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2265.266069246492</v>
      </c>
      <c r="G11" s="249">
        <f t="shared" si="7"/>
        <v>2516.6578272898719</v>
      </c>
      <c r="H11" s="249">
        <f t="shared" si="3"/>
        <v>4781.9238965363638</v>
      </c>
      <c r="I11" s="238"/>
      <c r="J11" s="249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2611.0129946161342</v>
      </c>
      <c r="K11" s="249">
        <f t="shared" si="8"/>
        <v>2467.3039513064086</v>
      </c>
      <c r="L11" s="249">
        <f t="shared" si="5"/>
        <v>5078.3169459225428</v>
      </c>
      <c r="M11" s="236"/>
      <c r="N11" s="236"/>
    </row>
    <row r="12" spans="1:14" x14ac:dyDescent="0.3">
      <c r="A12" s="237" t="str">
        <f>name!E$7</f>
        <v>Administrative and secretarial occupations</v>
      </c>
      <c r="B12" s="249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2784.6423570827551</v>
      </c>
      <c r="C12" s="249">
        <f t="shared" si="9"/>
        <v>950.97022339060186</v>
      </c>
      <c r="D12" s="249">
        <f t="shared" si="1"/>
        <v>3735.612580473357</v>
      </c>
      <c r="E12" s="238"/>
      <c r="F12" s="249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2693.5068203869268</v>
      </c>
      <c r="G12" s="249">
        <f t="shared" si="10"/>
        <v>1048.2364670705347</v>
      </c>
      <c r="H12" s="249">
        <f t="shared" si="3"/>
        <v>3741.7432874574615</v>
      </c>
      <c r="I12" s="238"/>
      <c r="J12" s="249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2148.002790168719</v>
      </c>
      <c r="K12" s="249">
        <f t="shared" si="11"/>
        <v>1106.9600252534851</v>
      </c>
      <c r="L12" s="249">
        <f t="shared" si="5"/>
        <v>3254.9628154222041</v>
      </c>
      <c r="M12" s="236"/>
      <c r="N12" s="236"/>
    </row>
    <row r="13" spans="1:14" x14ac:dyDescent="0.3">
      <c r="A13" s="237" t="str">
        <f>name!E$8</f>
        <v>Skilled trades occupations</v>
      </c>
      <c r="B13" s="249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367.7891376175711</v>
      </c>
      <c r="C13" s="249">
        <f t="shared" si="12"/>
        <v>3121.2998316095263</v>
      </c>
      <c r="D13" s="249">
        <f t="shared" si="1"/>
        <v>3489.0889692270976</v>
      </c>
      <c r="E13" s="238"/>
      <c r="F13" s="249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383.74935319541953</v>
      </c>
      <c r="G13" s="249">
        <f t="shared" si="13"/>
        <v>2645.1789136430712</v>
      </c>
      <c r="H13" s="249">
        <f t="shared" si="3"/>
        <v>3028.9282668384908</v>
      </c>
      <c r="I13" s="238"/>
      <c r="J13" s="249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473.91403755920311</v>
      </c>
      <c r="K13" s="249">
        <f t="shared" si="14"/>
        <v>2516.1388185194342</v>
      </c>
      <c r="L13" s="249">
        <f t="shared" si="5"/>
        <v>2990.0528560786374</v>
      </c>
      <c r="M13" s="236"/>
      <c r="N13" s="236"/>
    </row>
    <row r="14" spans="1:14" x14ac:dyDescent="0.3">
      <c r="A14" s="237" t="str">
        <f>name!E$9</f>
        <v>Caring, leisure and other service occupations</v>
      </c>
      <c r="B14" s="249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2529.6242814910638</v>
      </c>
      <c r="C14" s="249">
        <f t="shared" si="15"/>
        <v>618.97774826176976</v>
      </c>
      <c r="D14" s="249">
        <f t="shared" si="1"/>
        <v>3148.6020297528335</v>
      </c>
      <c r="E14" s="238"/>
      <c r="F14" s="249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2494.9387282090725</v>
      </c>
      <c r="G14" s="249">
        <f t="shared" si="16"/>
        <v>638.60203182711257</v>
      </c>
      <c r="H14" s="249">
        <f t="shared" si="3"/>
        <v>3133.540760036185</v>
      </c>
      <c r="I14" s="238"/>
      <c r="J14" s="249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2809.2359125685784</v>
      </c>
      <c r="K14" s="249">
        <f t="shared" si="17"/>
        <v>826.06350287115731</v>
      </c>
      <c r="L14" s="249">
        <f t="shared" si="5"/>
        <v>3635.2994154397356</v>
      </c>
      <c r="M14" s="236"/>
      <c r="N14" s="236"/>
    </row>
    <row r="15" spans="1:14" x14ac:dyDescent="0.3">
      <c r="A15" s="237" t="str">
        <f>name!E$10</f>
        <v>Sales and customer service occupations</v>
      </c>
      <c r="B15" s="249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1751.3305972830515</v>
      </c>
      <c r="C15" s="249">
        <f t="shared" si="18"/>
        <v>1135.930131925991</v>
      </c>
      <c r="D15" s="249">
        <f t="shared" si="1"/>
        <v>2887.2607292090424</v>
      </c>
      <c r="E15" s="238"/>
      <c r="F15" s="249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1656.6569895011758</v>
      </c>
      <c r="G15" s="249">
        <f t="shared" si="19"/>
        <v>1130.4299257149819</v>
      </c>
      <c r="H15" s="249">
        <f t="shared" si="3"/>
        <v>2787.0869152161576</v>
      </c>
      <c r="I15" s="238"/>
      <c r="J15" s="249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1605.0637246082292</v>
      </c>
      <c r="K15" s="249">
        <f t="shared" si="20"/>
        <v>1211.3627966089055</v>
      </c>
      <c r="L15" s="249">
        <f t="shared" si="5"/>
        <v>2816.4265212171349</v>
      </c>
      <c r="M15" s="236"/>
      <c r="N15" s="236"/>
    </row>
    <row r="16" spans="1:14" x14ac:dyDescent="0.3">
      <c r="A16" s="237" t="str">
        <f>name!E$11</f>
        <v>Process, plant and machine operatives</v>
      </c>
      <c r="B16" s="249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268.18623840521951</v>
      </c>
      <c r="C16" s="249">
        <f t="shared" si="21"/>
        <v>1844.8313804849618</v>
      </c>
      <c r="D16" s="249">
        <f t="shared" si="1"/>
        <v>2113.0176188901814</v>
      </c>
      <c r="E16" s="238"/>
      <c r="F16" s="249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244.02536981550782</v>
      </c>
      <c r="G16" s="249">
        <f t="shared" si="22"/>
        <v>1713.2468583475404</v>
      </c>
      <c r="H16" s="249">
        <f t="shared" si="3"/>
        <v>1957.2722281630481</v>
      </c>
      <c r="I16" s="238"/>
      <c r="J16" s="249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340.90948809161102</v>
      </c>
      <c r="K16" s="249">
        <f t="shared" si="23"/>
        <v>1838.0020621985652</v>
      </c>
      <c r="L16" s="249">
        <f t="shared" si="5"/>
        <v>2178.9115502901764</v>
      </c>
      <c r="M16" s="236"/>
      <c r="N16" s="236"/>
    </row>
    <row r="17" spans="1:14" x14ac:dyDescent="0.3">
      <c r="A17" s="237" t="str">
        <f>name!E$12</f>
        <v>Elementary occupations</v>
      </c>
      <c r="B17" s="249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1853.6855983423256</v>
      </c>
      <c r="C17" s="249">
        <f t="shared" si="24"/>
        <v>2118.3400479228517</v>
      </c>
      <c r="D17" s="249">
        <f t="shared" si="1"/>
        <v>3972.0256462651773</v>
      </c>
      <c r="E17" s="238"/>
      <c r="F17" s="249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1699.3767755812457</v>
      </c>
      <c r="G17" s="249">
        <f t="shared" si="25"/>
        <v>1898.9569579157624</v>
      </c>
      <c r="H17" s="249">
        <f t="shared" si="3"/>
        <v>3598.3337334970083</v>
      </c>
      <c r="I17" s="238"/>
      <c r="J17" s="249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1602.1076621140699</v>
      </c>
      <c r="K17" s="249">
        <f t="shared" si="26"/>
        <v>1851.7282827080087</v>
      </c>
      <c r="L17" s="249">
        <f t="shared" si="5"/>
        <v>3453.8359448220785</v>
      </c>
      <c r="M17" s="236"/>
      <c r="N17" s="236"/>
    </row>
    <row r="18" spans="1:14" x14ac:dyDescent="0.3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3">
      <c r="A19" s="244" t="s">
        <v>32</v>
      </c>
      <c r="B19" s="247">
        <f>SUM(B9:B17)</f>
        <v>15951.030000000017</v>
      </c>
      <c r="C19" s="247">
        <f t="shared" ref="C19:L19" si="27">SUM(C9:C17)</f>
        <v>17704.955000000042</v>
      </c>
      <c r="D19" s="247">
        <f t="shared" si="27"/>
        <v>33655.985000000066</v>
      </c>
      <c r="E19" s="247"/>
      <c r="F19" s="247">
        <f t="shared" si="27"/>
        <v>16902.88600000005</v>
      </c>
      <c r="G19" s="247">
        <f t="shared" si="27"/>
        <v>18072.081999999784</v>
      </c>
      <c r="H19" s="247">
        <f t="shared" si="27"/>
        <v>34974.967999999833</v>
      </c>
      <c r="I19" s="247"/>
      <c r="J19" s="247">
        <f t="shared" si="27"/>
        <v>18354.937000000191</v>
      </c>
      <c r="K19" s="247">
        <f t="shared" si="27"/>
        <v>19212.93499999991</v>
      </c>
      <c r="L19" s="247">
        <f t="shared" si="27"/>
        <v>37567.872000000098</v>
      </c>
      <c r="M19" s="236"/>
      <c r="N19" s="236"/>
    </row>
    <row r="20" spans="1:14" x14ac:dyDescent="0.3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3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35</v>
      </c>
      <c r="M21" s="236"/>
      <c r="N21" s="236"/>
    </row>
    <row r="22" spans="1:14" x14ac:dyDescent="0.3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3">
      <c r="A23" s="241" t="str">
        <f>name!A4</f>
        <v>Agriculture, etc</v>
      </c>
      <c r="B23" s="373">
        <f>B$6</f>
        <v>2015</v>
      </c>
      <c r="C23" s="373"/>
      <c r="D23" s="373"/>
      <c r="E23" s="253"/>
      <c r="F23" s="373">
        <f>F$6</f>
        <v>2020</v>
      </c>
      <c r="G23" s="373"/>
      <c r="H23" s="373"/>
      <c r="I23" s="253"/>
      <c r="J23" s="373">
        <f>J$6</f>
        <v>2035</v>
      </c>
      <c r="K23" s="373"/>
      <c r="L23" s="373"/>
      <c r="M23" s="236"/>
      <c r="N23" s="236"/>
    </row>
    <row r="24" spans="1:14" x14ac:dyDescent="0.3">
      <c r="A24" s="254"/>
      <c r="B24" s="255" t="s">
        <v>352</v>
      </c>
      <c r="C24" s="255" t="s">
        <v>353</v>
      </c>
      <c r="D24" s="255" t="s">
        <v>32</v>
      </c>
      <c r="E24" s="255"/>
      <c r="F24" s="255" t="s">
        <v>352</v>
      </c>
      <c r="G24" s="255" t="s">
        <v>353</v>
      </c>
      <c r="H24" s="255" t="s">
        <v>32</v>
      </c>
      <c r="I24" s="255"/>
      <c r="J24" s="255" t="s">
        <v>352</v>
      </c>
      <c r="K24" s="255" t="s">
        <v>353</v>
      </c>
      <c r="L24" s="255" t="s">
        <v>32</v>
      </c>
      <c r="M24" s="236"/>
      <c r="N24" s="236"/>
    </row>
    <row r="25" spans="1:14" x14ac:dyDescent="0.3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3">
      <c r="A26" s="237" t="str">
        <f>name!E$4</f>
        <v>Managers, directors and senior officials</v>
      </c>
      <c r="B26" s="302">
        <v>4.8735164130926281</v>
      </c>
      <c r="C26" s="302">
        <v>16.504917625007547</v>
      </c>
      <c r="D26" s="302">
        <f>SUM(B26:C26)</f>
        <v>21.378434038100174</v>
      </c>
      <c r="E26" s="303"/>
      <c r="F26" s="302">
        <v>8.2145798224189672</v>
      </c>
      <c r="G26" s="302">
        <v>17.932280513657201</v>
      </c>
      <c r="H26" s="302">
        <f>SUM(F26:G26)</f>
        <v>26.146860336076166</v>
      </c>
      <c r="I26" s="303"/>
      <c r="J26" s="302">
        <v>8.5293927088345978</v>
      </c>
      <c r="K26" s="302">
        <v>25.049518461764762</v>
      </c>
      <c r="L26" s="302">
        <f>SUM(J26:K26)</f>
        <v>33.578911170599362</v>
      </c>
      <c r="M26" s="236"/>
      <c r="N26" s="236"/>
    </row>
    <row r="27" spans="1:14" x14ac:dyDescent="0.3">
      <c r="A27" s="237" t="str">
        <f>name!E$5</f>
        <v>Professional occupations</v>
      </c>
      <c r="B27" s="302">
        <v>5.5218138773278556</v>
      </c>
      <c r="C27" s="302">
        <v>10.372131290858833</v>
      </c>
      <c r="D27" s="302">
        <f t="shared" ref="D27:D34" si="28">SUM(B27:C27)</f>
        <v>15.89394516818669</v>
      </c>
      <c r="E27" s="303"/>
      <c r="F27" s="302">
        <v>12.395402960756764</v>
      </c>
      <c r="G27" s="302">
        <v>13.207948262703876</v>
      </c>
      <c r="H27" s="302">
        <f t="shared" ref="H27:H34" si="29">SUM(F27:G27)</f>
        <v>25.603351223460642</v>
      </c>
      <c r="I27" s="303"/>
      <c r="J27" s="302">
        <v>15.251520882044154</v>
      </c>
      <c r="K27" s="302">
        <v>19.942310344856416</v>
      </c>
      <c r="L27" s="302">
        <f t="shared" ref="L27:L34" si="30">SUM(J27:K27)</f>
        <v>35.193831226900571</v>
      </c>
      <c r="M27" s="236"/>
      <c r="N27" s="236"/>
    </row>
    <row r="28" spans="1:14" x14ac:dyDescent="0.3">
      <c r="A28" s="237" t="str">
        <f>name!E$6</f>
        <v>Associate professional occupations</v>
      </c>
      <c r="B28" s="302">
        <v>4.2259993876703881</v>
      </c>
      <c r="C28" s="302">
        <v>7.4214841667734177</v>
      </c>
      <c r="D28" s="302">
        <f t="shared" si="28"/>
        <v>11.647483554443806</v>
      </c>
      <c r="E28" s="303"/>
      <c r="F28" s="302">
        <v>8.1514200145406139</v>
      </c>
      <c r="G28" s="302">
        <v>8.2658688070029527</v>
      </c>
      <c r="H28" s="302">
        <f t="shared" si="29"/>
        <v>16.417288821543565</v>
      </c>
      <c r="I28" s="303"/>
      <c r="J28" s="302">
        <v>9.0918226846586148</v>
      </c>
      <c r="K28" s="302">
        <v>9.0613673264851542</v>
      </c>
      <c r="L28" s="302">
        <f t="shared" si="30"/>
        <v>18.153190011143771</v>
      </c>
      <c r="M28" s="236"/>
      <c r="N28" s="236"/>
    </row>
    <row r="29" spans="1:14" x14ac:dyDescent="0.3">
      <c r="A29" s="237" t="str">
        <f>name!E$7</f>
        <v>Administrative and secretarial occupations</v>
      </c>
      <c r="B29" s="302">
        <v>12.595020320031754</v>
      </c>
      <c r="C29" s="302">
        <v>4.325544761428608</v>
      </c>
      <c r="D29" s="302">
        <f t="shared" si="28"/>
        <v>16.92056508146036</v>
      </c>
      <c r="E29" s="303"/>
      <c r="F29" s="302">
        <v>18.167770418914291</v>
      </c>
      <c r="G29" s="302">
        <v>4.1786442322751132</v>
      </c>
      <c r="H29" s="302">
        <f t="shared" si="29"/>
        <v>22.346414651189406</v>
      </c>
      <c r="I29" s="303"/>
      <c r="J29" s="302">
        <v>12.805843528131009</v>
      </c>
      <c r="K29" s="302">
        <v>4.8083050392461013</v>
      </c>
      <c r="L29" s="302">
        <f t="shared" si="30"/>
        <v>17.614148567377111</v>
      </c>
      <c r="M29" s="236"/>
      <c r="N29" s="236"/>
    </row>
    <row r="30" spans="1:14" x14ac:dyDescent="0.3">
      <c r="A30" s="237" t="str">
        <f>name!E$8</f>
        <v>Skilled trades occupations</v>
      </c>
      <c r="B30" s="302">
        <v>33.769809075165568</v>
      </c>
      <c r="C30" s="302">
        <v>181.71273597970429</v>
      </c>
      <c r="D30" s="302">
        <f t="shared" si="28"/>
        <v>215.48254505486986</v>
      </c>
      <c r="E30" s="303"/>
      <c r="F30" s="302">
        <v>36.135188628509773</v>
      </c>
      <c r="G30" s="302">
        <v>157.16808701710389</v>
      </c>
      <c r="H30" s="302">
        <f t="shared" si="29"/>
        <v>193.30327564561367</v>
      </c>
      <c r="I30" s="303"/>
      <c r="J30" s="302">
        <v>41.827594241029452</v>
      </c>
      <c r="K30" s="302">
        <v>149.79387196288516</v>
      </c>
      <c r="L30" s="302">
        <f t="shared" si="30"/>
        <v>191.62146620391462</v>
      </c>
      <c r="M30" s="236"/>
      <c r="N30" s="236"/>
    </row>
    <row r="31" spans="1:14" x14ac:dyDescent="0.3">
      <c r="A31" s="237" t="str">
        <f>name!E$9</f>
        <v>Caring, leisure and other service occupations</v>
      </c>
      <c r="B31" s="302">
        <v>7.9340533091984442</v>
      </c>
      <c r="C31" s="302">
        <v>7.8211555293931028</v>
      </c>
      <c r="D31" s="302">
        <f t="shared" si="28"/>
        <v>15.755208838591546</v>
      </c>
      <c r="E31" s="303"/>
      <c r="F31" s="302">
        <v>11.831306407669146</v>
      </c>
      <c r="G31" s="302">
        <v>5.9923790485572441</v>
      </c>
      <c r="H31" s="302">
        <f t="shared" si="29"/>
        <v>17.823685456226389</v>
      </c>
      <c r="I31" s="303"/>
      <c r="J31" s="302">
        <v>10.198982377163107</v>
      </c>
      <c r="K31" s="302">
        <v>7.9391804498655985</v>
      </c>
      <c r="L31" s="302">
        <f t="shared" si="30"/>
        <v>18.138162827028705</v>
      </c>
      <c r="M31" s="236"/>
      <c r="N31" s="236"/>
    </row>
    <row r="32" spans="1:14" x14ac:dyDescent="0.3">
      <c r="A32" s="237" t="str">
        <f>name!E$10</f>
        <v>Sales and customer service occupations</v>
      </c>
      <c r="B32" s="302">
        <v>2.8719097912434672</v>
      </c>
      <c r="C32" s="302">
        <v>4.5672257199523756</v>
      </c>
      <c r="D32" s="302">
        <f t="shared" si="28"/>
        <v>7.4391355111958433</v>
      </c>
      <c r="E32" s="303"/>
      <c r="F32" s="302">
        <v>3.7334493904759518</v>
      </c>
      <c r="G32" s="302">
        <v>4.2830993975714282</v>
      </c>
      <c r="H32" s="302">
        <f t="shared" si="29"/>
        <v>8.0165487880473805</v>
      </c>
      <c r="I32" s="303"/>
      <c r="J32" s="302">
        <v>3.3144865427008789</v>
      </c>
      <c r="K32" s="302">
        <v>4.7205668641863632</v>
      </c>
      <c r="L32" s="302">
        <f t="shared" si="30"/>
        <v>8.0350534068872417</v>
      </c>
      <c r="M32" s="236"/>
      <c r="N32" s="236"/>
    </row>
    <row r="33" spans="1:18" x14ac:dyDescent="0.3">
      <c r="A33" s="237" t="str">
        <f>name!E$11</f>
        <v>Process, plant and machine operatives</v>
      </c>
      <c r="B33" s="302">
        <v>2.2117875472150552</v>
      </c>
      <c r="C33" s="302">
        <v>17.578465241602025</v>
      </c>
      <c r="D33" s="302">
        <f t="shared" si="28"/>
        <v>19.790252788817082</v>
      </c>
      <c r="E33" s="303"/>
      <c r="F33" s="302">
        <v>2.7706021554810358</v>
      </c>
      <c r="G33" s="302">
        <v>11.548229997128008</v>
      </c>
      <c r="H33" s="302">
        <f t="shared" si="29"/>
        <v>14.318832152609044</v>
      </c>
      <c r="I33" s="303"/>
      <c r="J33" s="302">
        <v>4.6803597024704624</v>
      </c>
      <c r="K33" s="302">
        <v>14.112315142943681</v>
      </c>
      <c r="L33" s="302">
        <f t="shared" si="30"/>
        <v>18.792674845414144</v>
      </c>
      <c r="M33" s="236"/>
      <c r="N33" s="236"/>
    </row>
    <row r="34" spans="1:18" x14ac:dyDescent="0.3">
      <c r="A34" s="237" t="str">
        <f>name!E$12</f>
        <v>Elementary occupations</v>
      </c>
      <c r="B34" s="302">
        <v>16.034090280102479</v>
      </c>
      <c r="C34" s="302">
        <v>46.645339685742989</v>
      </c>
      <c r="D34" s="302">
        <f t="shared" si="28"/>
        <v>62.679429965845472</v>
      </c>
      <c r="E34" s="303"/>
      <c r="F34" s="302">
        <v>18.185280200654109</v>
      </c>
      <c r="G34" s="302">
        <v>29.84046272157418</v>
      </c>
      <c r="H34" s="302">
        <f t="shared" si="29"/>
        <v>48.025742922228289</v>
      </c>
      <c r="I34" s="303"/>
      <c r="J34" s="302">
        <v>16.271997332800172</v>
      </c>
      <c r="K34" s="302">
        <v>27.778564405034878</v>
      </c>
      <c r="L34" s="302">
        <f t="shared" si="30"/>
        <v>44.050561737835054</v>
      </c>
      <c r="M34" s="236"/>
      <c r="N34" s="236"/>
    </row>
    <row r="35" spans="1:18" x14ac:dyDescent="0.3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3">
      <c r="A36" s="244" t="s">
        <v>32</v>
      </c>
      <c r="B36" s="311">
        <f>SUM(B26:B34)</f>
        <v>90.038000001047635</v>
      </c>
      <c r="C36" s="311">
        <f t="shared" ref="C36:K36" si="31">SUM(C26:C34)</f>
        <v>296.94900000046323</v>
      </c>
      <c r="D36" s="311">
        <f t="shared" si="31"/>
        <v>386.98700000151086</v>
      </c>
      <c r="E36" s="311"/>
      <c r="F36" s="311">
        <f t="shared" si="31"/>
        <v>119.58499999942065</v>
      </c>
      <c r="G36" s="311">
        <f t="shared" si="31"/>
        <v>252.41699999757387</v>
      </c>
      <c r="H36" s="311">
        <f t="shared" si="31"/>
        <v>372.00199999699453</v>
      </c>
      <c r="I36" s="311"/>
      <c r="J36" s="311">
        <f t="shared" si="31"/>
        <v>121.97199999983245</v>
      </c>
      <c r="K36" s="311">
        <f t="shared" si="31"/>
        <v>263.20599999726812</v>
      </c>
      <c r="L36" s="311">
        <f>SUM(L26:L34)</f>
        <v>385.17799999710053</v>
      </c>
      <c r="M36" s="236"/>
      <c r="N36" s="236"/>
    </row>
    <row r="37" spans="1:18" x14ac:dyDescent="0.3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3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35</v>
      </c>
      <c r="M38" s="236"/>
      <c r="N38" s="236"/>
    </row>
    <row r="39" spans="1:18" x14ac:dyDescent="0.3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3">
      <c r="A40" s="241" t="str">
        <f>name!A5</f>
        <v>Coal, oil &amp; gas; Mining &amp; related</v>
      </c>
      <c r="B40" s="373">
        <f>B$6</f>
        <v>2015</v>
      </c>
      <c r="C40" s="373"/>
      <c r="D40" s="373"/>
      <c r="E40" s="253"/>
      <c r="F40" s="373">
        <f>F23</f>
        <v>2020</v>
      </c>
      <c r="G40" s="373"/>
      <c r="H40" s="373"/>
      <c r="I40" s="253"/>
      <c r="J40" s="373">
        <f>J23</f>
        <v>2035</v>
      </c>
      <c r="K40" s="373"/>
      <c r="L40" s="373"/>
      <c r="M40" s="236"/>
      <c r="N40" s="236"/>
    </row>
    <row r="41" spans="1:18" x14ac:dyDescent="0.3">
      <c r="A41" s="254"/>
      <c r="B41" s="255" t="s">
        <v>352</v>
      </c>
      <c r="C41" s="255" t="s">
        <v>353</v>
      </c>
      <c r="D41" s="255" t="s">
        <v>32</v>
      </c>
      <c r="E41" s="255"/>
      <c r="F41" s="255" t="s">
        <v>352</v>
      </c>
      <c r="G41" s="255" t="s">
        <v>353</v>
      </c>
      <c r="H41" s="255" t="s">
        <v>32</v>
      </c>
      <c r="I41" s="255"/>
      <c r="J41" s="255" t="s">
        <v>352</v>
      </c>
      <c r="K41" s="255" t="s">
        <v>353</v>
      </c>
      <c r="L41" s="255" t="s">
        <v>32</v>
      </c>
      <c r="M41" s="236"/>
      <c r="N41" s="236"/>
    </row>
    <row r="42" spans="1:18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3">
      <c r="A43" s="237" t="str">
        <f>name!E$4</f>
        <v>Managers, directors and senior officials</v>
      </c>
      <c r="B43" s="302">
        <v>0.98512959666853606</v>
      </c>
      <c r="C43" s="302">
        <v>7.171788779145432</v>
      </c>
      <c r="D43" s="302">
        <f>SUM(B43:C43)</f>
        <v>8.1569183758139676</v>
      </c>
      <c r="E43" s="303"/>
      <c r="F43" s="302">
        <v>1.0477184538186179</v>
      </c>
      <c r="G43" s="302">
        <v>7.044123409567141</v>
      </c>
      <c r="H43" s="302">
        <f>SUM(F43:G43)</f>
        <v>8.0918418633857598</v>
      </c>
      <c r="I43" s="303"/>
      <c r="J43" s="302">
        <v>0.97817416457541906</v>
      </c>
      <c r="K43" s="302">
        <v>5.5969704540160805</v>
      </c>
      <c r="L43" s="302">
        <f>SUM(J43:K43)</f>
        <v>6.5751446185914997</v>
      </c>
      <c r="M43" s="236"/>
      <c r="N43" s="236"/>
    </row>
    <row r="44" spans="1:18" x14ac:dyDescent="0.3">
      <c r="A44" s="237" t="str">
        <f>name!E$5</f>
        <v>Professional occupations</v>
      </c>
      <c r="B44" s="302">
        <v>2.6859150531148734</v>
      </c>
      <c r="C44" s="302">
        <v>13.073908911701407</v>
      </c>
      <c r="D44" s="302">
        <f t="shared" ref="D44:D51" si="32">SUM(B44:C44)</f>
        <v>15.759823964816281</v>
      </c>
      <c r="E44" s="303"/>
      <c r="F44" s="302">
        <v>2.8358185826412381</v>
      </c>
      <c r="G44" s="302">
        <v>12.877825986485039</v>
      </c>
      <c r="H44" s="302">
        <f t="shared" ref="H44:H51" si="33">SUM(F44:G44)</f>
        <v>15.713644569126277</v>
      </c>
      <c r="I44" s="303"/>
      <c r="J44" s="302">
        <v>2.490177855666643</v>
      </c>
      <c r="K44" s="302">
        <v>11.955015660823435</v>
      </c>
      <c r="L44" s="302">
        <f t="shared" ref="L44:L51" si="34">SUM(J44:K44)</f>
        <v>14.445193516490077</v>
      </c>
      <c r="M44" s="236"/>
      <c r="N44" s="236"/>
    </row>
    <row r="45" spans="1:18" x14ac:dyDescent="0.3">
      <c r="A45" s="237" t="str">
        <f>name!E$6</f>
        <v>Associate professional occupations</v>
      </c>
      <c r="B45" s="302">
        <v>1.9423952801975795</v>
      </c>
      <c r="C45" s="302">
        <v>6.6837504359854396</v>
      </c>
      <c r="D45" s="302">
        <f t="shared" si="32"/>
        <v>8.6261457161830197</v>
      </c>
      <c r="E45" s="303"/>
      <c r="F45" s="302">
        <v>1.7825966579317833</v>
      </c>
      <c r="G45" s="302">
        <v>6.6431916491097143</v>
      </c>
      <c r="H45" s="302">
        <f t="shared" si="33"/>
        <v>8.4257883070414969</v>
      </c>
      <c r="I45" s="303"/>
      <c r="J45" s="302">
        <v>1.5397867208856246</v>
      </c>
      <c r="K45" s="302">
        <v>4.3984948535646602</v>
      </c>
      <c r="L45" s="302">
        <f t="shared" si="34"/>
        <v>5.9382815744502846</v>
      </c>
      <c r="M45" s="236"/>
      <c r="N45" s="236"/>
    </row>
    <row r="46" spans="1:18" x14ac:dyDescent="0.3">
      <c r="A46" s="237" t="str">
        <f>name!E$7</f>
        <v>Administrative and secretarial occupations</v>
      </c>
      <c r="B46" s="302">
        <v>4.0065949894482369</v>
      </c>
      <c r="C46" s="302">
        <v>2.3941350544538635</v>
      </c>
      <c r="D46" s="302">
        <f t="shared" si="32"/>
        <v>6.4007300439021009</v>
      </c>
      <c r="E46" s="303"/>
      <c r="F46" s="302">
        <v>3.3957141938045807</v>
      </c>
      <c r="G46" s="302">
        <v>2.1824668883467964</v>
      </c>
      <c r="H46" s="302">
        <f t="shared" si="33"/>
        <v>5.5781810821513771</v>
      </c>
      <c r="I46" s="303"/>
      <c r="J46" s="302">
        <v>1.6507946440224273</v>
      </c>
      <c r="K46" s="302">
        <v>1.7474579472675864</v>
      </c>
      <c r="L46" s="302">
        <f t="shared" si="34"/>
        <v>3.3982525912900137</v>
      </c>
      <c r="M46" s="236"/>
      <c r="N46" s="236"/>
    </row>
    <row r="47" spans="1:18" x14ac:dyDescent="0.3">
      <c r="A47" s="237" t="str">
        <f>name!E$8</f>
        <v>Skilled trades occupations</v>
      </c>
      <c r="B47" s="302">
        <v>0.19394618621614446</v>
      </c>
      <c r="C47" s="302">
        <v>12.948292927180164</v>
      </c>
      <c r="D47" s="302">
        <f t="shared" si="32"/>
        <v>13.142239113396309</v>
      </c>
      <c r="E47" s="303"/>
      <c r="F47" s="302">
        <v>0.18360786280042052</v>
      </c>
      <c r="G47" s="302">
        <v>8.7373188674803917</v>
      </c>
      <c r="H47" s="302">
        <f>SUM(F47:G47)</f>
        <v>8.9209267302808115</v>
      </c>
      <c r="I47" s="303"/>
      <c r="J47" s="302">
        <v>0.23696526782397642</v>
      </c>
      <c r="K47" s="302">
        <v>4.9288615259688004</v>
      </c>
      <c r="L47" s="302">
        <f t="shared" si="34"/>
        <v>5.1658267937927764</v>
      </c>
      <c r="M47" s="236"/>
      <c r="N47" s="236"/>
    </row>
    <row r="48" spans="1:18" x14ac:dyDescent="0.3">
      <c r="A48" s="237" t="str">
        <f>name!E$9</f>
        <v>Caring, leisure and other service occupations</v>
      </c>
      <c r="B48" s="302">
        <v>0.73330538632121112</v>
      </c>
      <c r="C48" s="302">
        <v>0.58574442382656289</v>
      </c>
      <c r="D48" s="302">
        <f t="shared" si="32"/>
        <v>1.3190498101477739</v>
      </c>
      <c r="E48" s="303"/>
      <c r="F48" s="302">
        <v>0.72477626322094113</v>
      </c>
      <c r="G48" s="302">
        <v>0.53489148065324943</v>
      </c>
      <c r="H48" s="302">
        <f t="shared" si="33"/>
        <v>1.2596677438741906</v>
      </c>
      <c r="I48" s="303"/>
      <c r="J48" s="302">
        <v>0.65804006161210349</v>
      </c>
      <c r="K48" s="302">
        <v>0.46833113917239644</v>
      </c>
      <c r="L48" s="302">
        <f t="shared" si="34"/>
        <v>1.1263712007844999</v>
      </c>
      <c r="M48" s="236"/>
      <c r="N48" s="236"/>
    </row>
    <row r="49" spans="1:14" x14ac:dyDescent="0.3">
      <c r="A49" s="237" t="str">
        <f>name!E$10</f>
        <v>Sales and customer service occupations</v>
      </c>
      <c r="B49" s="302">
        <v>0.7463901684513371</v>
      </c>
      <c r="C49" s="302">
        <v>1.0181244391608539</v>
      </c>
      <c r="D49" s="302">
        <f t="shared" si="32"/>
        <v>1.7645146076121909</v>
      </c>
      <c r="E49" s="303"/>
      <c r="F49" s="302">
        <v>0.66054904691902494</v>
      </c>
      <c r="G49" s="302">
        <v>0.79423489511134515</v>
      </c>
      <c r="H49" s="302">
        <f t="shared" si="33"/>
        <v>1.4547839420303701</v>
      </c>
      <c r="I49" s="303"/>
      <c r="J49" s="302">
        <v>0.45368463540733733</v>
      </c>
      <c r="K49" s="302">
        <v>0.67830920698273989</v>
      </c>
      <c r="L49" s="302">
        <f t="shared" si="34"/>
        <v>1.1319938423900773</v>
      </c>
      <c r="M49" s="236"/>
      <c r="N49" s="236"/>
    </row>
    <row r="50" spans="1:14" x14ac:dyDescent="0.3">
      <c r="A50" s="237" t="str">
        <f>name!E$11</f>
        <v>Process, plant and machine operatives</v>
      </c>
      <c r="B50" s="302">
        <v>0.19127085216904785</v>
      </c>
      <c r="C50" s="302">
        <v>14.604118034756262</v>
      </c>
      <c r="D50" s="302">
        <f t="shared" si="32"/>
        <v>14.795388886925309</v>
      </c>
      <c r="E50" s="303"/>
      <c r="F50" s="302">
        <v>0.14431382316762115</v>
      </c>
      <c r="G50" s="302">
        <v>10.598120824585132</v>
      </c>
      <c r="H50" s="302">
        <f t="shared" si="33"/>
        <v>10.742434647752754</v>
      </c>
      <c r="I50" s="303"/>
      <c r="J50" s="302">
        <v>0.12930656523414399</v>
      </c>
      <c r="K50" s="302">
        <v>7.836600089402137</v>
      </c>
      <c r="L50" s="302">
        <f t="shared" si="34"/>
        <v>7.9659066546362807</v>
      </c>
      <c r="M50" s="236"/>
      <c r="N50" s="236"/>
    </row>
    <row r="51" spans="1:14" x14ac:dyDescent="0.3">
      <c r="A51" s="237" t="str">
        <f>name!E$12</f>
        <v>Elementary occupations</v>
      </c>
      <c r="B51" s="302">
        <v>0.49505248735562712</v>
      </c>
      <c r="C51" s="302">
        <v>3.5411369934658379</v>
      </c>
      <c r="D51" s="302">
        <f t="shared" si="32"/>
        <v>4.0361894808214647</v>
      </c>
      <c r="E51" s="303"/>
      <c r="F51" s="302">
        <v>0.38990511565830044</v>
      </c>
      <c r="G51" s="302">
        <v>1.4128259986064973</v>
      </c>
      <c r="H51" s="302">
        <f t="shared" si="33"/>
        <v>1.8027311142647977</v>
      </c>
      <c r="I51" s="303"/>
      <c r="J51" s="302">
        <v>0.23707008484911693</v>
      </c>
      <c r="K51" s="302">
        <v>0.91395912289657644</v>
      </c>
      <c r="L51" s="302">
        <f t="shared" si="34"/>
        <v>1.1510292077456934</v>
      </c>
      <c r="M51" s="236"/>
      <c r="N51" s="236"/>
    </row>
    <row r="52" spans="1:14" x14ac:dyDescent="0.3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3">
      <c r="A53" s="244" t="s">
        <v>32</v>
      </c>
      <c r="B53" s="311">
        <f>SUM(B43:B51)</f>
        <v>11.979999999942594</v>
      </c>
      <c r="C53" s="311">
        <f t="shared" ref="C53:L53" si="35">SUM(C43:C51)</f>
        <v>62.020999999675823</v>
      </c>
      <c r="D53" s="311">
        <f t="shared" si="35"/>
        <v>74.000999999618415</v>
      </c>
      <c r="E53" s="311"/>
      <c r="F53" s="311">
        <f t="shared" si="35"/>
        <v>11.164999999962529</v>
      </c>
      <c r="G53" s="311">
        <f t="shared" si="35"/>
        <v>50.824999999945305</v>
      </c>
      <c r="H53" s="311">
        <f t="shared" si="35"/>
        <v>61.989999999907823</v>
      </c>
      <c r="I53" s="311"/>
      <c r="J53" s="311">
        <f t="shared" si="35"/>
        <v>8.3740000000767907</v>
      </c>
      <c r="K53" s="311">
        <f t="shared" si="35"/>
        <v>38.524000000094411</v>
      </c>
      <c r="L53" s="311">
        <f t="shared" si="35"/>
        <v>46.898000000171201</v>
      </c>
      <c r="M53" s="236"/>
      <c r="N53" s="236"/>
    </row>
    <row r="54" spans="1:14" x14ac:dyDescent="0.3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3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35</v>
      </c>
      <c r="M55" s="236"/>
      <c r="N55" s="236"/>
    </row>
    <row r="56" spans="1:14" x14ac:dyDescent="0.3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3">
      <c r="A57" s="241" t="str">
        <f>name!A6</f>
        <v>Food products</v>
      </c>
      <c r="B57" s="373">
        <f>B$6</f>
        <v>2015</v>
      </c>
      <c r="C57" s="373"/>
      <c r="D57" s="373"/>
      <c r="E57" s="253"/>
      <c r="F57" s="373">
        <f>F40</f>
        <v>2020</v>
      </c>
      <c r="G57" s="373"/>
      <c r="H57" s="373"/>
      <c r="I57" s="253"/>
      <c r="J57" s="373">
        <f>J40</f>
        <v>2035</v>
      </c>
      <c r="K57" s="373"/>
      <c r="L57" s="373"/>
      <c r="M57" s="236"/>
      <c r="N57" s="236"/>
    </row>
    <row r="58" spans="1:14" x14ac:dyDescent="0.3">
      <c r="A58" s="254"/>
      <c r="B58" s="255" t="s">
        <v>352</v>
      </c>
      <c r="C58" s="255" t="s">
        <v>353</v>
      </c>
      <c r="D58" s="255" t="s">
        <v>32</v>
      </c>
      <c r="E58" s="255"/>
      <c r="F58" s="255" t="s">
        <v>352</v>
      </c>
      <c r="G58" s="255" t="s">
        <v>353</v>
      </c>
      <c r="H58" s="255" t="s">
        <v>32</v>
      </c>
      <c r="I58" s="255"/>
      <c r="J58" s="255" t="s">
        <v>352</v>
      </c>
      <c r="K58" s="255" t="s">
        <v>353</v>
      </c>
      <c r="L58" s="255" t="s">
        <v>32</v>
      </c>
      <c r="M58" s="236"/>
      <c r="N58" s="236"/>
    </row>
    <row r="59" spans="1:14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3">
      <c r="A60" s="237" t="str">
        <f>name!E$4</f>
        <v>Managers, directors and senior officials</v>
      </c>
      <c r="B60" s="302">
        <v>9.0287393241381917</v>
      </c>
      <c r="C60" s="302">
        <v>20.198793104136346</v>
      </c>
      <c r="D60" s="302">
        <f>SUM(B60:C60)</f>
        <v>29.227532428274536</v>
      </c>
      <c r="E60" s="303"/>
      <c r="F60" s="302">
        <v>13.121794593073089</v>
      </c>
      <c r="G60" s="302">
        <v>25.977372167012355</v>
      </c>
      <c r="H60" s="302">
        <f>SUM(F60:G60)</f>
        <v>39.099166760085446</v>
      </c>
      <c r="I60" s="303"/>
      <c r="J60" s="302">
        <v>16.351419898774807</v>
      </c>
      <c r="K60" s="302">
        <v>24.870848975740504</v>
      </c>
      <c r="L60" s="302">
        <f>SUM(J60:K60)</f>
        <v>41.222268874515308</v>
      </c>
      <c r="M60" s="236"/>
      <c r="N60" s="236"/>
    </row>
    <row r="61" spans="1:14" x14ac:dyDescent="0.3">
      <c r="A61" s="237" t="str">
        <f>name!E$5</f>
        <v>Professional occupations</v>
      </c>
      <c r="B61" s="302">
        <v>9.3220826014409575</v>
      </c>
      <c r="C61" s="302">
        <v>13.749820988071123</v>
      </c>
      <c r="D61" s="302">
        <f t="shared" ref="D61:D68" si="36">SUM(B61:C61)</f>
        <v>23.071903589512083</v>
      </c>
      <c r="E61" s="303"/>
      <c r="F61" s="302">
        <v>14.713717640033463</v>
      </c>
      <c r="G61" s="302">
        <v>19.51666998477641</v>
      </c>
      <c r="H61" s="302">
        <f t="shared" ref="H61:H68" si="37">SUM(F61:G61)</f>
        <v>34.230387624809872</v>
      </c>
      <c r="I61" s="303"/>
      <c r="J61" s="302">
        <v>20.372706616540654</v>
      </c>
      <c r="K61" s="302">
        <v>24.287266319749484</v>
      </c>
      <c r="L61" s="302">
        <f t="shared" ref="L61:L68" si="38">SUM(J61:K61)</f>
        <v>44.659972936290139</v>
      </c>
      <c r="M61" s="236"/>
      <c r="N61" s="236"/>
    </row>
    <row r="62" spans="1:14" x14ac:dyDescent="0.3">
      <c r="A62" s="237" t="str">
        <f>name!E$6</f>
        <v>Associate professional occupations</v>
      </c>
      <c r="B62" s="302">
        <v>13.46678566418778</v>
      </c>
      <c r="C62" s="302">
        <v>19.373485759794868</v>
      </c>
      <c r="D62" s="302">
        <f t="shared" si="36"/>
        <v>32.840271423982649</v>
      </c>
      <c r="E62" s="303"/>
      <c r="F62" s="302">
        <v>18.698741130888592</v>
      </c>
      <c r="G62" s="302">
        <v>26.591093430211505</v>
      </c>
      <c r="H62" s="302">
        <f t="shared" si="37"/>
        <v>45.289834561100093</v>
      </c>
      <c r="I62" s="303"/>
      <c r="J62" s="302">
        <v>22.453134061957709</v>
      </c>
      <c r="K62" s="302">
        <v>23.760943734104391</v>
      </c>
      <c r="L62" s="302">
        <f t="shared" si="38"/>
        <v>46.214077796062099</v>
      </c>
      <c r="M62" s="236"/>
      <c r="N62" s="236"/>
    </row>
    <row r="63" spans="1:14" x14ac:dyDescent="0.3">
      <c r="A63" s="237" t="str">
        <f>name!E$7</f>
        <v>Administrative and secretarial occupations</v>
      </c>
      <c r="B63" s="302">
        <v>17.2415037744722</v>
      </c>
      <c r="C63" s="302">
        <v>10.803302627440052</v>
      </c>
      <c r="D63" s="302">
        <f t="shared" si="36"/>
        <v>28.044806401912254</v>
      </c>
      <c r="E63" s="303"/>
      <c r="F63" s="302">
        <v>18.810433876665876</v>
      </c>
      <c r="G63" s="302">
        <v>13.821120462250414</v>
      </c>
      <c r="H63" s="302">
        <f t="shared" si="37"/>
        <v>32.631554338916288</v>
      </c>
      <c r="I63" s="303"/>
      <c r="J63" s="302">
        <v>18.584164292795467</v>
      </c>
      <c r="K63" s="302">
        <v>12.462717902673493</v>
      </c>
      <c r="L63" s="302">
        <f t="shared" si="38"/>
        <v>31.04688219546896</v>
      </c>
      <c r="M63" s="236"/>
      <c r="N63" s="236"/>
    </row>
    <row r="64" spans="1:14" x14ac:dyDescent="0.3">
      <c r="A64" s="237" t="str">
        <f>name!E$8</f>
        <v>Skilled trades occupations</v>
      </c>
      <c r="B64" s="302">
        <v>11.608364689816026</v>
      </c>
      <c r="C64" s="302">
        <v>46.584476968452122</v>
      </c>
      <c r="D64" s="302">
        <f t="shared" si="36"/>
        <v>58.192841658268151</v>
      </c>
      <c r="E64" s="303"/>
      <c r="F64" s="302">
        <v>11.533729354866143</v>
      </c>
      <c r="G64" s="302">
        <v>40.602152226207458</v>
      </c>
      <c r="H64" s="302">
        <f t="shared" si="37"/>
        <v>52.135881581073605</v>
      </c>
      <c r="I64" s="303"/>
      <c r="J64" s="302">
        <v>9.5994734484183066</v>
      </c>
      <c r="K64" s="302">
        <v>36.424519696184873</v>
      </c>
      <c r="L64" s="302">
        <f t="shared" si="38"/>
        <v>46.023993144603182</v>
      </c>
      <c r="M64" s="236"/>
      <c r="N64" s="236"/>
    </row>
    <row r="65" spans="1:14" x14ac:dyDescent="0.3">
      <c r="A65" s="237" t="str">
        <f>name!E$9</f>
        <v>Caring, leisure and other service occupations</v>
      </c>
      <c r="B65" s="302">
        <v>1.3388397775721146</v>
      </c>
      <c r="C65" s="302">
        <v>1.4749461409241467</v>
      </c>
      <c r="D65" s="302">
        <f t="shared" si="36"/>
        <v>2.8137859184962615</v>
      </c>
      <c r="E65" s="303"/>
      <c r="F65" s="302">
        <v>1.3924625471409955</v>
      </c>
      <c r="G65" s="302">
        <v>1.8685765829607541</v>
      </c>
      <c r="H65" s="302">
        <f t="shared" si="37"/>
        <v>3.2610391301017496</v>
      </c>
      <c r="I65" s="303"/>
      <c r="J65" s="302">
        <v>1.4220362408273797</v>
      </c>
      <c r="K65" s="302">
        <v>1.8392954256378495</v>
      </c>
      <c r="L65" s="302">
        <f t="shared" si="38"/>
        <v>3.261331666465229</v>
      </c>
      <c r="M65" s="236"/>
      <c r="N65" s="236"/>
    </row>
    <row r="66" spans="1:14" x14ac:dyDescent="0.3">
      <c r="A66" s="237" t="str">
        <f>name!E$10</f>
        <v>Sales and customer service occupations</v>
      </c>
      <c r="B66" s="302">
        <v>7.8432499084003799</v>
      </c>
      <c r="C66" s="302">
        <v>7.8201846490365412</v>
      </c>
      <c r="D66" s="302">
        <f t="shared" si="36"/>
        <v>15.663434557436922</v>
      </c>
      <c r="E66" s="303"/>
      <c r="F66" s="302">
        <v>7.8432996203275618</v>
      </c>
      <c r="G66" s="302">
        <v>8.3299684116783457</v>
      </c>
      <c r="H66" s="302">
        <f t="shared" si="37"/>
        <v>16.173268032005907</v>
      </c>
      <c r="I66" s="303"/>
      <c r="J66" s="302">
        <v>7.990843956944814</v>
      </c>
      <c r="K66" s="302">
        <v>8.4458058920794858</v>
      </c>
      <c r="L66" s="302">
        <f t="shared" si="38"/>
        <v>16.436649849024299</v>
      </c>
      <c r="M66" s="236"/>
      <c r="N66" s="236"/>
    </row>
    <row r="67" spans="1:14" x14ac:dyDescent="0.3">
      <c r="A67" s="237" t="str">
        <f>name!E$11</f>
        <v>Process, plant and machine operatives</v>
      </c>
      <c r="B67" s="302">
        <v>36.014213577580108</v>
      </c>
      <c r="C67" s="302">
        <v>92.211306584812633</v>
      </c>
      <c r="D67" s="302">
        <f t="shared" si="36"/>
        <v>128.22552016239274</v>
      </c>
      <c r="E67" s="303"/>
      <c r="F67" s="302">
        <v>33.093792275469205</v>
      </c>
      <c r="G67" s="302">
        <v>85.391070409462017</v>
      </c>
      <c r="H67" s="302">
        <f t="shared" si="37"/>
        <v>118.48486268493122</v>
      </c>
      <c r="I67" s="303"/>
      <c r="J67" s="302">
        <v>34.566353382954262</v>
      </c>
      <c r="K67" s="302">
        <v>86.748624448733807</v>
      </c>
      <c r="L67" s="302">
        <f t="shared" si="38"/>
        <v>121.31497783168807</v>
      </c>
      <c r="M67" s="236"/>
      <c r="N67" s="236"/>
    </row>
    <row r="68" spans="1:14" x14ac:dyDescent="0.3">
      <c r="A68" s="237" t="str">
        <f>name!E$12</f>
        <v>Elementary occupations</v>
      </c>
      <c r="B68" s="302">
        <v>32.471220683365139</v>
      </c>
      <c r="C68" s="302">
        <v>35.737683178121536</v>
      </c>
      <c r="D68" s="302">
        <f t="shared" si="36"/>
        <v>68.208903861486675</v>
      </c>
      <c r="E68" s="303"/>
      <c r="F68" s="302">
        <v>27.830028961706471</v>
      </c>
      <c r="G68" s="302">
        <v>34.21797632537109</v>
      </c>
      <c r="H68" s="302">
        <f t="shared" si="37"/>
        <v>62.048005287077558</v>
      </c>
      <c r="I68" s="303"/>
      <c r="J68" s="302">
        <v>24.859868100102265</v>
      </c>
      <c r="K68" s="302">
        <v>25.892977606186971</v>
      </c>
      <c r="L68" s="302">
        <f t="shared" si="38"/>
        <v>50.752845706289236</v>
      </c>
      <c r="M68" s="236"/>
      <c r="N68" s="236"/>
    </row>
    <row r="69" spans="1:14" x14ac:dyDescent="0.3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3">
      <c r="A70" s="244" t="s">
        <v>32</v>
      </c>
      <c r="B70" s="311">
        <f>SUM(B60:B68)</f>
        <v>138.33500000097288</v>
      </c>
      <c r="C70" s="311">
        <f t="shared" ref="C70:L70" si="39">SUM(C60:C68)</f>
        <v>247.95400000078936</v>
      </c>
      <c r="D70" s="311">
        <f t="shared" si="39"/>
        <v>386.28900000176225</v>
      </c>
      <c r="E70" s="311"/>
      <c r="F70" s="311">
        <f t="shared" si="39"/>
        <v>147.03800000017137</v>
      </c>
      <c r="G70" s="311">
        <f t="shared" si="39"/>
        <v>256.31599999993034</v>
      </c>
      <c r="H70" s="311">
        <f t="shared" si="39"/>
        <v>403.35400000010173</v>
      </c>
      <c r="I70" s="311"/>
      <c r="J70" s="311">
        <f t="shared" si="39"/>
        <v>156.19999999931568</v>
      </c>
      <c r="K70" s="311">
        <f t="shared" si="39"/>
        <v>244.73300000109086</v>
      </c>
      <c r="L70" s="311">
        <f t="shared" si="39"/>
        <v>400.93300000040648</v>
      </c>
      <c r="M70" s="236"/>
      <c r="N70" s="236"/>
    </row>
    <row r="71" spans="1:14" x14ac:dyDescent="0.3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3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35</v>
      </c>
      <c r="M72" s="236"/>
      <c r="N72" s="236"/>
    </row>
    <row r="73" spans="1:14" x14ac:dyDescent="0.3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3">
      <c r="A74" s="241" t="str">
        <f>name!A7</f>
        <v>Beverages and tobacco</v>
      </c>
      <c r="B74" s="373">
        <f>B$6</f>
        <v>2015</v>
      </c>
      <c r="C74" s="373"/>
      <c r="D74" s="373"/>
      <c r="E74" s="253"/>
      <c r="F74" s="373">
        <f>F57</f>
        <v>2020</v>
      </c>
      <c r="G74" s="373"/>
      <c r="H74" s="373"/>
      <c r="I74" s="253"/>
      <c r="J74" s="373">
        <f>J57</f>
        <v>2035</v>
      </c>
      <c r="K74" s="373"/>
      <c r="L74" s="373"/>
      <c r="M74" s="236"/>
      <c r="N74" s="236"/>
    </row>
    <row r="75" spans="1:14" x14ac:dyDescent="0.3">
      <c r="A75" s="254"/>
      <c r="B75" s="255" t="s">
        <v>352</v>
      </c>
      <c r="C75" s="255" t="s">
        <v>353</v>
      </c>
      <c r="D75" s="255" t="s">
        <v>32</v>
      </c>
      <c r="E75" s="255"/>
      <c r="F75" s="255" t="s">
        <v>352</v>
      </c>
      <c r="G75" s="255" t="s">
        <v>353</v>
      </c>
      <c r="H75" s="255" t="s">
        <v>32</v>
      </c>
      <c r="I75" s="255"/>
      <c r="J75" s="255" t="s">
        <v>352</v>
      </c>
      <c r="K75" s="255" t="s">
        <v>353</v>
      </c>
      <c r="L75" s="255" t="s">
        <v>32</v>
      </c>
      <c r="M75" s="236"/>
      <c r="N75" s="236"/>
    </row>
    <row r="76" spans="1:14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3">
      <c r="A77" s="237" t="str">
        <f>name!E$4</f>
        <v>Managers, directors and senior officials</v>
      </c>
      <c r="B77" s="302">
        <v>1.7175283080902808</v>
      </c>
      <c r="C77" s="302">
        <v>3.3265034292068254</v>
      </c>
      <c r="D77" s="302">
        <f>SUM(B77:C77)</f>
        <v>5.0440317372971064</v>
      </c>
      <c r="E77" s="303"/>
      <c r="F77" s="302">
        <v>2.4446006030923151</v>
      </c>
      <c r="G77" s="302">
        <v>4.6232470451228043</v>
      </c>
      <c r="H77" s="302">
        <f>SUM(F77:G77)</f>
        <v>7.0678476482151193</v>
      </c>
      <c r="I77" s="303"/>
      <c r="J77" s="302">
        <v>2.9165684045990141</v>
      </c>
      <c r="K77" s="302">
        <v>4.3121645846847043</v>
      </c>
      <c r="L77" s="302">
        <f>SUM(J77:K77)</f>
        <v>7.2287329892837189</v>
      </c>
      <c r="M77" s="236"/>
      <c r="N77" s="236"/>
    </row>
    <row r="78" spans="1:14" x14ac:dyDescent="0.3">
      <c r="A78" s="237" t="str">
        <f>name!E$5</f>
        <v>Professional occupations</v>
      </c>
      <c r="B78" s="302">
        <v>1.7469694670356126</v>
      </c>
      <c r="C78" s="302">
        <v>3.8772210298943821</v>
      </c>
      <c r="D78" s="302">
        <f t="shared" ref="D78:D85" si="40">SUM(B78:C78)</f>
        <v>5.6241904969299945</v>
      </c>
      <c r="E78" s="303"/>
      <c r="F78" s="302">
        <v>2.7833739101007393</v>
      </c>
      <c r="G78" s="302">
        <v>5.6353385920564394</v>
      </c>
      <c r="H78" s="302">
        <f t="shared" ref="H78:H85" si="41">SUM(F78:G78)</f>
        <v>8.4187125021571791</v>
      </c>
      <c r="I78" s="303"/>
      <c r="J78" s="302">
        <v>3.2202040709956035</v>
      </c>
      <c r="K78" s="302">
        <v>6.6868925359789468</v>
      </c>
      <c r="L78" s="302">
        <f t="shared" ref="L78:L85" si="42">SUM(J78:K78)</f>
        <v>9.9070966069745499</v>
      </c>
      <c r="M78" s="236"/>
      <c r="N78" s="236"/>
    </row>
    <row r="79" spans="1:14" x14ac:dyDescent="0.3">
      <c r="A79" s="237" t="str">
        <f>name!E$6</f>
        <v>Associate professional occupations</v>
      </c>
      <c r="B79" s="302">
        <v>2.2822555556181672</v>
      </c>
      <c r="C79" s="302">
        <v>3.9005787296916741</v>
      </c>
      <c r="D79" s="302">
        <f t="shared" si="40"/>
        <v>6.1828342853098412</v>
      </c>
      <c r="E79" s="303"/>
      <c r="F79" s="302">
        <v>3.3116334421615168</v>
      </c>
      <c r="G79" s="302">
        <v>5.439525926308546</v>
      </c>
      <c r="H79" s="302">
        <f t="shared" si="41"/>
        <v>8.7511593684700628</v>
      </c>
      <c r="I79" s="303"/>
      <c r="J79" s="302">
        <v>3.487976354015299</v>
      </c>
      <c r="K79" s="302">
        <v>4.9439705294794516</v>
      </c>
      <c r="L79" s="302">
        <f t="shared" si="42"/>
        <v>8.4319468834947511</v>
      </c>
      <c r="M79" s="236"/>
      <c r="N79" s="236"/>
    </row>
    <row r="80" spans="1:14" x14ac:dyDescent="0.3">
      <c r="A80" s="237" t="str">
        <f>name!E$7</f>
        <v>Administrative and secretarial occupations</v>
      </c>
      <c r="B80" s="302">
        <v>3.1152259321081783</v>
      </c>
      <c r="C80" s="302">
        <v>0.80130387428138938</v>
      </c>
      <c r="D80" s="302">
        <f t="shared" si="40"/>
        <v>3.9165298063895677</v>
      </c>
      <c r="E80" s="303"/>
      <c r="F80" s="302">
        <v>3.4336595677170925</v>
      </c>
      <c r="G80" s="302">
        <v>1.1626100510284141</v>
      </c>
      <c r="H80" s="302">
        <f t="shared" si="41"/>
        <v>4.5962696187455068</v>
      </c>
      <c r="I80" s="303"/>
      <c r="J80" s="302">
        <v>2.6135156122041789</v>
      </c>
      <c r="K80" s="302">
        <v>1.1415711948969416</v>
      </c>
      <c r="L80" s="302">
        <f t="shared" si="42"/>
        <v>3.7550868071011205</v>
      </c>
      <c r="M80" s="236"/>
      <c r="N80" s="236"/>
    </row>
    <row r="81" spans="1:14" x14ac:dyDescent="0.3">
      <c r="A81" s="237" t="str">
        <f>name!E$8</f>
        <v>Skilled trades occupations</v>
      </c>
      <c r="B81" s="302">
        <v>0.44334059620524613</v>
      </c>
      <c r="C81" s="302">
        <v>3.1596525134401863</v>
      </c>
      <c r="D81" s="302">
        <f t="shared" si="40"/>
        <v>3.6029931096454324</v>
      </c>
      <c r="E81" s="303"/>
      <c r="F81" s="302">
        <v>0.5155409089053542</v>
      </c>
      <c r="G81" s="302">
        <v>3.0881527929348316</v>
      </c>
      <c r="H81" s="302">
        <f t="shared" si="41"/>
        <v>3.6036937018401858</v>
      </c>
      <c r="I81" s="303"/>
      <c r="J81" s="302">
        <v>0.68622031317811605</v>
      </c>
      <c r="K81" s="302">
        <v>2.4498828683437637</v>
      </c>
      <c r="L81" s="302">
        <f t="shared" si="42"/>
        <v>3.1361031815218796</v>
      </c>
      <c r="M81" s="236"/>
      <c r="N81" s="236"/>
    </row>
    <row r="82" spans="1:14" x14ac:dyDescent="0.3">
      <c r="A82" s="237" t="str">
        <f>name!E$9</f>
        <v>Caring, leisure and other service occupations</v>
      </c>
      <c r="B82" s="302">
        <v>1.0656171680326001</v>
      </c>
      <c r="C82" s="302">
        <v>0.33414830618617303</v>
      </c>
      <c r="D82" s="302">
        <f t="shared" si="40"/>
        <v>1.3997654742187731</v>
      </c>
      <c r="E82" s="303"/>
      <c r="F82" s="302">
        <v>1.1702103392190053</v>
      </c>
      <c r="G82" s="302">
        <v>0.50893931132316905</v>
      </c>
      <c r="H82" s="302">
        <f t="shared" si="41"/>
        <v>1.6791496505421744</v>
      </c>
      <c r="I82" s="303"/>
      <c r="J82" s="302">
        <v>1.1324621139091944</v>
      </c>
      <c r="K82" s="302">
        <v>0.6411638782542034</v>
      </c>
      <c r="L82" s="302">
        <f t="shared" si="42"/>
        <v>1.7736259921633977</v>
      </c>
      <c r="M82" s="236"/>
      <c r="N82" s="236"/>
    </row>
    <row r="83" spans="1:14" x14ac:dyDescent="0.3">
      <c r="A83" s="237" t="str">
        <f>name!E$10</f>
        <v>Sales and customer service occupations</v>
      </c>
      <c r="B83" s="302">
        <v>1.1353231222098392</v>
      </c>
      <c r="C83" s="302">
        <v>1.0824819779452579</v>
      </c>
      <c r="D83" s="302">
        <f t="shared" si="40"/>
        <v>2.2178051001550969</v>
      </c>
      <c r="E83" s="303"/>
      <c r="F83" s="302">
        <v>1.3214580716525348</v>
      </c>
      <c r="G83" s="302">
        <v>1.3657624308447105</v>
      </c>
      <c r="H83" s="302">
        <f t="shared" si="41"/>
        <v>2.6872205024972455</v>
      </c>
      <c r="I83" s="303"/>
      <c r="J83" s="302">
        <v>1.3800114399411563</v>
      </c>
      <c r="K83" s="302">
        <v>1.469466204045982</v>
      </c>
      <c r="L83" s="302">
        <f t="shared" si="42"/>
        <v>2.8494776439871385</v>
      </c>
      <c r="M83" s="236"/>
      <c r="N83" s="236"/>
    </row>
    <row r="84" spans="1:14" x14ac:dyDescent="0.3">
      <c r="A84" s="237" t="str">
        <f>name!E$11</f>
        <v>Process, plant and machine operatives</v>
      </c>
      <c r="B84" s="302">
        <v>0.79075790077881791</v>
      </c>
      <c r="C84" s="302">
        <v>7.2570983526879225</v>
      </c>
      <c r="D84" s="302">
        <f t="shared" si="40"/>
        <v>8.0478562534667404</v>
      </c>
      <c r="E84" s="303"/>
      <c r="F84" s="302">
        <v>0.72651940653483604</v>
      </c>
      <c r="G84" s="302">
        <v>7.2195804111721902</v>
      </c>
      <c r="H84" s="302">
        <f t="shared" si="41"/>
        <v>7.9460998177070259</v>
      </c>
      <c r="I84" s="303"/>
      <c r="J84" s="302">
        <v>0.90357384524036133</v>
      </c>
      <c r="K84" s="302">
        <v>7.0912506308624961</v>
      </c>
      <c r="L84" s="302">
        <f t="shared" si="42"/>
        <v>7.9948244761028571</v>
      </c>
      <c r="M84" s="236"/>
      <c r="N84" s="236"/>
    </row>
    <row r="85" spans="1:14" x14ac:dyDescent="0.3">
      <c r="A85" s="237" t="str">
        <f>name!E$12</f>
        <v>Elementary occupations</v>
      </c>
      <c r="B85" s="302">
        <v>1.6099819498999504</v>
      </c>
      <c r="C85" s="302">
        <v>2.8710117867124589</v>
      </c>
      <c r="D85" s="302">
        <f t="shared" si="40"/>
        <v>4.4809937366124091</v>
      </c>
      <c r="E85" s="303"/>
      <c r="F85" s="302">
        <v>1.3280037505917848</v>
      </c>
      <c r="G85" s="302">
        <v>2.8298434390465252</v>
      </c>
      <c r="H85" s="302">
        <f t="shared" si="41"/>
        <v>4.1578471896383098</v>
      </c>
      <c r="I85" s="303"/>
      <c r="J85" s="302">
        <v>0.99546784588601989</v>
      </c>
      <c r="K85" s="302">
        <v>1.8806375734586438</v>
      </c>
      <c r="L85" s="302">
        <f t="shared" si="42"/>
        <v>2.8761054193446638</v>
      </c>
      <c r="M85" s="236"/>
      <c r="N85" s="236"/>
    </row>
    <row r="86" spans="1:14" x14ac:dyDescent="0.3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3">
      <c r="A87" s="244" t="s">
        <v>32</v>
      </c>
      <c r="B87" s="311">
        <f>SUM(B77:B85)</f>
        <v>13.906999999978694</v>
      </c>
      <c r="C87" s="311">
        <f t="shared" ref="C87:D87" si="43">SUM(C77:C85)</f>
        <v>26.610000000046266</v>
      </c>
      <c r="D87" s="311">
        <f t="shared" si="43"/>
        <v>40.517000000024964</v>
      </c>
      <c r="E87" s="311"/>
      <c r="F87" s="311">
        <f t="shared" ref="F87:H87" si="44">SUM(F77:F85)</f>
        <v>17.034999999975177</v>
      </c>
      <c r="G87" s="311">
        <f t="shared" si="44"/>
        <v>31.872999999837628</v>
      </c>
      <c r="H87" s="311">
        <f t="shared" si="44"/>
        <v>48.907999999812809</v>
      </c>
      <c r="I87" s="311"/>
      <c r="J87" s="311">
        <f t="shared" ref="J87:L87" si="45">SUM(J77:J85)</f>
        <v>17.335999999968944</v>
      </c>
      <c r="K87" s="311">
        <f t="shared" si="45"/>
        <v>30.617000000005131</v>
      </c>
      <c r="L87" s="311">
        <f t="shared" si="45"/>
        <v>47.952999999974075</v>
      </c>
      <c r="M87" s="236"/>
      <c r="N87" s="236"/>
    </row>
    <row r="88" spans="1:14" x14ac:dyDescent="0.3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3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35</v>
      </c>
      <c r="M89" s="236"/>
      <c r="N89" s="236"/>
    </row>
    <row r="90" spans="1:14" x14ac:dyDescent="0.3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3">
      <c r="A91" s="241" t="str">
        <f>name!A8</f>
        <v>Textiles</v>
      </c>
      <c r="B91" s="373">
        <f>B$6</f>
        <v>2015</v>
      </c>
      <c r="C91" s="373"/>
      <c r="D91" s="373"/>
      <c r="E91" s="253"/>
      <c r="F91" s="373">
        <f>F74</f>
        <v>2020</v>
      </c>
      <c r="G91" s="373"/>
      <c r="H91" s="373"/>
      <c r="I91" s="253"/>
      <c r="J91" s="373">
        <f>J74</f>
        <v>2035</v>
      </c>
      <c r="K91" s="373"/>
      <c r="L91" s="373"/>
      <c r="M91" s="236"/>
      <c r="N91" s="236"/>
    </row>
    <row r="92" spans="1:14" x14ac:dyDescent="0.3">
      <c r="A92" s="254"/>
      <c r="B92" s="255" t="s">
        <v>352</v>
      </c>
      <c r="C92" s="255" t="s">
        <v>353</v>
      </c>
      <c r="D92" s="255" t="s">
        <v>32</v>
      </c>
      <c r="E92" s="255"/>
      <c r="F92" s="255" t="s">
        <v>352</v>
      </c>
      <c r="G92" s="255" t="s">
        <v>353</v>
      </c>
      <c r="H92" s="255" t="s">
        <v>32</v>
      </c>
      <c r="I92" s="255"/>
      <c r="J92" s="255" t="s">
        <v>352</v>
      </c>
      <c r="K92" s="255" t="s">
        <v>353</v>
      </c>
      <c r="L92" s="255" t="s">
        <v>32</v>
      </c>
      <c r="M92" s="236"/>
      <c r="N92" s="236"/>
    </row>
    <row r="93" spans="1:14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3">
      <c r="A94" s="237" t="str">
        <f>name!E$4</f>
        <v>Managers, directors and senior officials</v>
      </c>
      <c r="B94" s="302">
        <v>1.5511296567160344</v>
      </c>
      <c r="C94" s="302">
        <v>5.4551558305249106</v>
      </c>
      <c r="D94" s="302">
        <f>SUM(B94:C94)</f>
        <v>7.0062854872409446</v>
      </c>
      <c r="E94" s="303"/>
      <c r="F94" s="302">
        <v>2.7634295873527925</v>
      </c>
      <c r="G94" s="302">
        <v>7.175448637904414</v>
      </c>
      <c r="H94" s="302">
        <f>SUM(F94:G94)</f>
        <v>9.9388782252572057</v>
      </c>
      <c r="I94" s="303"/>
      <c r="J94" s="302">
        <v>2.35699187845097</v>
      </c>
      <c r="K94" s="302">
        <v>5.5233087909138323</v>
      </c>
      <c r="L94" s="302">
        <f>SUM(J94:K94)</f>
        <v>7.8803006693648019</v>
      </c>
      <c r="M94" s="236"/>
      <c r="N94" s="236"/>
    </row>
    <row r="95" spans="1:14" x14ac:dyDescent="0.3">
      <c r="A95" s="237" t="str">
        <f>name!E$5</f>
        <v>Professional occupations</v>
      </c>
      <c r="B95" s="302">
        <v>1.4014307376123802</v>
      </c>
      <c r="C95" s="302">
        <v>3.1241665991185235</v>
      </c>
      <c r="D95" s="302">
        <f t="shared" ref="D95:D102" si="46">SUM(B95:C95)</f>
        <v>4.5255973367309039</v>
      </c>
      <c r="E95" s="303"/>
      <c r="F95" s="302">
        <v>2.3323219011883016</v>
      </c>
      <c r="G95" s="302">
        <v>4.4795587471424057</v>
      </c>
      <c r="H95" s="302">
        <f t="shared" ref="H95:H102" si="47">SUM(F95:G95)</f>
        <v>6.8118806483307068</v>
      </c>
      <c r="I95" s="303"/>
      <c r="J95" s="302">
        <v>1.9825199334645531</v>
      </c>
      <c r="K95" s="302">
        <v>4.1143918387363083</v>
      </c>
      <c r="L95" s="302">
        <f t="shared" ref="L95:L102" si="48">SUM(J95:K95)</f>
        <v>6.0969117722008619</v>
      </c>
      <c r="M95" s="236"/>
      <c r="N95" s="236"/>
    </row>
    <row r="96" spans="1:14" x14ac:dyDescent="0.3">
      <c r="A96" s="237" t="str">
        <f>name!E$6</f>
        <v>Associate professional occupations</v>
      </c>
      <c r="B96" s="302">
        <v>2.3337973636028493</v>
      </c>
      <c r="C96" s="302">
        <v>2.7404495415255608</v>
      </c>
      <c r="D96" s="302">
        <f t="shared" si="46"/>
        <v>5.07424690512841</v>
      </c>
      <c r="E96" s="303"/>
      <c r="F96" s="302">
        <v>3.5846381639359119</v>
      </c>
      <c r="G96" s="302">
        <v>3.5050158772541065</v>
      </c>
      <c r="H96" s="302">
        <f t="shared" si="47"/>
        <v>7.089654041190018</v>
      </c>
      <c r="I96" s="303"/>
      <c r="J96" s="302">
        <v>2.7907352902414488</v>
      </c>
      <c r="K96" s="302">
        <v>2.5861583539221846</v>
      </c>
      <c r="L96" s="302">
        <f t="shared" si="48"/>
        <v>5.3768936441636335</v>
      </c>
      <c r="M96" s="236"/>
      <c r="N96" s="236"/>
    </row>
    <row r="97" spans="1:14" x14ac:dyDescent="0.3">
      <c r="A97" s="237" t="str">
        <f>name!E$7</f>
        <v>Administrative and secretarial occupations</v>
      </c>
      <c r="B97" s="302">
        <v>2.8295770956526538</v>
      </c>
      <c r="C97" s="302">
        <v>1.6749744221434155</v>
      </c>
      <c r="D97" s="302">
        <f t="shared" si="46"/>
        <v>4.5045515177960693</v>
      </c>
      <c r="E97" s="303"/>
      <c r="F97" s="302">
        <v>3.6378172659056047</v>
      </c>
      <c r="G97" s="302">
        <v>2.2476691615262721</v>
      </c>
      <c r="H97" s="302">
        <f t="shared" si="47"/>
        <v>5.8854864274318768</v>
      </c>
      <c r="I97" s="303"/>
      <c r="J97" s="302">
        <v>2.3122202166035626</v>
      </c>
      <c r="K97" s="302">
        <v>1.7561497872382987</v>
      </c>
      <c r="L97" s="302">
        <f t="shared" si="48"/>
        <v>4.0683700038418618</v>
      </c>
      <c r="M97" s="236"/>
      <c r="N97" s="236"/>
    </row>
    <row r="98" spans="1:14" x14ac:dyDescent="0.3">
      <c r="A98" s="237" t="str">
        <f>name!E$8</f>
        <v>Skilled trades occupations</v>
      </c>
      <c r="B98" s="302">
        <v>2.8761726971139949</v>
      </c>
      <c r="C98" s="302">
        <v>7.6668638019676587</v>
      </c>
      <c r="D98" s="302">
        <f t="shared" si="46"/>
        <v>10.543036499081653</v>
      </c>
      <c r="E98" s="303"/>
      <c r="F98" s="302">
        <v>3.6068440074354648</v>
      </c>
      <c r="G98" s="302">
        <v>7.0927839121445704</v>
      </c>
      <c r="H98" s="302">
        <f t="shared" si="47"/>
        <v>10.699627919580035</v>
      </c>
      <c r="I98" s="303"/>
      <c r="J98" s="302">
        <v>2.0163879530056774</v>
      </c>
      <c r="K98" s="302">
        <v>4.5324453235704842</v>
      </c>
      <c r="L98" s="302">
        <f t="shared" si="48"/>
        <v>6.5488332765761612</v>
      </c>
      <c r="M98" s="236"/>
      <c r="N98" s="236"/>
    </row>
    <row r="99" spans="1:14" x14ac:dyDescent="0.3">
      <c r="A99" s="237" t="str">
        <f>name!E$9</f>
        <v>Caring, leisure and other service occupations</v>
      </c>
      <c r="B99" s="302">
        <v>1.0184435318467737</v>
      </c>
      <c r="C99" s="302">
        <v>0.1378433716215407</v>
      </c>
      <c r="D99" s="302">
        <f t="shared" si="46"/>
        <v>1.1562869034683145</v>
      </c>
      <c r="E99" s="303"/>
      <c r="F99" s="302">
        <v>1.6359892817323851</v>
      </c>
      <c r="G99" s="302">
        <v>0.23203863409469924</v>
      </c>
      <c r="H99" s="302">
        <f t="shared" si="47"/>
        <v>1.8680279158270843</v>
      </c>
      <c r="I99" s="303"/>
      <c r="J99" s="302">
        <v>1.2044496704342043</v>
      </c>
      <c r="K99" s="302">
        <v>0.22531477417488879</v>
      </c>
      <c r="L99" s="302">
        <f t="shared" si="48"/>
        <v>1.4297644446090931</v>
      </c>
      <c r="M99" s="236"/>
      <c r="N99" s="236"/>
    </row>
    <row r="100" spans="1:14" x14ac:dyDescent="0.3">
      <c r="A100" s="237" t="str">
        <f>name!E$10</f>
        <v>Sales and customer service occupations</v>
      </c>
      <c r="B100" s="302">
        <v>1.8182277439414998</v>
      </c>
      <c r="C100" s="302">
        <v>1.2843485633650282</v>
      </c>
      <c r="D100" s="302">
        <f t="shared" si="46"/>
        <v>3.1025763073065278</v>
      </c>
      <c r="E100" s="303"/>
      <c r="F100" s="302">
        <v>2.0257018481787026</v>
      </c>
      <c r="G100" s="302">
        <v>1.5987171376679303</v>
      </c>
      <c r="H100" s="302">
        <f t="shared" si="47"/>
        <v>3.6244189858466331</v>
      </c>
      <c r="I100" s="303"/>
      <c r="J100" s="302">
        <v>1.4306106054058338</v>
      </c>
      <c r="K100" s="302">
        <v>1.2601784666010321</v>
      </c>
      <c r="L100" s="302">
        <f t="shared" si="48"/>
        <v>2.6907890720068659</v>
      </c>
      <c r="M100" s="236"/>
      <c r="N100" s="236"/>
    </row>
    <row r="101" spans="1:14" x14ac:dyDescent="0.3">
      <c r="A101" s="237" t="str">
        <f>name!E$11</f>
        <v>Process, plant and machine operatives</v>
      </c>
      <c r="B101" s="302">
        <v>6.5976853056981355</v>
      </c>
      <c r="C101" s="302">
        <v>9.0403329167797271</v>
      </c>
      <c r="D101" s="302">
        <f t="shared" si="46"/>
        <v>15.638018222477863</v>
      </c>
      <c r="E101" s="303"/>
      <c r="F101" s="302">
        <v>7.4523102344828542</v>
      </c>
      <c r="G101" s="302">
        <v>8.5776570773336793</v>
      </c>
      <c r="H101" s="302">
        <f t="shared" si="47"/>
        <v>16.029967311816534</v>
      </c>
      <c r="I101" s="303"/>
      <c r="J101" s="302">
        <v>6.3495437606869336</v>
      </c>
      <c r="K101" s="302">
        <v>7.1230052829772008</v>
      </c>
      <c r="L101" s="302">
        <f t="shared" si="48"/>
        <v>13.472549043664134</v>
      </c>
      <c r="M101" s="236"/>
      <c r="N101" s="236"/>
    </row>
    <row r="102" spans="1:14" x14ac:dyDescent="0.3">
      <c r="A102" s="237" t="str">
        <f>name!E$12</f>
        <v>Elementary occupations</v>
      </c>
      <c r="B102" s="302">
        <v>2.4555358680233796</v>
      </c>
      <c r="C102" s="302">
        <v>3.6338649529792031</v>
      </c>
      <c r="D102" s="302">
        <f t="shared" si="46"/>
        <v>6.0894008210025827</v>
      </c>
      <c r="E102" s="303"/>
      <c r="F102" s="302">
        <v>2.6199477097868584</v>
      </c>
      <c r="G102" s="302">
        <v>3.646110814906665</v>
      </c>
      <c r="H102" s="302">
        <f t="shared" si="47"/>
        <v>6.2660585246935234</v>
      </c>
      <c r="I102" s="303"/>
      <c r="J102" s="302">
        <v>1.9285406917548982</v>
      </c>
      <c r="K102" s="302">
        <v>2.0870473819611051</v>
      </c>
      <c r="L102" s="302">
        <f t="shared" si="48"/>
        <v>4.0155880737160032</v>
      </c>
      <c r="M102" s="236"/>
      <c r="N102" s="236"/>
    </row>
    <row r="103" spans="1:14" x14ac:dyDescent="0.3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3">
      <c r="A104" s="244" t="s">
        <v>32</v>
      </c>
      <c r="B104" s="311">
        <f>SUM(B94:B102)</f>
        <v>22.8820000002077</v>
      </c>
      <c r="C104" s="311">
        <f t="shared" ref="C104:D104" si="49">SUM(C94:C102)</f>
        <v>34.758000000025568</v>
      </c>
      <c r="D104" s="311">
        <f t="shared" si="49"/>
        <v>57.640000000233272</v>
      </c>
      <c r="E104" s="311"/>
      <c r="F104" s="311">
        <f t="shared" ref="F104:H104" si="50">SUM(F94:F102)</f>
        <v>29.658999999998876</v>
      </c>
      <c r="G104" s="311">
        <f t="shared" si="50"/>
        <v>38.55499999997474</v>
      </c>
      <c r="H104" s="311">
        <f t="shared" si="50"/>
        <v>68.213999999973609</v>
      </c>
      <c r="I104" s="311"/>
      <c r="J104" s="311">
        <f t="shared" ref="J104:L104" si="51">SUM(J94:J102)</f>
        <v>22.372000000048082</v>
      </c>
      <c r="K104" s="311">
        <f t="shared" si="51"/>
        <v>29.208000000095339</v>
      </c>
      <c r="L104" s="311">
        <f t="shared" si="51"/>
        <v>51.580000000143414</v>
      </c>
      <c r="M104" s="236"/>
      <c r="N104" s="236"/>
    </row>
    <row r="105" spans="1:14" x14ac:dyDescent="0.3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3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35</v>
      </c>
      <c r="M106" s="236"/>
      <c r="N106" s="236"/>
    </row>
    <row r="107" spans="1:14" x14ac:dyDescent="0.3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3">
      <c r="A108" s="241" t="str">
        <f>name!A9</f>
        <v>Wearing apparel; Leather, etc</v>
      </c>
      <c r="B108" s="373">
        <f>B$6</f>
        <v>2015</v>
      </c>
      <c r="C108" s="373"/>
      <c r="D108" s="373"/>
      <c r="E108" s="253"/>
      <c r="F108" s="373">
        <f>F91</f>
        <v>2020</v>
      </c>
      <c r="G108" s="373"/>
      <c r="H108" s="373"/>
      <c r="I108" s="253"/>
      <c r="J108" s="373">
        <f>J91</f>
        <v>2035</v>
      </c>
      <c r="K108" s="373"/>
      <c r="L108" s="373"/>
      <c r="M108" s="236"/>
      <c r="N108" s="236"/>
    </row>
    <row r="109" spans="1:14" x14ac:dyDescent="0.3">
      <c r="A109" s="254"/>
      <c r="B109" s="255" t="s">
        <v>352</v>
      </c>
      <c r="C109" s="255" t="s">
        <v>353</v>
      </c>
      <c r="D109" s="255" t="s">
        <v>32</v>
      </c>
      <c r="E109" s="255"/>
      <c r="F109" s="255" t="s">
        <v>352</v>
      </c>
      <c r="G109" s="255" t="s">
        <v>353</v>
      </c>
      <c r="H109" s="255" t="s">
        <v>32</v>
      </c>
      <c r="I109" s="255"/>
      <c r="J109" s="255" t="s">
        <v>352</v>
      </c>
      <c r="K109" s="255" t="s">
        <v>353</v>
      </c>
      <c r="L109" s="255" t="s">
        <v>32</v>
      </c>
      <c r="M109" s="236"/>
      <c r="N109" s="236"/>
    </row>
    <row r="110" spans="1:14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3">
      <c r="A111" s="237" t="str">
        <f>name!E$4</f>
        <v>Managers, directors and senior officials</v>
      </c>
      <c r="B111" s="302">
        <v>2.9225721852089275</v>
      </c>
      <c r="C111" s="302">
        <v>2.4697604298750702</v>
      </c>
      <c r="D111" s="302">
        <f>SUM(B111:C111)</f>
        <v>5.3923326150839976</v>
      </c>
      <c r="E111" s="303"/>
      <c r="F111" s="302">
        <v>3.159791732579408</v>
      </c>
      <c r="G111" s="302">
        <v>3.1894809868312883</v>
      </c>
      <c r="H111" s="302">
        <f>SUM(F111:G111)</f>
        <v>6.3492727194106964</v>
      </c>
      <c r="I111" s="303"/>
      <c r="J111" s="302">
        <v>2.300588905382229</v>
      </c>
      <c r="K111" s="302">
        <v>2.5838244118944007</v>
      </c>
      <c r="L111" s="302">
        <f>SUM(J111:K111)</f>
        <v>4.8844133172766302</v>
      </c>
      <c r="M111" s="236"/>
      <c r="N111" s="236"/>
    </row>
    <row r="112" spans="1:14" x14ac:dyDescent="0.3">
      <c r="A112" s="237" t="str">
        <f>name!E$5</f>
        <v>Professional occupations</v>
      </c>
      <c r="B112" s="302">
        <v>3.7205970046970527</v>
      </c>
      <c r="C112" s="302">
        <v>1.782595490357529</v>
      </c>
      <c r="D112" s="302">
        <f t="shared" ref="D112:D119" si="52">SUM(B112:C112)</f>
        <v>5.5031924950545816</v>
      </c>
      <c r="E112" s="303"/>
      <c r="F112" s="302">
        <v>5.0230371194437646</v>
      </c>
      <c r="G112" s="302">
        <v>2.3980264977401813</v>
      </c>
      <c r="H112" s="302">
        <f t="shared" ref="H112:H119" si="53">SUM(F112:G112)</f>
        <v>7.4210636171839459</v>
      </c>
      <c r="I112" s="303"/>
      <c r="J112" s="302">
        <v>4.5817500907728812</v>
      </c>
      <c r="K112" s="302">
        <v>2.1904891839163438</v>
      </c>
      <c r="L112" s="302">
        <f t="shared" ref="L112:L119" si="54">SUM(J112:K112)</f>
        <v>6.772239274689225</v>
      </c>
      <c r="M112" s="236"/>
      <c r="N112" s="236"/>
    </row>
    <row r="113" spans="1:14" x14ac:dyDescent="0.3">
      <c r="A113" s="237" t="str">
        <f>name!E$6</f>
        <v>Associate professional occupations</v>
      </c>
      <c r="B113" s="302">
        <v>4.7143074743021929</v>
      </c>
      <c r="C113" s="302">
        <v>1.6100216886785819</v>
      </c>
      <c r="D113" s="302">
        <f t="shared" si="52"/>
        <v>6.3243291629807743</v>
      </c>
      <c r="E113" s="303"/>
      <c r="F113" s="302">
        <v>4.8447624861785501</v>
      </c>
      <c r="G113" s="302">
        <v>1.9725811233769737</v>
      </c>
      <c r="H113" s="302">
        <f t="shared" si="53"/>
        <v>6.8173436095555235</v>
      </c>
      <c r="I113" s="303"/>
      <c r="J113" s="302">
        <v>3.4410552688230633</v>
      </c>
      <c r="K113" s="302">
        <v>1.4254787248019511</v>
      </c>
      <c r="L113" s="302">
        <f t="shared" si="54"/>
        <v>4.8665339936250147</v>
      </c>
      <c r="M113" s="236"/>
      <c r="N113" s="236"/>
    </row>
    <row r="114" spans="1:14" x14ac:dyDescent="0.3">
      <c r="A114" s="237" t="str">
        <f>name!E$7</f>
        <v>Administrative and secretarial occupations</v>
      </c>
      <c r="B114" s="302">
        <v>5.7429773787402283</v>
      </c>
      <c r="C114" s="302">
        <v>0.79661049213539548</v>
      </c>
      <c r="D114" s="302">
        <f t="shared" si="52"/>
        <v>6.5395878708756241</v>
      </c>
      <c r="E114" s="303"/>
      <c r="F114" s="302">
        <v>4.981201081139961</v>
      </c>
      <c r="G114" s="302">
        <v>0.87283186623594755</v>
      </c>
      <c r="H114" s="302">
        <f t="shared" si="53"/>
        <v>5.8540329473759085</v>
      </c>
      <c r="I114" s="303"/>
      <c r="J114" s="302">
        <v>3.4557051238143512</v>
      </c>
      <c r="K114" s="302">
        <v>0.70631629278776709</v>
      </c>
      <c r="L114" s="302">
        <f t="shared" si="54"/>
        <v>4.1620214166021183</v>
      </c>
      <c r="M114" s="236"/>
      <c r="N114" s="236"/>
    </row>
    <row r="115" spans="1:14" x14ac:dyDescent="0.3">
      <c r="A115" s="237" t="str">
        <f>name!E$8</f>
        <v>Skilled trades occupations</v>
      </c>
      <c r="B115" s="302">
        <v>3.8028843646516375</v>
      </c>
      <c r="C115" s="302">
        <v>4.1626870192603498</v>
      </c>
      <c r="D115" s="302">
        <f t="shared" si="52"/>
        <v>7.9655713839119873</v>
      </c>
      <c r="E115" s="303"/>
      <c r="F115" s="302">
        <v>3.5423549535798045</v>
      </c>
      <c r="G115" s="302">
        <v>3.9873711992577809</v>
      </c>
      <c r="H115" s="302">
        <f t="shared" si="53"/>
        <v>7.5297261528375854</v>
      </c>
      <c r="I115" s="303"/>
      <c r="J115" s="302">
        <v>2.4160184520531658</v>
      </c>
      <c r="K115" s="302">
        <v>2.8042872102954615</v>
      </c>
      <c r="L115" s="302">
        <f t="shared" si="54"/>
        <v>5.2203056623486273</v>
      </c>
      <c r="M115" s="236"/>
      <c r="N115" s="236"/>
    </row>
    <row r="116" spans="1:14" x14ac:dyDescent="0.3">
      <c r="A116" s="237" t="str">
        <f>name!E$9</f>
        <v>Caring, leisure and other service occupations</v>
      </c>
      <c r="B116" s="302">
        <v>1.925876668872182</v>
      </c>
      <c r="C116" s="302">
        <v>0.32718409410805543</v>
      </c>
      <c r="D116" s="302">
        <f t="shared" si="52"/>
        <v>2.2530607629802373</v>
      </c>
      <c r="E116" s="303"/>
      <c r="F116" s="302">
        <v>2.3383477334646376</v>
      </c>
      <c r="G116" s="302">
        <v>0.34377151500783326</v>
      </c>
      <c r="H116" s="302">
        <f t="shared" si="53"/>
        <v>2.6821192484724707</v>
      </c>
      <c r="I116" s="303"/>
      <c r="J116" s="302">
        <v>2.1374651606545738</v>
      </c>
      <c r="K116" s="302">
        <v>0.34909436546341277</v>
      </c>
      <c r="L116" s="302">
        <f t="shared" si="54"/>
        <v>2.4865595261179867</v>
      </c>
      <c r="M116" s="236"/>
      <c r="N116" s="236"/>
    </row>
    <row r="117" spans="1:14" x14ac:dyDescent="0.3">
      <c r="A117" s="237" t="str">
        <f>name!E$10</f>
        <v>Sales and customer service occupations</v>
      </c>
      <c r="B117" s="302">
        <v>2.1637191457056311</v>
      </c>
      <c r="C117" s="302">
        <v>0.66295444833573647</v>
      </c>
      <c r="D117" s="302">
        <f t="shared" si="52"/>
        <v>2.8266735940413676</v>
      </c>
      <c r="E117" s="303"/>
      <c r="F117" s="302">
        <v>1.7634620405594044</v>
      </c>
      <c r="G117" s="302">
        <v>0.59805580235742395</v>
      </c>
      <c r="H117" s="302">
        <f t="shared" si="53"/>
        <v>2.3615178429168284</v>
      </c>
      <c r="I117" s="303"/>
      <c r="J117" s="302">
        <v>1.3505761933668901</v>
      </c>
      <c r="K117" s="302">
        <v>0.49247594121881538</v>
      </c>
      <c r="L117" s="302">
        <f t="shared" si="54"/>
        <v>1.8430521345857054</v>
      </c>
      <c r="M117" s="236"/>
      <c r="N117" s="236"/>
    </row>
    <row r="118" spans="1:14" x14ac:dyDescent="0.3">
      <c r="A118" s="237" t="str">
        <f>name!E$11</f>
        <v>Process, plant and machine operatives</v>
      </c>
      <c r="B118" s="302">
        <v>6.8725580191405014</v>
      </c>
      <c r="C118" s="302">
        <v>4.187097412902248</v>
      </c>
      <c r="D118" s="302">
        <f t="shared" si="52"/>
        <v>11.059655432042749</v>
      </c>
      <c r="E118" s="303"/>
      <c r="F118" s="302">
        <v>4.3517360734486532</v>
      </c>
      <c r="G118" s="302">
        <v>4.3345036894136886</v>
      </c>
      <c r="H118" s="302">
        <f t="shared" si="53"/>
        <v>8.6862397628623427</v>
      </c>
      <c r="I118" s="303"/>
      <c r="J118" s="302">
        <v>3.2489232145460414</v>
      </c>
      <c r="K118" s="302">
        <v>3.8965724938232884</v>
      </c>
      <c r="L118" s="302">
        <f t="shared" si="54"/>
        <v>7.1454957083693298</v>
      </c>
      <c r="M118" s="236"/>
      <c r="N118" s="236"/>
    </row>
    <row r="119" spans="1:14" x14ac:dyDescent="0.3">
      <c r="A119" s="237" t="str">
        <f>name!E$12</f>
        <v>Elementary occupations</v>
      </c>
      <c r="B119" s="302">
        <v>3.255507758930515</v>
      </c>
      <c r="C119" s="302">
        <v>5.1920889245175079</v>
      </c>
      <c r="D119" s="302">
        <f t="shared" si="52"/>
        <v>8.4475966834480225</v>
      </c>
      <c r="E119" s="303"/>
      <c r="F119" s="302">
        <v>2.863306779579633</v>
      </c>
      <c r="G119" s="302">
        <v>4.1533773197972259</v>
      </c>
      <c r="H119" s="302">
        <f t="shared" si="53"/>
        <v>7.0166840993768584</v>
      </c>
      <c r="I119" s="303"/>
      <c r="J119" s="302">
        <v>1.9939175906734161</v>
      </c>
      <c r="K119" s="302">
        <v>2.3814613758507983</v>
      </c>
      <c r="L119" s="302">
        <f t="shared" si="54"/>
        <v>4.3753789665242149</v>
      </c>
      <c r="M119" s="236"/>
      <c r="N119" s="236"/>
    </row>
    <row r="120" spans="1:14" x14ac:dyDescent="0.3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3">
      <c r="A121" s="244" t="s">
        <v>32</v>
      </c>
      <c r="B121" s="311">
        <f>SUM(B111:B119)</f>
        <v>35.12100000024887</v>
      </c>
      <c r="C121" s="311">
        <f t="shared" ref="C121:D121" si="55">SUM(C111:C119)</f>
        <v>21.191000000170476</v>
      </c>
      <c r="D121" s="311">
        <f t="shared" si="55"/>
        <v>56.312000000419346</v>
      </c>
      <c r="E121" s="311"/>
      <c r="F121" s="311">
        <f t="shared" ref="F121:H121" si="56">SUM(F111:F119)</f>
        <v>32.867999999973811</v>
      </c>
      <c r="G121" s="311">
        <f t="shared" si="56"/>
        <v>21.850000000018344</v>
      </c>
      <c r="H121" s="311">
        <f t="shared" si="56"/>
        <v>54.717999999992159</v>
      </c>
      <c r="I121" s="311"/>
      <c r="J121" s="311">
        <f t="shared" ref="J121:L121" si="57">SUM(J111:J119)</f>
        <v>24.926000000086614</v>
      </c>
      <c r="K121" s="311">
        <f t="shared" si="57"/>
        <v>16.830000000052241</v>
      </c>
      <c r="L121" s="311">
        <f t="shared" si="57"/>
        <v>41.756000000138854</v>
      </c>
      <c r="M121" s="236"/>
      <c r="N121" s="236"/>
    </row>
    <row r="122" spans="1:14" x14ac:dyDescent="0.3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3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35</v>
      </c>
      <c r="M123" s="236"/>
      <c r="N123" s="236"/>
    </row>
    <row r="124" spans="1:14" x14ac:dyDescent="0.3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3">
      <c r="A125" s="241" t="str">
        <f>name!A10</f>
        <v xml:space="preserve">Wood and cork </v>
      </c>
      <c r="B125" s="373">
        <f>B$6</f>
        <v>2015</v>
      </c>
      <c r="C125" s="373"/>
      <c r="D125" s="373"/>
      <c r="E125" s="253"/>
      <c r="F125" s="373">
        <f>F108</f>
        <v>2020</v>
      </c>
      <c r="G125" s="373"/>
      <c r="H125" s="373"/>
      <c r="I125" s="253"/>
      <c r="J125" s="373">
        <f>J108</f>
        <v>2035</v>
      </c>
      <c r="K125" s="373"/>
      <c r="L125" s="373"/>
      <c r="M125" s="236"/>
      <c r="N125" s="236"/>
    </row>
    <row r="126" spans="1:14" x14ac:dyDescent="0.3">
      <c r="A126" s="254"/>
      <c r="B126" s="255" t="s">
        <v>352</v>
      </c>
      <c r="C126" s="255" t="s">
        <v>353</v>
      </c>
      <c r="D126" s="255" t="s">
        <v>32</v>
      </c>
      <c r="E126" s="255"/>
      <c r="F126" s="255" t="s">
        <v>352</v>
      </c>
      <c r="G126" s="255" t="s">
        <v>353</v>
      </c>
      <c r="H126" s="255" t="s">
        <v>32</v>
      </c>
      <c r="I126" s="255"/>
      <c r="J126" s="255" t="s">
        <v>352</v>
      </c>
      <c r="K126" s="255" t="s">
        <v>353</v>
      </c>
      <c r="L126" s="255" t="s">
        <v>32</v>
      </c>
      <c r="M126" s="236"/>
      <c r="N126" s="236"/>
    </row>
    <row r="127" spans="1:14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3">
      <c r="A128" s="237" t="str">
        <f>name!E$4</f>
        <v>Managers, directors and senior officials</v>
      </c>
      <c r="B128" s="302">
        <v>1.7615372981494006</v>
      </c>
      <c r="C128" s="302">
        <v>4.3596800678693368</v>
      </c>
      <c r="D128" s="302">
        <f>SUM(B128:C128)</f>
        <v>6.1212173660187377</v>
      </c>
      <c r="E128" s="303"/>
      <c r="F128" s="302">
        <v>2.586119674137497</v>
      </c>
      <c r="G128" s="302">
        <v>7.2316195775607488</v>
      </c>
      <c r="H128" s="302">
        <f>SUM(F128:G128)</f>
        <v>9.8177392516982458</v>
      </c>
      <c r="I128" s="303"/>
      <c r="J128" s="302">
        <v>2.8775803981870323</v>
      </c>
      <c r="K128" s="302">
        <v>7.0026204526977969</v>
      </c>
      <c r="L128" s="302">
        <f>SUM(J128:K128)</f>
        <v>9.8802008508848296</v>
      </c>
      <c r="M128" s="236"/>
      <c r="N128" s="236"/>
    </row>
    <row r="129" spans="1:14" x14ac:dyDescent="0.3">
      <c r="A129" s="237" t="str">
        <f>name!E$5</f>
        <v>Professional occupations</v>
      </c>
      <c r="B129" s="302">
        <v>1.7288385413297924</v>
      </c>
      <c r="C129" s="302">
        <v>2.5580738975083532</v>
      </c>
      <c r="D129" s="302">
        <f t="shared" ref="D129:D136" si="58">SUM(B129:C129)</f>
        <v>4.2869124388381454</v>
      </c>
      <c r="E129" s="303"/>
      <c r="F129" s="302">
        <v>2.7687832057579542</v>
      </c>
      <c r="G129" s="302">
        <v>4.4190971085255493</v>
      </c>
      <c r="H129" s="302">
        <f t="shared" ref="H129:H136" si="59">SUM(F129:G129)</f>
        <v>7.1878803142835039</v>
      </c>
      <c r="I129" s="303"/>
      <c r="J129" s="302">
        <v>3.2924371969305621</v>
      </c>
      <c r="K129" s="302">
        <v>5.0222743971998405</v>
      </c>
      <c r="L129" s="302">
        <f t="shared" ref="L129:L136" si="60">SUM(J129:K129)</f>
        <v>8.3147115941304026</v>
      </c>
      <c r="M129" s="236"/>
      <c r="N129" s="236"/>
    </row>
    <row r="130" spans="1:14" x14ac:dyDescent="0.3">
      <c r="A130" s="237" t="str">
        <f>name!E$6</f>
        <v>Associate professional occupations</v>
      </c>
      <c r="B130" s="302">
        <v>1.5387149122812709</v>
      </c>
      <c r="C130" s="302">
        <v>4.173679446904921</v>
      </c>
      <c r="D130" s="302">
        <f t="shared" si="58"/>
        <v>5.7123943591861917</v>
      </c>
      <c r="E130" s="303"/>
      <c r="F130" s="302">
        <v>2.046731591383725</v>
      </c>
      <c r="G130" s="302">
        <v>6.641416468434171</v>
      </c>
      <c r="H130" s="302">
        <f t="shared" si="59"/>
        <v>8.6881480598178964</v>
      </c>
      <c r="I130" s="303"/>
      <c r="J130" s="302">
        <v>2.0922138861541124</v>
      </c>
      <c r="K130" s="302">
        <v>6.0658868322487738</v>
      </c>
      <c r="L130" s="302">
        <f t="shared" si="60"/>
        <v>8.1581007184028866</v>
      </c>
      <c r="M130" s="236"/>
      <c r="N130" s="236"/>
    </row>
    <row r="131" spans="1:14" x14ac:dyDescent="0.3">
      <c r="A131" s="237" t="str">
        <f>name!E$7</f>
        <v>Administrative and secretarial occupations</v>
      </c>
      <c r="B131" s="302">
        <v>4.7769325796314916</v>
      </c>
      <c r="C131" s="302">
        <v>1.140563812173621</v>
      </c>
      <c r="D131" s="302">
        <f t="shared" si="58"/>
        <v>5.9174963918051127</v>
      </c>
      <c r="E131" s="303"/>
      <c r="F131" s="302">
        <v>3.8897733847121225</v>
      </c>
      <c r="G131" s="302">
        <v>1.6203210452691283</v>
      </c>
      <c r="H131" s="302">
        <f t="shared" si="59"/>
        <v>5.5100944299812511</v>
      </c>
      <c r="I131" s="303"/>
      <c r="J131" s="302">
        <v>2.9821861902248488</v>
      </c>
      <c r="K131" s="302">
        <v>1.4837211883356096</v>
      </c>
      <c r="L131" s="302">
        <f t="shared" si="60"/>
        <v>4.4659073785604582</v>
      </c>
      <c r="M131" s="236"/>
      <c r="N131" s="236"/>
    </row>
    <row r="132" spans="1:14" x14ac:dyDescent="0.3">
      <c r="A132" s="237" t="str">
        <f>name!E$8</f>
        <v>Skilled trades occupations</v>
      </c>
      <c r="B132" s="302">
        <v>0.83939604044046767</v>
      </c>
      <c r="C132" s="302">
        <v>28.60935980506704</v>
      </c>
      <c r="D132" s="302">
        <f t="shared" si="58"/>
        <v>29.448755845507506</v>
      </c>
      <c r="E132" s="303"/>
      <c r="F132" s="302">
        <v>0.77022877572366155</v>
      </c>
      <c r="G132" s="302">
        <v>28.58673327383497</v>
      </c>
      <c r="H132" s="302">
        <f t="shared" si="59"/>
        <v>29.356962049558632</v>
      </c>
      <c r="I132" s="303"/>
      <c r="J132" s="302">
        <v>1.0097490168768164</v>
      </c>
      <c r="K132" s="302">
        <v>24.665669565306761</v>
      </c>
      <c r="L132" s="302">
        <f t="shared" si="60"/>
        <v>25.675418582183578</v>
      </c>
      <c r="M132" s="236"/>
      <c r="N132" s="236"/>
    </row>
    <row r="133" spans="1:14" x14ac:dyDescent="0.3">
      <c r="A133" s="237" t="str">
        <f>name!E$9</f>
        <v>Caring, leisure and other service occupations</v>
      </c>
      <c r="B133" s="302">
        <v>0.80524621325223589</v>
      </c>
      <c r="C133" s="302">
        <v>0.4908313430217085</v>
      </c>
      <c r="D133" s="302">
        <f t="shared" si="58"/>
        <v>1.2960775562739444</v>
      </c>
      <c r="E133" s="303"/>
      <c r="F133" s="302">
        <v>0.88753100295414988</v>
      </c>
      <c r="G133" s="302">
        <v>0.80758729386894579</v>
      </c>
      <c r="H133" s="302">
        <f t="shared" si="59"/>
        <v>1.6951182968230958</v>
      </c>
      <c r="I133" s="303"/>
      <c r="J133" s="302">
        <v>0.93991773135152556</v>
      </c>
      <c r="K133" s="302">
        <v>1.1727542162639448</v>
      </c>
      <c r="L133" s="302">
        <f t="shared" si="60"/>
        <v>2.1126719476154703</v>
      </c>
      <c r="M133" s="236"/>
      <c r="N133" s="236"/>
    </row>
    <row r="134" spans="1:14" x14ac:dyDescent="0.3">
      <c r="A134" s="237" t="str">
        <f>name!E$10</f>
        <v>Sales and customer service occupations</v>
      </c>
      <c r="B134" s="302">
        <v>1.1353742371773925</v>
      </c>
      <c r="C134" s="302">
        <v>1.0112569391353157</v>
      </c>
      <c r="D134" s="302">
        <f>SUM(B134:C134)</f>
        <v>2.1466311763127082</v>
      </c>
      <c r="E134" s="303"/>
      <c r="F134" s="302">
        <v>0.94953138627425715</v>
      </c>
      <c r="G134" s="302">
        <v>1.2262247529344006</v>
      </c>
      <c r="H134" s="302">
        <f t="shared" si="59"/>
        <v>2.1757561392086577</v>
      </c>
      <c r="I134" s="303"/>
      <c r="J134" s="302">
        <v>0.88898993766862178</v>
      </c>
      <c r="K134" s="302">
        <v>1.2373238864816263</v>
      </c>
      <c r="L134" s="302">
        <f t="shared" si="60"/>
        <v>2.1263138241502482</v>
      </c>
      <c r="M134" s="236"/>
      <c r="N134" s="236"/>
    </row>
    <row r="135" spans="1:14" x14ac:dyDescent="0.3">
      <c r="A135" s="237" t="str">
        <f>name!E$11</f>
        <v>Process, plant and machine operatives</v>
      </c>
      <c r="B135" s="302">
        <v>0.96360804308055115</v>
      </c>
      <c r="C135" s="302">
        <v>16.749480022848736</v>
      </c>
      <c r="D135" s="302">
        <f t="shared" si="58"/>
        <v>17.713088065929288</v>
      </c>
      <c r="E135" s="303"/>
      <c r="F135" s="302">
        <v>0.65506483725883158</v>
      </c>
      <c r="G135" s="302">
        <v>17.400262019229622</v>
      </c>
      <c r="H135" s="302">
        <f t="shared" si="59"/>
        <v>18.055326856488453</v>
      </c>
      <c r="I135" s="303"/>
      <c r="J135" s="302">
        <v>0.77031462044475696</v>
      </c>
      <c r="K135" s="302">
        <v>18.204917680454951</v>
      </c>
      <c r="L135" s="302">
        <f t="shared" si="60"/>
        <v>18.975232300899709</v>
      </c>
      <c r="M135" s="236"/>
      <c r="N135" s="236"/>
    </row>
    <row r="136" spans="1:14" x14ac:dyDescent="0.3">
      <c r="A136" s="237" t="str">
        <f>name!E$12</f>
        <v>Elementary occupations</v>
      </c>
      <c r="B136" s="302">
        <v>1.1173521346802673</v>
      </c>
      <c r="C136" s="302">
        <v>6.0120746653930137</v>
      </c>
      <c r="D136" s="302">
        <f t="shared" si="58"/>
        <v>7.129426800073281</v>
      </c>
      <c r="E136" s="303"/>
      <c r="F136" s="302">
        <v>0.77223614174497035</v>
      </c>
      <c r="G136" s="302">
        <v>6.6527384601317623</v>
      </c>
      <c r="H136" s="302">
        <f t="shared" si="59"/>
        <v>7.4249746018767322</v>
      </c>
      <c r="I136" s="303"/>
      <c r="J136" s="302">
        <v>0.55061102219579594</v>
      </c>
      <c r="K136" s="302">
        <v>4.9718317810594579</v>
      </c>
      <c r="L136" s="302">
        <f t="shared" si="60"/>
        <v>5.5224428032552542</v>
      </c>
      <c r="M136" s="236"/>
      <c r="N136" s="236"/>
    </row>
    <row r="137" spans="1:14" x14ac:dyDescent="0.3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3">
      <c r="A138" s="244" t="s">
        <v>32</v>
      </c>
      <c r="B138" s="311">
        <f>SUM(B128:B136)</f>
        <v>14.66700000002287</v>
      </c>
      <c r="C138" s="311">
        <f t="shared" ref="C138" si="61">SUM(C128:C136)</f>
        <v>65.104999999922043</v>
      </c>
      <c r="D138" s="311">
        <f>SUM(D128:D136)</f>
        <v>79.77199999994491</v>
      </c>
      <c r="E138" s="311"/>
      <c r="F138" s="311">
        <f t="shared" ref="F138:H138" si="62">SUM(F128:F136)</f>
        <v>15.32599999994717</v>
      </c>
      <c r="G138" s="311">
        <f t="shared" si="62"/>
        <v>74.585999999789294</v>
      </c>
      <c r="H138" s="311">
        <f t="shared" si="62"/>
        <v>89.911999999736452</v>
      </c>
      <c r="I138" s="311"/>
      <c r="J138" s="311">
        <f t="shared" ref="J138:L138" si="63">SUM(J128:J136)</f>
        <v>15.404000000034074</v>
      </c>
      <c r="K138" s="311">
        <f t="shared" si="63"/>
        <v>69.82700000004877</v>
      </c>
      <c r="L138" s="311">
        <f t="shared" si="63"/>
        <v>85.23100000008283</v>
      </c>
      <c r="M138" s="236"/>
      <c r="N138" s="236"/>
    </row>
    <row r="139" spans="1:14" x14ac:dyDescent="0.3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3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35</v>
      </c>
      <c r="M140" s="236"/>
      <c r="N140" s="236"/>
    </row>
    <row r="141" spans="1:14" x14ac:dyDescent="0.3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3">
      <c r="A142" s="241" t="str">
        <f>name!A11</f>
        <v>Paper, etc</v>
      </c>
      <c r="B142" s="373">
        <f>B$6</f>
        <v>2015</v>
      </c>
      <c r="C142" s="373"/>
      <c r="D142" s="373"/>
      <c r="E142" s="253"/>
      <c r="F142" s="373">
        <f>F125</f>
        <v>2020</v>
      </c>
      <c r="G142" s="373"/>
      <c r="H142" s="373"/>
      <c r="I142" s="253"/>
      <c r="J142" s="373">
        <f>J125</f>
        <v>2035</v>
      </c>
      <c r="K142" s="373"/>
      <c r="L142" s="373"/>
      <c r="M142" s="236"/>
      <c r="N142" s="236"/>
    </row>
    <row r="143" spans="1:14" x14ac:dyDescent="0.3">
      <c r="A143" s="254"/>
      <c r="B143" s="255" t="s">
        <v>352</v>
      </c>
      <c r="C143" s="255" t="s">
        <v>353</v>
      </c>
      <c r="D143" s="255" t="s">
        <v>32</v>
      </c>
      <c r="E143" s="255"/>
      <c r="F143" s="255" t="s">
        <v>352</v>
      </c>
      <c r="G143" s="255" t="s">
        <v>353</v>
      </c>
      <c r="H143" s="255" t="s">
        <v>32</v>
      </c>
      <c r="I143" s="255"/>
      <c r="J143" s="255" t="s">
        <v>352</v>
      </c>
      <c r="K143" s="255" t="s">
        <v>353</v>
      </c>
      <c r="L143" s="255" t="s">
        <v>32</v>
      </c>
      <c r="M143" s="236"/>
      <c r="N143" s="236"/>
    </row>
    <row r="144" spans="1:14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3">
      <c r="A145" s="237" t="str">
        <f>name!E$4</f>
        <v>Managers, directors and senior officials</v>
      </c>
      <c r="B145" s="302">
        <v>0.72986776931229636</v>
      </c>
      <c r="C145" s="302">
        <v>7.7023511791775876</v>
      </c>
      <c r="D145" s="302">
        <f>SUM(B145:C145)</f>
        <v>8.4322189484898846</v>
      </c>
      <c r="E145" s="303"/>
      <c r="F145" s="302">
        <v>0.78856525352338525</v>
      </c>
      <c r="G145" s="302">
        <v>6.1675631266712365</v>
      </c>
      <c r="H145" s="302">
        <f>SUM(F145:G145)</f>
        <v>6.9561283801946221</v>
      </c>
      <c r="I145" s="303"/>
      <c r="J145" s="302">
        <v>0.87652714473537263</v>
      </c>
      <c r="K145" s="302">
        <v>6.6973778076673005</v>
      </c>
      <c r="L145" s="302">
        <f>SUM(J145:K145)</f>
        <v>7.5739049524026729</v>
      </c>
      <c r="M145" s="236"/>
      <c r="N145" s="236"/>
    </row>
    <row r="146" spans="1:14" x14ac:dyDescent="0.3">
      <c r="A146" s="237" t="str">
        <f>name!E$5</f>
        <v>Professional occupations</v>
      </c>
      <c r="B146" s="302">
        <v>0.97904346861036806</v>
      </c>
      <c r="C146" s="302">
        <v>5.3512190918310001</v>
      </c>
      <c r="D146" s="302">
        <f t="shared" ref="D146:D153" si="64">SUM(B146:C146)</f>
        <v>6.3302625604413683</v>
      </c>
      <c r="E146" s="303"/>
      <c r="F146" s="302">
        <v>1.1378819063434698</v>
      </c>
      <c r="G146" s="302">
        <v>5.6297486979210731</v>
      </c>
      <c r="H146" s="302">
        <f t="shared" ref="H146:H153" si="65">SUM(F146:G146)</f>
        <v>6.7676306042645429</v>
      </c>
      <c r="I146" s="303"/>
      <c r="J146" s="302">
        <v>1.3497155402322001</v>
      </c>
      <c r="K146" s="302">
        <v>6.7949374028679266</v>
      </c>
      <c r="L146" s="302">
        <f t="shared" ref="L146:L153" si="66">SUM(J146:K146)</f>
        <v>8.1446529431001267</v>
      </c>
      <c r="M146" s="236"/>
      <c r="N146" s="236"/>
    </row>
    <row r="147" spans="1:14" x14ac:dyDescent="0.3">
      <c r="A147" s="237" t="str">
        <f>name!E$6</f>
        <v>Associate professional occupations</v>
      </c>
      <c r="B147" s="302">
        <v>1.5847780181631528</v>
      </c>
      <c r="C147" s="302">
        <v>5.5355844405480381</v>
      </c>
      <c r="D147" s="302">
        <f t="shared" si="64"/>
        <v>7.1203624587111909</v>
      </c>
      <c r="E147" s="303"/>
      <c r="F147" s="302">
        <v>1.5669785386481792</v>
      </c>
      <c r="G147" s="302">
        <v>5.4742372455892676</v>
      </c>
      <c r="H147" s="302">
        <f t="shared" si="65"/>
        <v>7.0412157842374468</v>
      </c>
      <c r="I147" s="303"/>
      <c r="J147" s="302">
        <v>1.7192710821122201</v>
      </c>
      <c r="K147" s="302">
        <v>5.4559513769588692</v>
      </c>
      <c r="L147" s="302">
        <f t="shared" si="66"/>
        <v>7.1752224590710894</v>
      </c>
      <c r="M147" s="236"/>
      <c r="N147" s="236"/>
    </row>
    <row r="148" spans="1:14" x14ac:dyDescent="0.3">
      <c r="A148" s="237" t="str">
        <f>name!E$7</f>
        <v>Administrative and secretarial occupations</v>
      </c>
      <c r="B148" s="302">
        <v>2.3524931344237854</v>
      </c>
      <c r="C148" s="302">
        <v>1.7878393766554734</v>
      </c>
      <c r="D148" s="302">
        <f t="shared" si="64"/>
        <v>4.1403325110792588</v>
      </c>
      <c r="E148" s="303"/>
      <c r="F148" s="302">
        <v>1.6515040303903887</v>
      </c>
      <c r="G148" s="302">
        <v>1.7915363862398381</v>
      </c>
      <c r="H148" s="302">
        <f t="shared" si="65"/>
        <v>3.4430404166302271</v>
      </c>
      <c r="I148" s="303"/>
      <c r="J148" s="302">
        <v>1.2086015614402306</v>
      </c>
      <c r="K148" s="302">
        <v>1.7246521694187318</v>
      </c>
      <c r="L148" s="302">
        <f t="shared" si="66"/>
        <v>2.9332537308589623</v>
      </c>
      <c r="M148" s="236"/>
      <c r="N148" s="236"/>
    </row>
    <row r="149" spans="1:14" x14ac:dyDescent="0.3">
      <c r="A149" s="237" t="str">
        <f>name!E$8</f>
        <v>Skilled trades occupations</v>
      </c>
      <c r="B149" s="302">
        <v>0.29999547045895997</v>
      </c>
      <c r="C149" s="302">
        <v>12.965310658227398</v>
      </c>
      <c r="D149" s="302">
        <f t="shared" si="64"/>
        <v>13.265306128686358</v>
      </c>
      <c r="E149" s="303"/>
      <c r="F149" s="302">
        <v>0.25180310256593552</v>
      </c>
      <c r="G149" s="302">
        <v>8.4408490110062999</v>
      </c>
      <c r="H149" s="302">
        <f t="shared" si="65"/>
        <v>8.692652113572235</v>
      </c>
      <c r="I149" s="303"/>
      <c r="J149" s="302">
        <v>0.2274853266073473</v>
      </c>
      <c r="K149" s="302">
        <v>6.85598464105761</v>
      </c>
      <c r="L149" s="302">
        <f t="shared" si="66"/>
        <v>7.0834699676649571</v>
      </c>
      <c r="M149" s="236"/>
      <c r="N149" s="236"/>
    </row>
    <row r="150" spans="1:14" x14ac:dyDescent="0.3">
      <c r="A150" s="237" t="str">
        <f>name!E$9</f>
        <v>Caring, leisure and other service occupations</v>
      </c>
      <c r="B150" s="302">
        <v>0.55528109866074837</v>
      </c>
      <c r="C150" s="302">
        <v>0.3198557538047111</v>
      </c>
      <c r="D150" s="302">
        <f t="shared" si="64"/>
        <v>0.87513685246545947</v>
      </c>
      <c r="E150" s="303"/>
      <c r="F150" s="302">
        <v>0.43967511889267691</v>
      </c>
      <c r="G150" s="302">
        <v>0.29979246979119129</v>
      </c>
      <c r="H150" s="302">
        <f t="shared" si="65"/>
        <v>0.73946758868386819</v>
      </c>
      <c r="I150" s="303"/>
      <c r="J150" s="302">
        <v>0.41867632810245348</v>
      </c>
      <c r="K150" s="302">
        <v>0.2628249276959857</v>
      </c>
      <c r="L150" s="302">
        <f t="shared" si="66"/>
        <v>0.68150125579843923</v>
      </c>
      <c r="M150" s="236"/>
      <c r="N150" s="236"/>
    </row>
    <row r="151" spans="1:14" x14ac:dyDescent="0.3">
      <c r="A151" s="237" t="str">
        <f>name!E$10</f>
        <v>Sales and customer service occupations</v>
      </c>
      <c r="B151" s="302">
        <v>0.82067152393137099</v>
      </c>
      <c r="C151" s="302">
        <v>1.14435710406785</v>
      </c>
      <c r="D151" s="302">
        <f t="shared" si="64"/>
        <v>1.9650286279992208</v>
      </c>
      <c r="E151" s="303"/>
      <c r="F151" s="302">
        <v>0.58472501235733076</v>
      </c>
      <c r="G151" s="302">
        <v>0.81711092477605618</v>
      </c>
      <c r="H151" s="302">
        <f t="shared" si="65"/>
        <v>1.4018359371333871</v>
      </c>
      <c r="I151" s="303"/>
      <c r="J151" s="302">
        <v>0.59517697934468472</v>
      </c>
      <c r="K151" s="302">
        <v>0.98245446783068568</v>
      </c>
      <c r="L151" s="302">
        <f t="shared" si="66"/>
        <v>1.5776314471753703</v>
      </c>
      <c r="M151" s="236"/>
      <c r="N151" s="236"/>
    </row>
    <row r="152" spans="1:14" x14ac:dyDescent="0.3">
      <c r="A152" s="237" t="str">
        <f>name!E$11</f>
        <v>Process, plant and machine operatives</v>
      </c>
      <c r="B152" s="302">
        <v>0.82507077185031552</v>
      </c>
      <c r="C152" s="302">
        <v>15.427347347242756</v>
      </c>
      <c r="D152" s="302">
        <f t="shared" si="64"/>
        <v>16.252418119093072</v>
      </c>
      <c r="E152" s="303"/>
      <c r="F152" s="302">
        <v>0.57655316077677665</v>
      </c>
      <c r="G152" s="302">
        <v>11.615462580675008</v>
      </c>
      <c r="H152" s="302">
        <f t="shared" si="65"/>
        <v>12.192015741451785</v>
      </c>
      <c r="I152" s="303"/>
      <c r="J152" s="302">
        <v>0.67282662367061563</v>
      </c>
      <c r="K152" s="302">
        <v>10.424438695689016</v>
      </c>
      <c r="L152" s="302">
        <f t="shared" si="66"/>
        <v>11.097265319359632</v>
      </c>
      <c r="M152" s="236"/>
      <c r="N152" s="236"/>
    </row>
    <row r="153" spans="1:14" x14ac:dyDescent="0.3">
      <c r="A153" s="237" t="str">
        <f>name!E$12</f>
        <v>Elementary occupations</v>
      </c>
      <c r="B153" s="302">
        <v>1.7227987446285498</v>
      </c>
      <c r="C153" s="302">
        <v>6.0631350485554121</v>
      </c>
      <c r="D153" s="302">
        <f t="shared" si="64"/>
        <v>7.7859337931839621</v>
      </c>
      <c r="E153" s="303"/>
      <c r="F153" s="302">
        <v>0.99831387644002989</v>
      </c>
      <c r="G153" s="302">
        <v>4.8586995574269238</v>
      </c>
      <c r="H153" s="302">
        <f t="shared" si="65"/>
        <v>5.8570134338669533</v>
      </c>
      <c r="I153" s="303"/>
      <c r="J153" s="302">
        <v>0.8017194137390552</v>
      </c>
      <c r="K153" s="302">
        <v>3.2493785110561695</v>
      </c>
      <c r="L153" s="302">
        <f t="shared" si="66"/>
        <v>4.0510979247952248</v>
      </c>
      <c r="M153" s="236"/>
      <c r="N153" s="236"/>
    </row>
    <row r="154" spans="1:14" x14ac:dyDescent="0.3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3">
      <c r="A155" s="244" t="s">
        <v>32</v>
      </c>
      <c r="B155" s="311">
        <f>SUM(B145:B153)</f>
        <v>9.870000000039548</v>
      </c>
      <c r="C155" s="311">
        <f t="shared" ref="C155:D155" si="67">SUM(C145:C153)</f>
        <v>56.297000000110224</v>
      </c>
      <c r="D155" s="311">
        <f t="shared" si="67"/>
        <v>66.16700000014977</v>
      </c>
      <c r="E155" s="311"/>
      <c r="F155" s="311">
        <f t="shared" ref="F155:H155" si="68">SUM(F145:F153)</f>
        <v>7.9959999999381726</v>
      </c>
      <c r="G155" s="311">
        <f t="shared" si="68"/>
        <v>45.095000000096896</v>
      </c>
      <c r="H155" s="311">
        <f t="shared" si="68"/>
        <v>53.091000000035059</v>
      </c>
      <c r="I155" s="311"/>
      <c r="J155" s="311">
        <f t="shared" ref="J155:L155" si="69">SUM(J145:J153)</f>
        <v>7.8699999999841781</v>
      </c>
      <c r="K155" s="311">
        <f t="shared" si="69"/>
        <v>42.448000000242295</v>
      </c>
      <c r="L155" s="311">
        <f t="shared" si="69"/>
        <v>50.318000000226469</v>
      </c>
      <c r="M155" s="236"/>
      <c r="N155" s="236"/>
    </row>
    <row r="156" spans="1:14" x14ac:dyDescent="0.3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3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35</v>
      </c>
      <c r="M157" s="236"/>
      <c r="N157" s="236"/>
    </row>
    <row r="158" spans="1:14" x14ac:dyDescent="0.3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3">
      <c r="A159" s="241" t="str">
        <f>name!A12</f>
        <v>Printing and recording</v>
      </c>
      <c r="B159" s="373">
        <f>B$6</f>
        <v>2015</v>
      </c>
      <c r="C159" s="373"/>
      <c r="D159" s="373"/>
      <c r="E159" s="253"/>
      <c r="F159" s="373">
        <f>F142</f>
        <v>2020</v>
      </c>
      <c r="G159" s="373"/>
      <c r="H159" s="373"/>
      <c r="I159" s="253"/>
      <c r="J159" s="373">
        <f>J142</f>
        <v>2035</v>
      </c>
      <c r="K159" s="373"/>
      <c r="L159" s="373"/>
      <c r="M159" s="236"/>
      <c r="N159" s="236"/>
    </row>
    <row r="160" spans="1:14" x14ac:dyDescent="0.3">
      <c r="A160" s="254"/>
      <c r="B160" s="255" t="s">
        <v>352</v>
      </c>
      <c r="C160" s="255" t="s">
        <v>353</v>
      </c>
      <c r="D160" s="255" t="s">
        <v>32</v>
      </c>
      <c r="E160" s="255"/>
      <c r="F160" s="255" t="s">
        <v>352</v>
      </c>
      <c r="G160" s="255" t="s">
        <v>353</v>
      </c>
      <c r="H160" s="255" t="s">
        <v>32</v>
      </c>
      <c r="I160" s="255"/>
      <c r="J160" s="255" t="s">
        <v>352</v>
      </c>
      <c r="K160" s="255" t="s">
        <v>353</v>
      </c>
      <c r="L160" s="255" t="s">
        <v>32</v>
      </c>
      <c r="M160" s="236"/>
      <c r="N160" s="236"/>
    </row>
    <row r="161" spans="1:14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3">
      <c r="A162" s="237" t="str">
        <f>name!E$4</f>
        <v>Managers, directors and senior officials</v>
      </c>
      <c r="B162" s="302">
        <v>3.7242690601709239</v>
      </c>
      <c r="C162" s="302">
        <v>18.038810008299087</v>
      </c>
      <c r="D162" s="302">
        <f>SUM(B162:C162)</f>
        <v>21.763079068470013</v>
      </c>
      <c r="E162" s="303"/>
      <c r="F162" s="302">
        <v>3.0298888557878034</v>
      </c>
      <c r="G162" s="302">
        <v>13.675010582526179</v>
      </c>
      <c r="H162" s="302">
        <f>SUM(F162:G162)</f>
        <v>16.704899438313983</v>
      </c>
      <c r="I162" s="303"/>
      <c r="J162" s="302">
        <v>2.7810121069775868</v>
      </c>
      <c r="K162" s="302">
        <v>11.394517727108628</v>
      </c>
      <c r="L162" s="302">
        <f>SUM(J162:K162)</f>
        <v>14.175529834086214</v>
      </c>
      <c r="M162" s="236"/>
      <c r="N162" s="236"/>
    </row>
    <row r="163" spans="1:14" x14ac:dyDescent="0.3">
      <c r="A163" s="237" t="str">
        <f>name!E$5</f>
        <v>Professional occupations</v>
      </c>
      <c r="B163" s="302">
        <v>4.8962392336284033</v>
      </c>
      <c r="C163" s="302">
        <v>13.192502929403771</v>
      </c>
      <c r="D163" s="302">
        <f t="shared" ref="D163:D170" si="70">SUM(B163:C163)</f>
        <v>18.088742163032173</v>
      </c>
      <c r="E163" s="303"/>
      <c r="F163" s="302">
        <v>4.3876266056530531</v>
      </c>
      <c r="G163" s="302">
        <v>11.349055495760586</v>
      </c>
      <c r="H163" s="302">
        <f t="shared" ref="H163:H170" si="71">SUM(F163:G163)</f>
        <v>15.736682101413638</v>
      </c>
      <c r="I163" s="303"/>
      <c r="J163" s="302">
        <v>4.2901267160991639</v>
      </c>
      <c r="K163" s="302">
        <v>10.167645113011291</v>
      </c>
      <c r="L163" s="302">
        <f t="shared" ref="L163:L170" si="72">SUM(J163:K163)</f>
        <v>14.457771829110456</v>
      </c>
      <c r="M163" s="236"/>
      <c r="N163" s="236"/>
    </row>
    <row r="164" spans="1:14" x14ac:dyDescent="0.3">
      <c r="A164" s="237" t="str">
        <f>name!E$6</f>
        <v>Associate professional occupations</v>
      </c>
      <c r="B164" s="302">
        <v>10.196341883699313</v>
      </c>
      <c r="C164" s="302">
        <v>15.340101058982031</v>
      </c>
      <c r="D164" s="302">
        <f t="shared" si="70"/>
        <v>25.536442942681344</v>
      </c>
      <c r="E164" s="303"/>
      <c r="F164" s="302">
        <v>7.9771654388677913</v>
      </c>
      <c r="G164" s="302">
        <v>12.176346953792981</v>
      </c>
      <c r="H164" s="302">
        <f t="shared" si="71"/>
        <v>20.153512392660772</v>
      </c>
      <c r="I164" s="303"/>
      <c r="J164" s="302">
        <v>7.1115545212025291</v>
      </c>
      <c r="K164" s="302">
        <v>9.3552004613977626</v>
      </c>
      <c r="L164" s="302">
        <f t="shared" si="72"/>
        <v>16.466754982600293</v>
      </c>
      <c r="M164" s="236"/>
      <c r="N164" s="236"/>
    </row>
    <row r="165" spans="1:14" x14ac:dyDescent="0.3">
      <c r="A165" s="237" t="str">
        <f>name!E$7</f>
        <v>Administrative and secretarial occupations</v>
      </c>
      <c r="B165" s="302">
        <v>8.6469709131296923</v>
      </c>
      <c r="C165" s="302">
        <v>2.608879374384093</v>
      </c>
      <c r="D165" s="302">
        <f t="shared" si="70"/>
        <v>11.255850287513786</v>
      </c>
      <c r="E165" s="303"/>
      <c r="F165" s="302">
        <v>6.001206282628802</v>
      </c>
      <c r="G165" s="302">
        <v>2.3113196514057104</v>
      </c>
      <c r="H165" s="302">
        <f t="shared" si="71"/>
        <v>8.3125259340345128</v>
      </c>
      <c r="I165" s="303"/>
      <c r="J165" s="302">
        <v>3.8972349259860604</v>
      </c>
      <c r="K165" s="302">
        <v>1.744998371783206</v>
      </c>
      <c r="L165" s="302">
        <f t="shared" si="72"/>
        <v>5.6422332977692662</v>
      </c>
      <c r="M165" s="236"/>
      <c r="N165" s="236"/>
    </row>
    <row r="166" spans="1:14" x14ac:dyDescent="0.3">
      <c r="A166" s="237" t="str">
        <f>name!E$8</f>
        <v>Skilled trades occupations</v>
      </c>
      <c r="B166" s="302">
        <v>1.4644737924300089</v>
      </c>
      <c r="C166" s="302">
        <v>19.309802039551684</v>
      </c>
      <c r="D166" s="302">
        <f t="shared" si="70"/>
        <v>20.774275831981694</v>
      </c>
      <c r="E166" s="303"/>
      <c r="F166" s="302">
        <v>1.0139949040121465</v>
      </c>
      <c r="G166" s="302">
        <v>11.047512358243036</v>
      </c>
      <c r="H166" s="302">
        <f t="shared" si="71"/>
        <v>12.061507262255184</v>
      </c>
      <c r="I166" s="303"/>
      <c r="J166" s="302">
        <v>0.70583225299234187</v>
      </c>
      <c r="K166" s="302">
        <v>7.0024409053971581</v>
      </c>
      <c r="L166" s="302">
        <f t="shared" si="72"/>
        <v>7.7082731583894999</v>
      </c>
      <c r="M166" s="236"/>
      <c r="N166" s="236"/>
    </row>
    <row r="167" spans="1:14" x14ac:dyDescent="0.3">
      <c r="A167" s="237" t="str">
        <f>name!E$9</f>
        <v>Caring, leisure and other service occupations</v>
      </c>
      <c r="B167" s="302">
        <v>0.45891917253989983</v>
      </c>
      <c r="C167" s="302">
        <v>0.31100902517744533</v>
      </c>
      <c r="D167" s="302">
        <f t="shared" si="70"/>
        <v>0.76992819771734511</v>
      </c>
      <c r="E167" s="303"/>
      <c r="F167" s="302">
        <v>0.31237431821118672</v>
      </c>
      <c r="G167" s="302">
        <v>0.31382755190983724</v>
      </c>
      <c r="H167" s="302">
        <f t="shared" si="71"/>
        <v>0.62620187012102391</v>
      </c>
      <c r="I167" s="303"/>
      <c r="J167" s="302">
        <v>0.24500655724750098</v>
      </c>
      <c r="K167" s="302">
        <v>0.27211726720001322</v>
      </c>
      <c r="L167" s="302">
        <f t="shared" si="72"/>
        <v>0.51712382444751426</v>
      </c>
      <c r="M167" s="236"/>
      <c r="N167" s="236"/>
    </row>
    <row r="168" spans="1:14" x14ac:dyDescent="0.3">
      <c r="A168" s="237" t="str">
        <f>name!E$10</f>
        <v>Sales and customer service occupations</v>
      </c>
      <c r="B168" s="302">
        <v>3.8294838464602341</v>
      </c>
      <c r="C168" s="302">
        <v>2.6127462874154537</v>
      </c>
      <c r="D168" s="302">
        <f t="shared" si="70"/>
        <v>6.4422301338756878</v>
      </c>
      <c r="E168" s="303"/>
      <c r="F168" s="302">
        <v>2.6068115563260617</v>
      </c>
      <c r="G168" s="302">
        <v>1.8985350064850828</v>
      </c>
      <c r="H168" s="302">
        <f t="shared" si="71"/>
        <v>4.5053465628111447</v>
      </c>
      <c r="I168" s="303"/>
      <c r="J168" s="302">
        <v>2.1426152907402449</v>
      </c>
      <c r="K168" s="302">
        <v>1.6439883433234017</v>
      </c>
      <c r="L168" s="302">
        <f t="shared" si="72"/>
        <v>3.7866036340636464</v>
      </c>
      <c r="M168" s="236"/>
      <c r="N168" s="236"/>
    </row>
    <row r="169" spans="1:14" x14ac:dyDescent="0.3">
      <c r="A169" s="237" t="str">
        <f>name!E$11</f>
        <v>Process, plant and machine operatives</v>
      </c>
      <c r="B169" s="302">
        <v>1.2396115700424069</v>
      </c>
      <c r="C169" s="302">
        <v>5.5010636226568534</v>
      </c>
      <c r="D169" s="302">
        <f t="shared" si="70"/>
        <v>6.7406751926992605</v>
      </c>
      <c r="E169" s="303"/>
      <c r="F169" s="302">
        <v>0.76939754484153533</v>
      </c>
      <c r="G169" s="302">
        <v>4.0622025124153707</v>
      </c>
      <c r="H169" s="302">
        <f t="shared" si="71"/>
        <v>4.8316000572569058</v>
      </c>
      <c r="I169" s="303"/>
      <c r="J169" s="302">
        <v>1.119214153602355</v>
      </c>
      <c r="K169" s="302">
        <v>3.4334391688311272</v>
      </c>
      <c r="L169" s="302">
        <f t="shared" si="72"/>
        <v>4.552653322433482</v>
      </c>
      <c r="M169" s="236"/>
      <c r="N169" s="236"/>
    </row>
    <row r="170" spans="1:14" x14ac:dyDescent="0.3">
      <c r="A170" s="237" t="str">
        <f>name!E$12</f>
        <v>Elementary occupations</v>
      </c>
      <c r="B170" s="302">
        <v>4.844690527856188</v>
      </c>
      <c r="C170" s="302">
        <v>7.7320856541257657</v>
      </c>
      <c r="D170" s="302">
        <f t="shared" si="70"/>
        <v>12.576776181981954</v>
      </c>
      <c r="E170" s="303"/>
      <c r="F170" s="302">
        <v>2.9045344935370911</v>
      </c>
      <c r="G170" s="302">
        <v>6.1921898875024866</v>
      </c>
      <c r="H170" s="302">
        <f t="shared" si="71"/>
        <v>9.0967243810395786</v>
      </c>
      <c r="I170" s="303"/>
      <c r="J170" s="302">
        <v>2.0674034751713184</v>
      </c>
      <c r="K170" s="302">
        <v>3.6656526421517426</v>
      </c>
      <c r="L170" s="302">
        <f t="shared" si="72"/>
        <v>5.733056117323061</v>
      </c>
      <c r="M170" s="236"/>
      <c r="N170" s="236"/>
    </row>
    <row r="171" spans="1:14" x14ac:dyDescent="0.3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3">
      <c r="A172" s="244" t="s">
        <v>32</v>
      </c>
      <c r="B172" s="311">
        <f>SUM(B162:B170)</f>
        <v>39.300999999957071</v>
      </c>
      <c r="C172" s="311">
        <f t="shared" ref="C172:D172" si="73">SUM(C162:C170)</f>
        <v>84.646999999996183</v>
      </c>
      <c r="D172" s="311">
        <f t="shared" si="73"/>
        <v>123.94799999995325</v>
      </c>
      <c r="E172" s="311"/>
      <c r="F172" s="311">
        <f t="shared" ref="F172:H172" si="74">SUM(F162:F170)</f>
        <v>29.002999999865473</v>
      </c>
      <c r="G172" s="311">
        <f t="shared" si="74"/>
        <v>63.026000000041265</v>
      </c>
      <c r="H172" s="311">
        <f t="shared" si="74"/>
        <v>92.028999999906731</v>
      </c>
      <c r="I172" s="311"/>
      <c r="J172" s="311">
        <f t="shared" ref="J172:L172" si="75">SUM(J162:J170)</f>
        <v>24.360000000019099</v>
      </c>
      <c r="K172" s="311">
        <f t="shared" si="75"/>
        <v>48.68000000020433</v>
      </c>
      <c r="L172" s="311">
        <f t="shared" si="75"/>
        <v>73.040000000223429</v>
      </c>
      <c r="M172" s="236"/>
      <c r="N172" s="236"/>
    </row>
    <row r="173" spans="1:14" x14ac:dyDescent="0.3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3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35</v>
      </c>
      <c r="M174" s="236"/>
      <c r="N174" s="236"/>
    </row>
    <row r="175" spans="1:14" x14ac:dyDescent="0.3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3">
      <c r="A176" s="241" t="str">
        <f>name!A13</f>
        <v>Coke and petroleum; Chemicals, etc</v>
      </c>
      <c r="B176" s="373">
        <f>B$6</f>
        <v>2015</v>
      </c>
      <c r="C176" s="373"/>
      <c r="D176" s="373"/>
      <c r="E176" s="253"/>
      <c r="F176" s="373">
        <f>F159</f>
        <v>2020</v>
      </c>
      <c r="G176" s="373"/>
      <c r="H176" s="373"/>
      <c r="I176" s="253"/>
      <c r="J176" s="373">
        <f>J159</f>
        <v>2035</v>
      </c>
      <c r="K176" s="373"/>
      <c r="L176" s="373"/>
      <c r="M176" s="236"/>
      <c r="N176" s="236"/>
    </row>
    <row r="177" spans="1:14" x14ac:dyDescent="0.3">
      <c r="A177" s="254"/>
      <c r="B177" s="255" t="s">
        <v>352</v>
      </c>
      <c r="C177" s="255" t="s">
        <v>353</v>
      </c>
      <c r="D177" s="255" t="s">
        <v>32</v>
      </c>
      <c r="E177" s="255"/>
      <c r="F177" s="255" t="s">
        <v>352</v>
      </c>
      <c r="G177" s="255" t="s">
        <v>353</v>
      </c>
      <c r="H177" s="255" t="s">
        <v>32</v>
      </c>
      <c r="I177" s="255"/>
      <c r="J177" s="255" t="s">
        <v>352</v>
      </c>
      <c r="K177" s="255" t="s">
        <v>353</v>
      </c>
      <c r="L177" s="255" t="s">
        <v>32</v>
      </c>
      <c r="M177" s="236"/>
      <c r="N177" s="236"/>
    </row>
    <row r="178" spans="1:14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3">
      <c r="A179" s="237" t="str">
        <f>name!E$4</f>
        <v>Managers, directors and senior officials</v>
      </c>
      <c r="B179" s="302">
        <v>3.5182346475464881</v>
      </c>
      <c r="C179" s="302">
        <v>10.91684766747758</v>
      </c>
      <c r="D179" s="302">
        <f>SUM(B179:C179)</f>
        <v>14.435082315024069</v>
      </c>
      <c r="E179" s="303"/>
      <c r="F179" s="302">
        <v>4.605554628656769</v>
      </c>
      <c r="G179" s="302">
        <v>12.323154152201715</v>
      </c>
      <c r="H179" s="302">
        <f>SUM(F179:G179)</f>
        <v>16.928708780858486</v>
      </c>
      <c r="I179" s="303"/>
      <c r="J179" s="302">
        <v>4.6470890285632374</v>
      </c>
      <c r="K179" s="302">
        <v>10.487291286418918</v>
      </c>
      <c r="L179" s="302">
        <f>SUM(J179:K179)</f>
        <v>15.134380314982156</v>
      </c>
      <c r="M179" s="236"/>
      <c r="N179" s="236"/>
    </row>
    <row r="180" spans="1:14" x14ac:dyDescent="0.3">
      <c r="A180" s="237" t="str">
        <f>name!E$5</f>
        <v>Professional occupations</v>
      </c>
      <c r="B180" s="302">
        <v>4.9475020053491834</v>
      </c>
      <c r="C180" s="302">
        <v>21.052724069528452</v>
      </c>
      <c r="D180" s="302">
        <f t="shared" ref="D180:D187" si="76">SUM(B180:C180)</f>
        <v>26.000226074877634</v>
      </c>
      <c r="E180" s="303"/>
      <c r="F180" s="302">
        <v>6.9121976012538653</v>
      </c>
      <c r="G180" s="302">
        <v>25.550444668205909</v>
      </c>
      <c r="H180" s="302">
        <f t="shared" ref="H180:H187" si="77">SUM(F180:G180)</f>
        <v>32.462642269459778</v>
      </c>
      <c r="I180" s="303"/>
      <c r="J180" s="302">
        <v>7.5500069303053241</v>
      </c>
      <c r="K180" s="302">
        <v>24.152528600791811</v>
      </c>
      <c r="L180" s="302">
        <f t="shared" ref="L180:L187" si="78">SUM(J180:K180)</f>
        <v>31.702535531097134</v>
      </c>
      <c r="M180" s="236"/>
      <c r="N180" s="236"/>
    </row>
    <row r="181" spans="1:14" x14ac:dyDescent="0.3">
      <c r="A181" s="237" t="str">
        <f>name!E$6</f>
        <v>Associate professional occupations</v>
      </c>
      <c r="B181" s="302">
        <v>4.360392412886811</v>
      </c>
      <c r="C181" s="302">
        <v>10.024560676419453</v>
      </c>
      <c r="D181" s="302">
        <f t="shared" si="76"/>
        <v>14.384953089306265</v>
      </c>
      <c r="E181" s="303"/>
      <c r="F181" s="302">
        <v>5.4685981355413613</v>
      </c>
      <c r="G181" s="302">
        <v>11.942500074244718</v>
      </c>
      <c r="H181" s="302">
        <f t="shared" si="77"/>
        <v>17.411098209786079</v>
      </c>
      <c r="I181" s="303"/>
      <c r="J181" s="302">
        <v>5.2405749831134045</v>
      </c>
      <c r="K181" s="302">
        <v>9.1834134589138774</v>
      </c>
      <c r="L181" s="302">
        <f t="shared" si="78"/>
        <v>14.423988442027282</v>
      </c>
      <c r="M181" s="236"/>
      <c r="N181" s="236"/>
    </row>
    <row r="182" spans="1:14" x14ac:dyDescent="0.3">
      <c r="A182" s="237" t="str">
        <f>name!E$7</f>
        <v>Administrative and secretarial occupations</v>
      </c>
      <c r="B182" s="302">
        <v>4.6224796557794852</v>
      </c>
      <c r="C182" s="302">
        <v>4.5779077638990193</v>
      </c>
      <c r="D182" s="302">
        <f t="shared" si="76"/>
        <v>9.2003874196785045</v>
      </c>
      <c r="E182" s="303"/>
      <c r="F182" s="302">
        <v>4.887086047535627</v>
      </c>
      <c r="G182" s="302">
        <v>5.1921779260444723</v>
      </c>
      <c r="H182" s="302">
        <f t="shared" si="77"/>
        <v>10.079263973580099</v>
      </c>
      <c r="I182" s="303"/>
      <c r="J182" s="302">
        <v>3.4793416371338264</v>
      </c>
      <c r="K182" s="302">
        <v>4.4628369211977557</v>
      </c>
      <c r="L182" s="302">
        <f t="shared" si="78"/>
        <v>7.942178558331582</v>
      </c>
      <c r="M182" s="236"/>
      <c r="N182" s="236"/>
    </row>
    <row r="183" spans="1:14" x14ac:dyDescent="0.3">
      <c r="A183" s="237" t="str">
        <f>name!E$8</f>
        <v>Skilled trades occupations</v>
      </c>
      <c r="B183" s="302">
        <v>0.66398047059844811</v>
      </c>
      <c r="C183" s="302">
        <v>6.82378760234017</v>
      </c>
      <c r="D183" s="302">
        <f t="shared" si="76"/>
        <v>7.4877680729386178</v>
      </c>
      <c r="E183" s="303"/>
      <c r="F183" s="302">
        <v>0.79240755118360784</v>
      </c>
      <c r="G183" s="302">
        <v>5.4800874173852518</v>
      </c>
      <c r="H183" s="302">
        <f t="shared" si="77"/>
        <v>6.2724949685688598</v>
      </c>
      <c r="I183" s="303"/>
      <c r="J183" s="302">
        <v>0.97558338694323099</v>
      </c>
      <c r="K183" s="302">
        <v>3.9841299640289507</v>
      </c>
      <c r="L183" s="302">
        <f t="shared" si="78"/>
        <v>4.9597133509721818</v>
      </c>
      <c r="M183" s="236"/>
      <c r="N183" s="236"/>
    </row>
    <row r="184" spans="1:14" x14ac:dyDescent="0.3">
      <c r="A184" s="237" t="str">
        <f>name!E$9</f>
        <v>Caring, leisure and other service occupations</v>
      </c>
      <c r="B184" s="302">
        <v>1.0227075737590723</v>
      </c>
      <c r="C184" s="302">
        <v>0.35201013529510006</v>
      </c>
      <c r="D184" s="302">
        <f t="shared" si="76"/>
        <v>1.3747177090541722</v>
      </c>
      <c r="E184" s="303"/>
      <c r="F184" s="302">
        <v>1.3545266124447286</v>
      </c>
      <c r="G184" s="302">
        <v>0.42757479757817163</v>
      </c>
      <c r="H184" s="302">
        <f t="shared" si="77"/>
        <v>1.7821014100229002</v>
      </c>
      <c r="I184" s="303"/>
      <c r="J184" s="302">
        <v>1.1317767429393686</v>
      </c>
      <c r="K184" s="302">
        <v>0.51859057420814425</v>
      </c>
      <c r="L184" s="302">
        <f t="shared" si="78"/>
        <v>1.6503673171475128</v>
      </c>
      <c r="M184" s="236"/>
      <c r="N184" s="236"/>
    </row>
    <row r="185" spans="1:14" x14ac:dyDescent="0.3">
      <c r="A185" s="237" t="str">
        <f>name!E$10</f>
        <v>Sales and customer service occupations</v>
      </c>
      <c r="B185" s="302">
        <v>2.2826306448028473</v>
      </c>
      <c r="C185" s="302">
        <v>1.3277120401714468</v>
      </c>
      <c r="D185" s="302">
        <f t="shared" si="76"/>
        <v>3.6103426849742943</v>
      </c>
      <c r="E185" s="303"/>
      <c r="F185" s="302">
        <v>2.3344388290362561</v>
      </c>
      <c r="G185" s="302">
        <v>1.3738192249040893</v>
      </c>
      <c r="H185" s="302">
        <f t="shared" si="77"/>
        <v>3.7082580539403454</v>
      </c>
      <c r="I185" s="303"/>
      <c r="J185" s="302">
        <v>2.150869638091649</v>
      </c>
      <c r="K185" s="302">
        <v>1.3944639026954289</v>
      </c>
      <c r="L185" s="302">
        <f t="shared" si="78"/>
        <v>3.5453335407870776</v>
      </c>
      <c r="M185" s="236"/>
      <c r="N185" s="236"/>
    </row>
    <row r="186" spans="1:14" x14ac:dyDescent="0.3">
      <c r="A186" s="237" t="str">
        <f>name!E$11</f>
        <v>Process, plant and machine operatives</v>
      </c>
      <c r="B186" s="302">
        <v>3.6908394790753225</v>
      </c>
      <c r="C186" s="302">
        <v>17.593117423528195</v>
      </c>
      <c r="D186" s="302">
        <f t="shared" si="76"/>
        <v>21.283956902603517</v>
      </c>
      <c r="E186" s="303"/>
      <c r="F186" s="302">
        <v>3.4476501307887406</v>
      </c>
      <c r="G186" s="302">
        <v>13.755744005068964</v>
      </c>
      <c r="H186" s="302">
        <f t="shared" si="77"/>
        <v>17.203394135857703</v>
      </c>
      <c r="I186" s="303"/>
      <c r="J186" s="302">
        <v>3.4763120008900952</v>
      </c>
      <c r="K186" s="302">
        <v>11.513568333512339</v>
      </c>
      <c r="L186" s="302">
        <f t="shared" si="78"/>
        <v>14.989880334402434</v>
      </c>
      <c r="M186" s="236"/>
      <c r="N186" s="236"/>
    </row>
    <row r="187" spans="1:14" x14ac:dyDescent="0.3">
      <c r="A187" s="237" t="str">
        <f>name!E$12</f>
        <v>Elementary occupations</v>
      </c>
      <c r="B187" s="302">
        <v>3.3762331101096952</v>
      </c>
      <c r="C187" s="302">
        <v>4.7953326211066019</v>
      </c>
      <c r="D187" s="302">
        <f t="shared" si="76"/>
        <v>8.1715657312162975</v>
      </c>
      <c r="E187" s="303"/>
      <c r="F187" s="302">
        <v>3.2225404633329577</v>
      </c>
      <c r="G187" s="302">
        <v>3.9664977341579797</v>
      </c>
      <c r="H187" s="302">
        <f t="shared" si="77"/>
        <v>7.1890381974909374</v>
      </c>
      <c r="I187" s="303"/>
      <c r="J187" s="302">
        <v>2.4874456520316808</v>
      </c>
      <c r="K187" s="302">
        <v>2.3741769581828063</v>
      </c>
      <c r="L187" s="302">
        <f t="shared" si="78"/>
        <v>4.8616226102144875</v>
      </c>
      <c r="M187" s="236"/>
      <c r="N187" s="236"/>
    </row>
    <row r="188" spans="1:14" x14ac:dyDescent="0.3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3">
      <c r="A189" s="244" t="s">
        <v>32</v>
      </c>
      <c r="B189" s="311">
        <f>SUM(B179:B187)</f>
        <v>28.484999999907352</v>
      </c>
      <c r="C189" s="311">
        <f t="shared" ref="C189:D189" si="79">SUM(C179:C187)</f>
        <v>77.463999999766017</v>
      </c>
      <c r="D189" s="311">
        <f t="shared" si="79"/>
        <v>105.94899999967339</v>
      </c>
      <c r="E189" s="311"/>
      <c r="F189" s="311">
        <f t="shared" ref="F189:H189" si="80">SUM(F179:F187)</f>
        <v>33.024999999773911</v>
      </c>
      <c r="G189" s="311">
        <f t="shared" si="80"/>
        <v>80.011999999791271</v>
      </c>
      <c r="H189" s="311">
        <f t="shared" si="80"/>
        <v>113.03699999956518</v>
      </c>
      <c r="I189" s="311"/>
      <c r="J189" s="311">
        <f t="shared" ref="J189:L189" si="81">SUM(J179:J187)</f>
        <v>31.139000000011819</v>
      </c>
      <c r="K189" s="311">
        <f t="shared" si="81"/>
        <v>68.070999999950033</v>
      </c>
      <c r="L189" s="311">
        <f t="shared" si="81"/>
        <v>99.209999999961838</v>
      </c>
      <c r="M189" s="236"/>
      <c r="N189" s="236"/>
    </row>
    <row r="190" spans="1:14" x14ac:dyDescent="0.3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3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35</v>
      </c>
      <c r="M191" s="236"/>
      <c r="N191" s="236"/>
    </row>
    <row r="192" spans="1:14" x14ac:dyDescent="0.3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3">
      <c r="A193" s="241" t="str">
        <f>name!A14</f>
        <v>Pharmaceuticals</v>
      </c>
      <c r="B193" s="373">
        <f>B$6</f>
        <v>2015</v>
      </c>
      <c r="C193" s="373"/>
      <c r="D193" s="373"/>
      <c r="E193" s="253"/>
      <c r="F193" s="373">
        <f>F176</f>
        <v>2020</v>
      </c>
      <c r="G193" s="373"/>
      <c r="H193" s="373"/>
      <c r="I193" s="253"/>
      <c r="J193" s="373">
        <f>J176</f>
        <v>2035</v>
      </c>
      <c r="K193" s="373"/>
      <c r="L193" s="373"/>
      <c r="M193" s="236"/>
      <c r="N193" s="236"/>
    </row>
    <row r="194" spans="1:14" x14ac:dyDescent="0.3">
      <c r="A194" s="254"/>
      <c r="B194" s="255" t="s">
        <v>352</v>
      </c>
      <c r="C194" s="255" t="s">
        <v>353</v>
      </c>
      <c r="D194" s="255" t="s">
        <v>32</v>
      </c>
      <c r="E194" s="255"/>
      <c r="F194" s="255" t="s">
        <v>352</v>
      </c>
      <c r="G194" s="255" t="s">
        <v>353</v>
      </c>
      <c r="H194" s="255" t="s">
        <v>32</v>
      </c>
      <c r="I194" s="255"/>
      <c r="J194" s="255" t="s">
        <v>352</v>
      </c>
      <c r="K194" s="255" t="s">
        <v>353</v>
      </c>
      <c r="L194" s="255" t="s">
        <v>32</v>
      </c>
      <c r="M194" s="236"/>
      <c r="N194" s="236"/>
    </row>
    <row r="195" spans="1:14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3">
      <c r="A196" s="237" t="str">
        <f>name!E$4</f>
        <v>Managers, directors and senior officials</v>
      </c>
      <c r="B196" s="302">
        <v>1.2496284245965608</v>
      </c>
      <c r="C196" s="302">
        <v>3.6815900397103616</v>
      </c>
      <c r="D196" s="302">
        <f>SUM(B196:C196)</f>
        <v>4.9312184643069221</v>
      </c>
      <c r="E196" s="303"/>
      <c r="F196" s="302">
        <v>1.6413488609724469</v>
      </c>
      <c r="G196" s="302">
        <v>4.8021607857482174</v>
      </c>
      <c r="H196" s="302">
        <f>SUM(F196:G196)</f>
        <v>6.4435096467206643</v>
      </c>
      <c r="I196" s="303"/>
      <c r="J196" s="302">
        <v>1.6817475902721295</v>
      </c>
      <c r="K196" s="302">
        <v>4.9559531335523133</v>
      </c>
      <c r="L196" s="302">
        <f>SUM(J196:K196)</f>
        <v>6.6377007238244428</v>
      </c>
      <c r="M196" s="236"/>
      <c r="N196" s="236"/>
    </row>
    <row r="197" spans="1:14" x14ac:dyDescent="0.3">
      <c r="A197" s="237" t="str">
        <f>name!E$5</f>
        <v>Professional occupations</v>
      </c>
      <c r="B197" s="302">
        <v>5.6255582547694063</v>
      </c>
      <c r="C197" s="302">
        <v>9.4252955111559249</v>
      </c>
      <c r="D197" s="302">
        <f t="shared" ref="D197:D204" si="82">SUM(B197:C197)</f>
        <v>15.050853765925332</v>
      </c>
      <c r="E197" s="303"/>
      <c r="F197" s="302">
        <v>7.9665968045438866</v>
      </c>
      <c r="G197" s="302">
        <v>13.194707161255293</v>
      </c>
      <c r="H197" s="302">
        <f t="shared" ref="H197:H204" si="83">SUM(F197:G197)</f>
        <v>21.161303965799178</v>
      </c>
      <c r="I197" s="303"/>
      <c r="J197" s="302">
        <v>8.5144044550421523</v>
      </c>
      <c r="K197" s="302">
        <v>14.76944776527391</v>
      </c>
      <c r="L197" s="302">
        <f t="shared" ref="L197:L204" si="84">SUM(J197:K197)</f>
        <v>23.283852220316064</v>
      </c>
      <c r="M197" s="236"/>
      <c r="N197" s="236"/>
    </row>
    <row r="198" spans="1:14" x14ac:dyDescent="0.3">
      <c r="A198" s="237" t="str">
        <f>name!E$6</f>
        <v>Associate professional occupations</v>
      </c>
      <c r="B198" s="302">
        <v>3.0915854389860011</v>
      </c>
      <c r="C198" s="302">
        <v>3.5790111709112025</v>
      </c>
      <c r="D198" s="302">
        <f t="shared" si="82"/>
        <v>6.6705966098972036</v>
      </c>
      <c r="E198" s="303"/>
      <c r="F198" s="302">
        <v>4.1787213539954111</v>
      </c>
      <c r="G198" s="302">
        <v>4.7873186506419572</v>
      </c>
      <c r="H198" s="302">
        <f t="shared" si="83"/>
        <v>8.9660400046373674</v>
      </c>
      <c r="I198" s="303"/>
      <c r="J198" s="302">
        <v>4.1228867624621612</v>
      </c>
      <c r="K198" s="302">
        <v>4.5590739159608038</v>
      </c>
      <c r="L198" s="302">
        <f t="shared" si="84"/>
        <v>8.6819606784229642</v>
      </c>
      <c r="M198" s="236"/>
      <c r="N198" s="236"/>
    </row>
    <row r="199" spans="1:14" x14ac:dyDescent="0.3">
      <c r="A199" s="237" t="str">
        <f>name!E$7</f>
        <v>Administrative and secretarial occupations</v>
      </c>
      <c r="B199" s="302">
        <v>2.224339882616273</v>
      </c>
      <c r="C199" s="302">
        <v>0.55427650603970158</v>
      </c>
      <c r="D199" s="302">
        <f t="shared" si="82"/>
        <v>2.7786163886559745</v>
      </c>
      <c r="E199" s="303"/>
      <c r="F199" s="302">
        <v>2.3234864356834803</v>
      </c>
      <c r="G199" s="302">
        <v>0.6362233553865202</v>
      </c>
      <c r="H199" s="302">
        <f t="shared" si="83"/>
        <v>2.9597097910700008</v>
      </c>
      <c r="I199" s="303"/>
      <c r="J199" s="302">
        <v>1.5479492302761881</v>
      </c>
      <c r="K199" s="302">
        <v>0.68493093603770749</v>
      </c>
      <c r="L199" s="302">
        <f t="shared" si="84"/>
        <v>2.2328801663138957</v>
      </c>
      <c r="M199" s="236"/>
      <c r="N199" s="236"/>
    </row>
    <row r="200" spans="1:14" x14ac:dyDescent="0.3">
      <c r="A200" s="237" t="str">
        <f>name!E$8</f>
        <v>Skilled trades occupations</v>
      </c>
      <c r="B200" s="302">
        <v>0.21579238020608266</v>
      </c>
      <c r="C200" s="302">
        <v>2.4402713129290015</v>
      </c>
      <c r="D200" s="302">
        <f t="shared" si="82"/>
        <v>2.6560636931350841</v>
      </c>
      <c r="E200" s="303"/>
      <c r="F200" s="302">
        <v>0.38373584517001824</v>
      </c>
      <c r="G200" s="302">
        <v>2.5148720150634016</v>
      </c>
      <c r="H200" s="302">
        <f t="shared" si="83"/>
        <v>2.8986078602334198</v>
      </c>
      <c r="I200" s="303"/>
      <c r="J200" s="302">
        <v>0.56681224655212559</v>
      </c>
      <c r="K200" s="302">
        <v>2.2802364442605438</v>
      </c>
      <c r="L200" s="302">
        <f t="shared" si="84"/>
        <v>2.8470486908126693</v>
      </c>
      <c r="M200" s="236"/>
      <c r="N200" s="236"/>
    </row>
    <row r="201" spans="1:14" x14ac:dyDescent="0.3">
      <c r="A201" s="237" t="str">
        <f>name!E$9</f>
        <v>Caring, leisure and other service occupations</v>
      </c>
      <c r="B201" s="302">
        <v>0.65575239109721317</v>
      </c>
      <c r="C201" s="302">
        <v>0.30190328834961416</v>
      </c>
      <c r="D201" s="302">
        <f t="shared" si="82"/>
        <v>0.95765567944682739</v>
      </c>
      <c r="E201" s="303"/>
      <c r="F201" s="302">
        <v>0.58258224546588666</v>
      </c>
      <c r="G201" s="302">
        <v>0.34330210598266614</v>
      </c>
      <c r="H201" s="302">
        <f t="shared" si="83"/>
        <v>0.92588435144855286</v>
      </c>
      <c r="I201" s="303"/>
      <c r="J201" s="302">
        <v>0.49196495180914129</v>
      </c>
      <c r="K201" s="302">
        <v>0.40310493063396907</v>
      </c>
      <c r="L201" s="302">
        <f t="shared" si="84"/>
        <v>0.89506988244311037</v>
      </c>
      <c r="M201" s="236"/>
      <c r="N201" s="236"/>
    </row>
    <row r="202" spans="1:14" x14ac:dyDescent="0.3">
      <c r="A202" s="237" t="str">
        <f>name!E$10</f>
        <v>Sales and customer service occupations</v>
      </c>
      <c r="B202" s="302">
        <v>0.61427630879478756</v>
      </c>
      <c r="C202" s="302">
        <v>0.5556768090284766</v>
      </c>
      <c r="D202" s="302">
        <f t="shared" si="82"/>
        <v>1.1699531178232641</v>
      </c>
      <c r="E202" s="303"/>
      <c r="F202" s="302">
        <v>0.65871960862214884</v>
      </c>
      <c r="G202" s="302">
        <v>0.56122736659167005</v>
      </c>
      <c r="H202" s="302">
        <f t="shared" si="83"/>
        <v>1.2199469752138188</v>
      </c>
      <c r="I202" s="303"/>
      <c r="J202" s="302">
        <v>0.65951338101258594</v>
      </c>
      <c r="K202" s="302">
        <v>0.65500909113818917</v>
      </c>
      <c r="L202" s="302">
        <f t="shared" si="84"/>
        <v>1.3145224721507751</v>
      </c>
      <c r="M202" s="236"/>
      <c r="N202" s="236"/>
    </row>
    <row r="203" spans="1:14" x14ac:dyDescent="0.3">
      <c r="A203" s="237" t="str">
        <f>name!E$11</f>
        <v>Process, plant and machine operatives</v>
      </c>
      <c r="B203" s="302">
        <v>1.1980795759183429</v>
      </c>
      <c r="C203" s="302">
        <v>3.4765050197874161</v>
      </c>
      <c r="D203" s="302">
        <f t="shared" si="82"/>
        <v>4.6745845957057588</v>
      </c>
      <c r="E203" s="303"/>
      <c r="F203" s="302">
        <v>1.0573494691938545</v>
      </c>
      <c r="G203" s="302">
        <v>3.3057759975025265</v>
      </c>
      <c r="H203" s="302">
        <f t="shared" si="83"/>
        <v>4.3631254666963812</v>
      </c>
      <c r="I203" s="303"/>
      <c r="J203" s="302">
        <v>1.138464443422758</v>
      </c>
      <c r="K203" s="302">
        <v>3.3097942899140449</v>
      </c>
      <c r="L203" s="302">
        <f t="shared" si="84"/>
        <v>4.4482587333368029</v>
      </c>
      <c r="M203" s="236"/>
      <c r="N203" s="236"/>
    </row>
    <row r="204" spans="1:14" x14ac:dyDescent="0.3">
      <c r="A204" s="237" t="str">
        <f>name!E$12</f>
        <v>Elementary occupations</v>
      </c>
      <c r="B204" s="302">
        <v>2.1169873429491641</v>
      </c>
      <c r="C204" s="302">
        <v>0.97647034201735738</v>
      </c>
      <c r="D204" s="302">
        <f t="shared" si="82"/>
        <v>3.0934576849665216</v>
      </c>
      <c r="E204" s="303"/>
      <c r="F204" s="302">
        <v>1.217459376236633</v>
      </c>
      <c r="G204" s="302">
        <v>0.85241256176719271</v>
      </c>
      <c r="H204" s="302">
        <f t="shared" si="83"/>
        <v>2.0698719380038257</v>
      </c>
      <c r="I204" s="303"/>
      <c r="J204" s="302">
        <v>1.009256939233341</v>
      </c>
      <c r="K204" s="302">
        <v>0.73544949319848119</v>
      </c>
      <c r="L204" s="302">
        <f t="shared" si="84"/>
        <v>1.7447064324318222</v>
      </c>
      <c r="M204" s="236"/>
      <c r="N204" s="236"/>
    </row>
    <row r="205" spans="1:14" x14ac:dyDescent="0.3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3">
      <c r="A206" s="244" t="s">
        <v>32</v>
      </c>
      <c r="B206" s="311">
        <f>SUM(B196:B204)</f>
        <v>16.991999999933832</v>
      </c>
      <c r="C206" s="311">
        <f t="shared" ref="C206:D206" si="85">SUM(C196:C204)</f>
        <v>24.990999999929059</v>
      </c>
      <c r="D206" s="311">
        <f t="shared" si="85"/>
        <v>41.982999999862891</v>
      </c>
      <c r="E206" s="311"/>
      <c r="F206" s="311">
        <f t="shared" ref="F206:H206" si="86">SUM(F196:F204)</f>
        <v>20.009999999883767</v>
      </c>
      <c r="G206" s="311">
        <f t="shared" si="86"/>
        <v>30.997999999939442</v>
      </c>
      <c r="H206" s="311">
        <f t="shared" si="86"/>
        <v>51.007999999823205</v>
      </c>
      <c r="I206" s="311"/>
      <c r="J206" s="311">
        <f t="shared" ref="J206:L206" si="87">SUM(J196:J204)</f>
        <v>19.733000000082587</v>
      </c>
      <c r="K206" s="311">
        <f t="shared" si="87"/>
        <v>32.352999999969967</v>
      </c>
      <c r="L206" s="311">
        <f t="shared" si="87"/>
        <v>52.086000000052543</v>
      </c>
      <c r="M206" s="236"/>
      <c r="N206" s="236"/>
    </row>
    <row r="207" spans="1:14" x14ac:dyDescent="0.3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3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35</v>
      </c>
      <c r="M208" s="236"/>
      <c r="N208" s="236"/>
    </row>
    <row r="209" spans="1:14" x14ac:dyDescent="0.3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3">
      <c r="A210" s="241" t="str">
        <f>name!A15</f>
        <v>Rubber and plastic</v>
      </c>
      <c r="B210" s="373">
        <f>B$6</f>
        <v>2015</v>
      </c>
      <c r="C210" s="373"/>
      <c r="D210" s="373"/>
      <c r="E210" s="253"/>
      <c r="F210" s="373">
        <f>F193</f>
        <v>2020</v>
      </c>
      <c r="G210" s="373"/>
      <c r="H210" s="373"/>
      <c r="I210" s="253"/>
      <c r="J210" s="373">
        <f>J193</f>
        <v>2035</v>
      </c>
      <c r="K210" s="373"/>
      <c r="L210" s="373"/>
      <c r="M210" s="236"/>
      <c r="N210" s="236"/>
    </row>
    <row r="211" spans="1:14" x14ac:dyDescent="0.3">
      <c r="A211" s="254"/>
      <c r="B211" s="255" t="s">
        <v>352</v>
      </c>
      <c r="C211" s="255" t="s">
        <v>353</v>
      </c>
      <c r="D211" s="255" t="s">
        <v>32</v>
      </c>
      <c r="E211" s="255"/>
      <c r="F211" s="255" t="s">
        <v>352</v>
      </c>
      <c r="G211" s="255" t="s">
        <v>353</v>
      </c>
      <c r="H211" s="255" t="s">
        <v>32</v>
      </c>
      <c r="I211" s="255"/>
      <c r="J211" s="255" t="s">
        <v>352</v>
      </c>
      <c r="K211" s="255" t="s">
        <v>353</v>
      </c>
      <c r="L211" s="255" t="s">
        <v>32</v>
      </c>
      <c r="M211" s="236"/>
      <c r="N211" s="236"/>
    </row>
    <row r="212" spans="1:14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3">
      <c r="A213" s="237" t="str">
        <f>name!E$4</f>
        <v>Managers, directors and senior officials</v>
      </c>
      <c r="B213" s="302">
        <v>3.3446582808423528</v>
      </c>
      <c r="C213" s="302">
        <v>17.388969458460828</v>
      </c>
      <c r="D213" s="302">
        <f>SUM(B213:C213)</f>
        <v>20.733627739303181</v>
      </c>
      <c r="E213" s="303"/>
      <c r="F213" s="302">
        <v>4.5263793064810356</v>
      </c>
      <c r="G213" s="302">
        <v>20.352158579348849</v>
      </c>
      <c r="H213" s="302">
        <f>SUM(F213:G213)</f>
        <v>24.878537885829886</v>
      </c>
      <c r="I213" s="303"/>
      <c r="J213" s="302">
        <v>4.3131273659050926</v>
      </c>
      <c r="K213" s="302">
        <v>18.173858480546631</v>
      </c>
      <c r="L213" s="302">
        <f>SUM(J213:K213)</f>
        <v>22.486985846451724</v>
      </c>
      <c r="M213" s="236"/>
      <c r="N213" s="236"/>
    </row>
    <row r="214" spans="1:14" x14ac:dyDescent="0.3">
      <c r="A214" s="237" t="str">
        <f>name!E$5</f>
        <v>Professional occupations</v>
      </c>
      <c r="B214" s="302">
        <v>3.1996722875005537</v>
      </c>
      <c r="C214" s="302">
        <v>13.760406684428268</v>
      </c>
      <c r="D214" s="302">
        <f t="shared" ref="D214:D221" si="88">SUM(B214:C214)</f>
        <v>16.960078971928823</v>
      </c>
      <c r="E214" s="303"/>
      <c r="F214" s="302">
        <v>4.8639925669238684</v>
      </c>
      <c r="G214" s="302">
        <v>18.23779783779521</v>
      </c>
      <c r="H214" s="302">
        <f t="shared" ref="H214:H221" si="89">SUM(F214:G214)</f>
        <v>23.101790404719079</v>
      </c>
      <c r="I214" s="303"/>
      <c r="J214" s="302">
        <v>5.0875759163022645</v>
      </c>
      <c r="K214" s="302">
        <v>19.122230629924726</v>
      </c>
      <c r="L214" s="302">
        <f t="shared" ref="L214:L221" si="90">SUM(J214:K214)</f>
        <v>24.209806546226989</v>
      </c>
      <c r="M214" s="236"/>
      <c r="N214" s="236"/>
    </row>
    <row r="215" spans="1:14" x14ac:dyDescent="0.3">
      <c r="A215" s="237" t="str">
        <f>name!E$6</f>
        <v>Associate professional occupations</v>
      </c>
      <c r="B215" s="302">
        <v>3.7387900483167367</v>
      </c>
      <c r="C215" s="302">
        <v>12.805110746185244</v>
      </c>
      <c r="D215" s="302">
        <f t="shared" si="88"/>
        <v>16.54390079450198</v>
      </c>
      <c r="E215" s="303"/>
      <c r="F215" s="302">
        <v>4.7372173415044712</v>
      </c>
      <c r="G215" s="302">
        <v>16.202858350235591</v>
      </c>
      <c r="H215" s="302">
        <f t="shared" si="89"/>
        <v>20.940075691740063</v>
      </c>
      <c r="I215" s="303"/>
      <c r="J215" s="302">
        <v>4.0986650501980018</v>
      </c>
      <c r="K215" s="302">
        <v>13.138572827747355</v>
      </c>
      <c r="L215" s="302">
        <f t="shared" si="90"/>
        <v>17.237237877945358</v>
      </c>
      <c r="M215" s="236"/>
      <c r="N215" s="236"/>
    </row>
    <row r="216" spans="1:14" x14ac:dyDescent="0.3">
      <c r="A216" s="237" t="str">
        <f>name!E$7</f>
        <v>Administrative and secretarial occupations</v>
      </c>
      <c r="B216" s="302">
        <v>10.34751107310081</v>
      </c>
      <c r="C216" s="302">
        <v>3.1100816968986034</v>
      </c>
      <c r="D216" s="302">
        <f t="shared" si="88"/>
        <v>13.457592769999414</v>
      </c>
      <c r="E216" s="303"/>
      <c r="F216" s="302">
        <v>11.503457142548896</v>
      </c>
      <c r="G216" s="302">
        <v>3.6508876605168954</v>
      </c>
      <c r="H216" s="302">
        <f t="shared" si="89"/>
        <v>15.154344803065792</v>
      </c>
      <c r="I216" s="303"/>
      <c r="J216" s="302">
        <v>7.4157766874218387</v>
      </c>
      <c r="K216" s="302">
        <v>3.2639254392024633</v>
      </c>
      <c r="L216" s="302">
        <f t="shared" si="90"/>
        <v>10.679702126624303</v>
      </c>
      <c r="M216" s="236"/>
      <c r="N216" s="236"/>
    </row>
    <row r="217" spans="1:14" x14ac:dyDescent="0.3">
      <c r="A217" s="237" t="str">
        <f>name!E$8</f>
        <v>Skilled trades occupations</v>
      </c>
      <c r="B217" s="302">
        <v>1.9952266597440995</v>
      </c>
      <c r="C217" s="302">
        <v>32.675343190355122</v>
      </c>
      <c r="D217" s="302">
        <f t="shared" si="88"/>
        <v>34.67056985009922</v>
      </c>
      <c r="E217" s="303"/>
      <c r="F217" s="302">
        <v>2.1354645684545774</v>
      </c>
      <c r="G217" s="302">
        <v>27.354452419345456</v>
      </c>
      <c r="H217" s="302">
        <f t="shared" si="89"/>
        <v>29.489916987800033</v>
      </c>
      <c r="I217" s="303"/>
      <c r="J217" s="302">
        <v>2.5435661080136396</v>
      </c>
      <c r="K217" s="302">
        <v>21.12456270041832</v>
      </c>
      <c r="L217" s="302">
        <f t="shared" si="90"/>
        <v>23.668128808431959</v>
      </c>
      <c r="M217" s="236"/>
      <c r="N217" s="236"/>
    </row>
    <row r="218" spans="1:14" x14ac:dyDescent="0.3">
      <c r="A218" s="237" t="str">
        <f>name!E$9</f>
        <v>Caring, leisure and other service occupations</v>
      </c>
      <c r="B218" s="302">
        <v>1.6221056948368695</v>
      </c>
      <c r="C218" s="302">
        <v>1.4403579380185638</v>
      </c>
      <c r="D218" s="302">
        <f t="shared" si="88"/>
        <v>3.0624636328554331</v>
      </c>
      <c r="E218" s="303"/>
      <c r="F218" s="302">
        <v>1.7799831252582463</v>
      </c>
      <c r="G218" s="302">
        <v>1.8583032102307437</v>
      </c>
      <c r="H218" s="302">
        <f t="shared" si="89"/>
        <v>3.6382863354889903</v>
      </c>
      <c r="I218" s="303"/>
      <c r="J218" s="302">
        <v>1.3864261114865142</v>
      </c>
      <c r="K218" s="302">
        <v>2.5693899654348504</v>
      </c>
      <c r="L218" s="302">
        <f t="shared" si="90"/>
        <v>3.9558160769213648</v>
      </c>
      <c r="M218" s="236"/>
      <c r="N218" s="236"/>
    </row>
    <row r="219" spans="1:14" x14ac:dyDescent="0.3">
      <c r="A219" s="237" t="str">
        <f>name!E$10</f>
        <v>Sales and customer service occupations</v>
      </c>
      <c r="B219" s="302">
        <v>2.5807286842630837</v>
      </c>
      <c r="C219" s="302">
        <v>4.4745476137427049</v>
      </c>
      <c r="D219" s="302">
        <f t="shared" si="88"/>
        <v>7.0552762980057881</v>
      </c>
      <c r="E219" s="303"/>
      <c r="F219" s="302">
        <v>2.8720601926462268</v>
      </c>
      <c r="G219" s="302">
        <v>4.5655428285044755</v>
      </c>
      <c r="H219" s="302">
        <f t="shared" si="89"/>
        <v>7.4376030211507018</v>
      </c>
      <c r="I219" s="303"/>
      <c r="J219" s="302">
        <v>2.4927451889388985</v>
      </c>
      <c r="K219" s="302">
        <v>4.2526949474848381</v>
      </c>
      <c r="L219" s="302">
        <f t="shared" si="90"/>
        <v>6.7454401364237366</v>
      </c>
      <c r="M219" s="236"/>
      <c r="N219" s="236"/>
    </row>
    <row r="220" spans="1:14" x14ac:dyDescent="0.3">
      <c r="A220" s="237" t="str">
        <f>name!E$11</f>
        <v>Process, plant and machine operatives</v>
      </c>
      <c r="B220" s="302">
        <v>5.5172500918966545</v>
      </c>
      <c r="C220" s="302">
        <v>46.847362769061135</v>
      </c>
      <c r="D220" s="302">
        <f t="shared" si="88"/>
        <v>52.364612860957791</v>
      </c>
      <c r="E220" s="303"/>
      <c r="F220" s="302">
        <v>5.0680624241637906</v>
      </c>
      <c r="G220" s="302">
        <v>42.395173867557645</v>
      </c>
      <c r="H220" s="302">
        <f t="shared" si="89"/>
        <v>47.463236291721437</v>
      </c>
      <c r="I220" s="303"/>
      <c r="J220" s="302">
        <v>5.6945162037936754</v>
      </c>
      <c r="K220" s="302">
        <v>39.782800708355119</v>
      </c>
      <c r="L220" s="302">
        <f t="shared" si="90"/>
        <v>45.477316912148794</v>
      </c>
      <c r="M220" s="236"/>
      <c r="N220" s="236"/>
    </row>
    <row r="221" spans="1:14" x14ac:dyDescent="0.3">
      <c r="A221" s="237" t="str">
        <f>name!E$12</f>
        <v>Elementary occupations</v>
      </c>
      <c r="B221" s="302">
        <v>4.4920571795668716</v>
      </c>
      <c r="C221" s="302">
        <v>11.808819902820735</v>
      </c>
      <c r="D221" s="302">
        <f t="shared" si="88"/>
        <v>16.300877082387608</v>
      </c>
      <c r="E221" s="303"/>
      <c r="F221" s="302">
        <v>3.7153833317654059</v>
      </c>
      <c r="G221" s="302">
        <v>10.359825246354252</v>
      </c>
      <c r="H221" s="302">
        <f t="shared" si="89"/>
        <v>14.075208578119657</v>
      </c>
      <c r="I221" s="303"/>
      <c r="J221" s="302">
        <v>2.4286013677877265</v>
      </c>
      <c r="K221" s="302">
        <v>5.906964301261298</v>
      </c>
      <c r="L221" s="302">
        <f t="shared" si="90"/>
        <v>8.335565669049025</v>
      </c>
      <c r="M221" s="236"/>
      <c r="N221" s="236"/>
    </row>
    <row r="222" spans="1:14" x14ac:dyDescent="0.3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3">
      <c r="A223" s="244" t="s">
        <v>32</v>
      </c>
      <c r="B223" s="311">
        <f>SUM(B213:B221)</f>
        <v>36.838000000068028</v>
      </c>
      <c r="C223" s="311">
        <f t="shared" ref="C223:D223" si="91">SUM(C213:C221)</f>
        <v>144.31099999997122</v>
      </c>
      <c r="D223" s="311">
        <f t="shared" si="91"/>
        <v>181.14900000003928</v>
      </c>
      <c r="E223" s="311"/>
      <c r="F223" s="311">
        <f t="shared" ref="F223:H223" si="92">SUM(F213:F221)</f>
        <v>41.201999999746519</v>
      </c>
      <c r="G223" s="311">
        <f t="shared" si="92"/>
        <v>144.97699999988913</v>
      </c>
      <c r="H223" s="311">
        <f t="shared" si="92"/>
        <v>186.17899999963564</v>
      </c>
      <c r="I223" s="311"/>
      <c r="J223" s="311">
        <f t="shared" ref="J223:L223" si="93">SUM(J213:J221)</f>
        <v>35.460999999847651</v>
      </c>
      <c r="K223" s="311">
        <f t="shared" si="93"/>
        <v>127.3350000003756</v>
      </c>
      <c r="L223" s="311">
        <f t="shared" si="93"/>
        <v>162.79600000022327</v>
      </c>
      <c r="M223" s="236"/>
      <c r="N223" s="236"/>
    </row>
    <row r="224" spans="1:14" x14ac:dyDescent="0.3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3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35</v>
      </c>
      <c r="M225" s="236"/>
      <c r="N225" s="236"/>
    </row>
    <row r="226" spans="1:14" x14ac:dyDescent="0.3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3">
      <c r="A227" s="241" t="str">
        <f>name!A16</f>
        <v>Other non-metallic</v>
      </c>
      <c r="B227" s="373">
        <f>B$6</f>
        <v>2015</v>
      </c>
      <c r="C227" s="373"/>
      <c r="D227" s="373"/>
      <c r="E227" s="253"/>
      <c r="F227" s="373">
        <f>F210</f>
        <v>2020</v>
      </c>
      <c r="G227" s="373"/>
      <c r="H227" s="373"/>
      <c r="I227" s="253"/>
      <c r="J227" s="373">
        <f>J210</f>
        <v>2035</v>
      </c>
      <c r="K227" s="373"/>
      <c r="L227" s="373"/>
      <c r="M227" s="236"/>
      <c r="N227" s="236"/>
    </row>
    <row r="228" spans="1:14" x14ac:dyDescent="0.3">
      <c r="A228" s="254"/>
      <c r="B228" s="255" t="s">
        <v>352</v>
      </c>
      <c r="C228" s="255" t="s">
        <v>353</v>
      </c>
      <c r="D228" s="255" t="s">
        <v>32</v>
      </c>
      <c r="E228" s="255"/>
      <c r="F228" s="255" t="s">
        <v>352</v>
      </c>
      <c r="G228" s="255" t="s">
        <v>353</v>
      </c>
      <c r="H228" s="255" t="s">
        <v>32</v>
      </c>
      <c r="I228" s="255"/>
      <c r="J228" s="255" t="s">
        <v>352</v>
      </c>
      <c r="K228" s="255" t="s">
        <v>353</v>
      </c>
      <c r="L228" s="255" t="s">
        <v>32</v>
      </c>
      <c r="M228" s="236"/>
      <c r="N228" s="236"/>
    </row>
    <row r="229" spans="1:14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3">
      <c r="A230" s="237" t="str">
        <f>name!E$4</f>
        <v>Managers, directors and senior officials</v>
      </c>
      <c r="B230" s="302">
        <v>1.5870842020419553</v>
      </c>
      <c r="C230" s="302">
        <v>9.4094072148867216</v>
      </c>
      <c r="D230" s="302">
        <f>SUM(B230:C230)</f>
        <v>10.996491416928677</v>
      </c>
      <c r="E230" s="303"/>
      <c r="F230" s="302">
        <v>2.2689731670413704</v>
      </c>
      <c r="G230" s="302">
        <v>11.554938378406526</v>
      </c>
      <c r="H230" s="302">
        <f>SUM(F230:G230)</f>
        <v>13.823911545447896</v>
      </c>
      <c r="I230" s="303"/>
      <c r="J230" s="302">
        <v>2.0128970297091202</v>
      </c>
      <c r="K230" s="302">
        <v>10.283599257794554</v>
      </c>
      <c r="L230" s="302">
        <f>SUM(J230:K230)</f>
        <v>12.296496287503675</v>
      </c>
      <c r="M230" s="236"/>
      <c r="N230" s="236"/>
    </row>
    <row r="231" spans="1:14" x14ac:dyDescent="0.3">
      <c r="A231" s="237" t="str">
        <f>name!E$5</f>
        <v>Professional occupations</v>
      </c>
      <c r="B231" s="302">
        <v>1.3778260426079227</v>
      </c>
      <c r="C231" s="302">
        <v>6.1969795890905424</v>
      </c>
      <c r="D231" s="302">
        <f t="shared" ref="D231:D238" si="94">SUM(B231:C231)</f>
        <v>7.5748056316984655</v>
      </c>
      <c r="E231" s="303"/>
      <c r="F231" s="302">
        <v>2.2776057414163615</v>
      </c>
      <c r="G231" s="302">
        <v>8.9023673741807325</v>
      </c>
      <c r="H231" s="302">
        <f t="shared" ref="H231:H238" si="95">SUM(F231:G231)</f>
        <v>11.179973115597093</v>
      </c>
      <c r="I231" s="303"/>
      <c r="J231" s="302">
        <v>2.2345587649249392</v>
      </c>
      <c r="K231" s="302">
        <v>9.3999977907351742</v>
      </c>
      <c r="L231" s="302">
        <f t="shared" ref="L231:L238" si="96">SUM(J231:K231)</f>
        <v>11.634556555660113</v>
      </c>
      <c r="M231" s="236"/>
      <c r="N231" s="236"/>
    </row>
    <row r="232" spans="1:14" x14ac:dyDescent="0.3">
      <c r="A232" s="237" t="str">
        <f>name!E$6</f>
        <v>Associate professional occupations</v>
      </c>
      <c r="B232" s="302">
        <v>1.8315864683918361</v>
      </c>
      <c r="C232" s="302">
        <v>5.6979748492012314</v>
      </c>
      <c r="D232" s="302">
        <f t="shared" si="94"/>
        <v>7.5295613175930676</v>
      </c>
      <c r="E232" s="303"/>
      <c r="F232" s="302">
        <v>2.5934821502210381</v>
      </c>
      <c r="G232" s="302">
        <v>7.7650824756526999</v>
      </c>
      <c r="H232" s="302">
        <f t="shared" si="95"/>
        <v>10.358564625873738</v>
      </c>
      <c r="I232" s="303"/>
      <c r="J232" s="302">
        <v>2.2658205655526742</v>
      </c>
      <c r="K232" s="302">
        <v>6.8239412448665258</v>
      </c>
      <c r="L232" s="302">
        <f t="shared" si="96"/>
        <v>9.0897618104191995</v>
      </c>
      <c r="M232" s="236"/>
      <c r="N232" s="236"/>
    </row>
    <row r="233" spans="1:14" x14ac:dyDescent="0.3">
      <c r="A233" s="237" t="str">
        <f>name!E$7</f>
        <v>Administrative and secretarial occupations</v>
      </c>
      <c r="B233" s="302">
        <v>4.5522321726680417</v>
      </c>
      <c r="C233" s="302">
        <v>1.4755239188586606</v>
      </c>
      <c r="D233" s="302">
        <f t="shared" si="94"/>
        <v>6.0277560915267028</v>
      </c>
      <c r="E233" s="303"/>
      <c r="F233" s="302">
        <v>5.461789632446246</v>
      </c>
      <c r="G233" s="302">
        <v>2.0560653097901302</v>
      </c>
      <c r="H233" s="302">
        <f t="shared" si="95"/>
        <v>7.5178549422363758</v>
      </c>
      <c r="I233" s="303"/>
      <c r="J233" s="302">
        <v>3.476938569981936</v>
      </c>
      <c r="K233" s="302">
        <v>1.847787810816963</v>
      </c>
      <c r="L233" s="302">
        <f t="shared" si="96"/>
        <v>5.3247263807988992</v>
      </c>
      <c r="M233" s="236"/>
      <c r="N233" s="236"/>
    </row>
    <row r="234" spans="1:14" x14ac:dyDescent="0.3">
      <c r="A234" s="237" t="str">
        <f>name!E$8</f>
        <v>Skilled trades occupations</v>
      </c>
      <c r="B234" s="302">
        <v>1.1557393256510509</v>
      </c>
      <c r="C234" s="302">
        <v>17.216013084836849</v>
      </c>
      <c r="D234" s="302">
        <f t="shared" si="94"/>
        <v>18.3717524104879</v>
      </c>
      <c r="E234" s="303"/>
      <c r="F234" s="302">
        <v>1.112246273630862</v>
      </c>
      <c r="G234" s="302">
        <v>15.278813471983893</v>
      </c>
      <c r="H234" s="302">
        <f t="shared" si="95"/>
        <v>16.391059745614754</v>
      </c>
      <c r="I234" s="303"/>
      <c r="J234" s="302">
        <v>1.1661226299144831</v>
      </c>
      <c r="K234" s="302">
        <v>11.683015572612202</v>
      </c>
      <c r="L234" s="302">
        <f t="shared" si="96"/>
        <v>12.849138202526685</v>
      </c>
      <c r="M234" s="236"/>
      <c r="N234" s="236"/>
    </row>
    <row r="235" spans="1:14" x14ac:dyDescent="0.3">
      <c r="A235" s="237" t="str">
        <f>name!E$9</f>
        <v>Caring, leisure and other service occupations</v>
      </c>
      <c r="B235" s="302">
        <v>0.51079468036678199</v>
      </c>
      <c r="C235" s="302">
        <v>0.79303101760076344</v>
      </c>
      <c r="D235" s="302">
        <f t="shared" si="94"/>
        <v>1.3038256979675453</v>
      </c>
      <c r="E235" s="303"/>
      <c r="F235" s="302">
        <v>0.5813885046895646</v>
      </c>
      <c r="G235" s="302">
        <v>1.1117638587345884</v>
      </c>
      <c r="H235" s="302">
        <f t="shared" si="95"/>
        <v>1.693152363424153</v>
      </c>
      <c r="I235" s="303"/>
      <c r="J235" s="302">
        <v>0.47846503616268704</v>
      </c>
      <c r="K235" s="302">
        <v>1.4938592848586381</v>
      </c>
      <c r="L235" s="302">
        <f t="shared" si="96"/>
        <v>1.972324321021325</v>
      </c>
      <c r="M235" s="236"/>
      <c r="N235" s="236"/>
    </row>
    <row r="236" spans="1:14" x14ac:dyDescent="0.3">
      <c r="A236" s="237" t="str">
        <f>name!E$10</f>
        <v>Sales and customer service occupations</v>
      </c>
      <c r="B236" s="302">
        <v>1.6474466780562225</v>
      </c>
      <c r="C236" s="302">
        <v>1.2901131217697075</v>
      </c>
      <c r="D236" s="302">
        <f t="shared" si="94"/>
        <v>2.9375597998259302</v>
      </c>
      <c r="E236" s="303"/>
      <c r="F236" s="302">
        <v>1.7299928642344473</v>
      </c>
      <c r="G236" s="302">
        <v>1.4746531125535358</v>
      </c>
      <c r="H236" s="302">
        <f t="shared" si="95"/>
        <v>3.2046459767879831</v>
      </c>
      <c r="I236" s="303"/>
      <c r="J236" s="302">
        <v>1.4357021221096316</v>
      </c>
      <c r="K236" s="302">
        <v>1.5809786691503598</v>
      </c>
      <c r="L236" s="302">
        <f t="shared" si="96"/>
        <v>3.0166807912599913</v>
      </c>
      <c r="M236" s="236"/>
      <c r="N236" s="236"/>
    </row>
    <row r="237" spans="1:14" x14ac:dyDescent="0.3">
      <c r="A237" s="237" t="str">
        <f>name!E$11</f>
        <v>Process, plant and machine operatives</v>
      </c>
      <c r="B237" s="302">
        <v>1.2759590008597057</v>
      </c>
      <c r="C237" s="302">
        <v>21.965271552848069</v>
      </c>
      <c r="D237" s="302">
        <f t="shared" si="94"/>
        <v>23.241230553707776</v>
      </c>
      <c r="E237" s="303"/>
      <c r="F237" s="302">
        <v>1.1493185244665385</v>
      </c>
      <c r="G237" s="302">
        <v>21.480626889441094</v>
      </c>
      <c r="H237" s="302">
        <f t="shared" si="95"/>
        <v>22.629945413907631</v>
      </c>
      <c r="I237" s="303"/>
      <c r="J237" s="302">
        <v>1.7208418184720522</v>
      </c>
      <c r="K237" s="302">
        <v>19.663246304580451</v>
      </c>
      <c r="L237" s="302">
        <f t="shared" si="96"/>
        <v>21.384088123052504</v>
      </c>
      <c r="M237" s="236"/>
      <c r="N237" s="236"/>
    </row>
    <row r="238" spans="1:14" x14ac:dyDescent="0.3">
      <c r="A238" s="237" t="str">
        <f>name!E$12</f>
        <v>Elementary occupations</v>
      </c>
      <c r="B238" s="302">
        <v>2.0823314293779109</v>
      </c>
      <c r="C238" s="302">
        <v>5.670685650773839</v>
      </c>
      <c r="D238" s="302">
        <f t="shared" si="94"/>
        <v>7.75301708015175</v>
      </c>
      <c r="E238" s="303"/>
      <c r="F238" s="302">
        <v>1.6532031418034709</v>
      </c>
      <c r="G238" s="302">
        <v>5.518689129205204</v>
      </c>
      <c r="H238" s="302">
        <f t="shared" si="95"/>
        <v>7.1718922710086748</v>
      </c>
      <c r="I238" s="303"/>
      <c r="J238" s="302">
        <v>1.1266534631469123</v>
      </c>
      <c r="K238" s="302">
        <v>3.174574064660864</v>
      </c>
      <c r="L238" s="302">
        <f t="shared" si="96"/>
        <v>4.3012275278077761</v>
      </c>
      <c r="M238" s="236"/>
      <c r="N238" s="236"/>
    </row>
    <row r="239" spans="1:14" x14ac:dyDescent="0.3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3">
      <c r="A240" s="244" t="s">
        <v>32</v>
      </c>
      <c r="B240" s="311">
        <f>SUM(B230:B238)</f>
        <v>16.021000000021431</v>
      </c>
      <c r="C240" s="311">
        <f t="shared" ref="C240:D240" si="97">SUM(C230:C238)</f>
        <v>69.714999999866379</v>
      </c>
      <c r="D240" s="311">
        <f t="shared" si="97"/>
        <v>85.735999999887824</v>
      </c>
      <c r="E240" s="311"/>
      <c r="F240" s="311">
        <f t="shared" ref="F240:H240" si="98">SUM(F230:F238)</f>
        <v>18.827999999949899</v>
      </c>
      <c r="G240" s="311">
        <f t="shared" si="98"/>
        <v>75.142999999948401</v>
      </c>
      <c r="H240" s="311">
        <f t="shared" si="98"/>
        <v>93.970999999898297</v>
      </c>
      <c r="I240" s="311"/>
      <c r="J240" s="311">
        <f t="shared" ref="J240:L240" si="99">SUM(J230:J238)</f>
        <v>15.917999999974436</v>
      </c>
      <c r="K240" s="311">
        <f t="shared" si="99"/>
        <v>65.951000000075723</v>
      </c>
      <c r="L240" s="311">
        <f t="shared" si="99"/>
        <v>81.869000000050178</v>
      </c>
      <c r="M240" s="236"/>
      <c r="N240" s="236"/>
    </row>
    <row r="241" spans="1:14" x14ac:dyDescent="0.3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3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35</v>
      </c>
      <c r="M242" s="236"/>
      <c r="N242" s="236"/>
    </row>
    <row r="243" spans="1:14" x14ac:dyDescent="0.3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3">
      <c r="A244" s="241" t="str">
        <f>name!A17</f>
        <v>Basic metals</v>
      </c>
      <c r="B244" s="373">
        <f>B$6</f>
        <v>2015</v>
      </c>
      <c r="C244" s="373"/>
      <c r="D244" s="373"/>
      <c r="E244" s="253"/>
      <c r="F244" s="373">
        <f>F227</f>
        <v>2020</v>
      </c>
      <c r="G244" s="373"/>
      <c r="H244" s="373"/>
      <c r="I244" s="253"/>
      <c r="J244" s="373">
        <f>J227</f>
        <v>2035</v>
      </c>
      <c r="K244" s="373"/>
      <c r="L244" s="373"/>
      <c r="M244" s="236"/>
      <c r="N244" s="236"/>
    </row>
    <row r="245" spans="1:14" x14ac:dyDescent="0.3">
      <c r="A245" s="254"/>
      <c r="B245" s="255" t="s">
        <v>352</v>
      </c>
      <c r="C245" s="255" t="s">
        <v>353</v>
      </c>
      <c r="D245" s="255" t="s">
        <v>32</v>
      </c>
      <c r="E245" s="255"/>
      <c r="F245" s="255" t="s">
        <v>352</v>
      </c>
      <c r="G245" s="255" t="s">
        <v>353</v>
      </c>
      <c r="H245" s="255" t="s">
        <v>32</v>
      </c>
      <c r="I245" s="255"/>
      <c r="J245" s="255" t="s">
        <v>352</v>
      </c>
      <c r="K245" s="255" t="s">
        <v>353</v>
      </c>
      <c r="L245" s="255" t="s">
        <v>32</v>
      </c>
      <c r="M245" s="236"/>
      <c r="N245" s="236"/>
    </row>
    <row r="246" spans="1:14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3">
      <c r="A247" s="237" t="str">
        <f>name!E$4</f>
        <v>Managers, directors and senior officials</v>
      </c>
      <c r="B247" s="302">
        <v>0.53196397205123247</v>
      </c>
      <c r="C247" s="302">
        <v>4.5369433298127575</v>
      </c>
      <c r="D247" s="302">
        <f>SUM(B247:C247)</f>
        <v>5.0689073018639901</v>
      </c>
      <c r="E247" s="303"/>
      <c r="F247" s="302">
        <v>0.62663880403633065</v>
      </c>
      <c r="G247" s="302">
        <v>4.8351436736090347</v>
      </c>
      <c r="H247" s="302">
        <f>SUM(F247:G247)</f>
        <v>5.4617824776453654</v>
      </c>
      <c r="I247" s="303"/>
      <c r="J247" s="302">
        <v>0.62800186880691877</v>
      </c>
      <c r="K247" s="302">
        <v>4.1767744198978694</v>
      </c>
      <c r="L247" s="302">
        <f>SUM(J247:K247)</f>
        <v>4.8047762887047885</v>
      </c>
      <c r="M247" s="236"/>
      <c r="N247" s="236"/>
    </row>
    <row r="248" spans="1:14" x14ac:dyDescent="0.3">
      <c r="A248" s="237" t="str">
        <f>name!E$5</f>
        <v>Professional occupations</v>
      </c>
      <c r="B248" s="302">
        <v>0.78636729593391341</v>
      </c>
      <c r="C248" s="302">
        <v>7.5552026344802696</v>
      </c>
      <c r="D248" s="302">
        <f t="shared" ref="D248:D255" si="100">SUM(B248:C248)</f>
        <v>8.3415699304141828</v>
      </c>
      <c r="E248" s="303"/>
      <c r="F248" s="302">
        <v>0.98615188806226639</v>
      </c>
      <c r="G248" s="302">
        <v>8.727276111974053</v>
      </c>
      <c r="H248" s="302">
        <f t="shared" ref="H248:H255" si="101">SUM(F248:G248)</f>
        <v>9.7134280000363198</v>
      </c>
      <c r="I248" s="303"/>
      <c r="J248" s="302">
        <v>1.0388986359649095</v>
      </c>
      <c r="K248" s="302">
        <v>8.8005944618894372</v>
      </c>
      <c r="L248" s="302">
        <f t="shared" ref="L248:L255" si="102">SUM(J248:K248)</f>
        <v>9.839493097854346</v>
      </c>
      <c r="M248" s="236"/>
      <c r="N248" s="236"/>
    </row>
    <row r="249" spans="1:14" x14ac:dyDescent="0.3">
      <c r="A249" s="237" t="str">
        <f>name!E$6</f>
        <v>Associate professional occupations</v>
      </c>
      <c r="B249" s="302">
        <v>0.85769236487626199</v>
      </c>
      <c r="C249" s="302">
        <v>4.8040600532864541</v>
      </c>
      <c r="D249" s="302">
        <f t="shared" si="100"/>
        <v>5.6617524181627159</v>
      </c>
      <c r="E249" s="303"/>
      <c r="F249" s="302">
        <v>0.94983741366964014</v>
      </c>
      <c r="G249" s="302">
        <v>5.5395980694155389</v>
      </c>
      <c r="H249" s="302">
        <f t="shared" si="101"/>
        <v>6.4894354830851793</v>
      </c>
      <c r="I249" s="303"/>
      <c r="J249" s="302">
        <v>0.90642808222830928</v>
      </c>
      <c r="K249" s="302">
        <v>4.525228639484391</v>
      </c>
      <c r="L249" s="302">
        <f t="shared" si="102"/>
        <v>5.4316567217127005</v>
      </c>
      <c r="M249" s="236"/>
      <c r="N249" s="236"/>
    </row>
    <row r="250" spans="1:14" x14ac:dyDescent="0.3">
      <c r="A250" s="237" t="str">
        <f>name!E$7</f>
        <v>Administrative and secretarial occupations</v>
      </c>
      <c r="B250" s="302">
        <v>2.6650992310764141</v>
      </c>
      <c r="C250" s="302">
        <v>2.1674935847490935</v>
      </c>
      <c r="D250" s="302">
        <f t="shared" si="100"/>
        <v>4.8325928158255076</v>
      </c>
      <c r="E250" s="303"/>
      <c r="F250" s="302">
        <v>2.2661493803236126</v>
      </c>
      <c r="G250" s="302">
        <v>2.5399610028979485</v>
      </c>
      <c r="H250" s="302">
        <f t="shared" si="101"/>
        <v>4.8061103832215615</v>
      </c>
      <c r="I250" s="303"/>
      <c r="J250" s="302">
        <v>1.7696487296071459</v>
      </c>
      <c r="K250" s="302">
        <v>2.1926351946023259</v>
      </c>
      <c r="L250" s="302">
        <f t="shared" si="102"/>
        <v>3.9622839242094718</v>
      </c>
      <c r="M250" s="236"/>
      <c r="N250" s="236"/>
    </row>
    <row r="251" spans="1:14" x14ac:dyDescent="0.3">
      <c r="A251" s="237" t="str">
        <f>name!E$8</f>
        <v>Skilled trades occupations</v>
      </c>
      <c r="B251" s="302">
        <v>0.18452391711746663</v>
      </c>
      <c r="C251" s="302">
        <v>22.890829271237095</v>
      </c>
      <c r="D251" s="302">
        <f t="shared" si="100"/>
        <v>23.075353188354562</v>
      </c>
      <c r="E251" s="303"/>
      <c r="F251" s="302">
        <v>0.19206730017261817</v>
      </c>
      <c r="G251" s="302">
        <v>18.449702357727528</v>
      </c>
      <c r="H251" s="302">
        <f t="shared" si="101"/>
        <v>18.641769657900145</v>
      </c>
      <c r="I251" s="303"/>
      <c r="J251" s="302">
        <v>0.32892280410422353</v>
      </c>
      <c r="K251" s="302">
        <v>13.449124670436877</v>
      </c>
      <c r="L251" s="302">
        <f t="shared" si="102"/>
        <v>13.778047474541101</v>
      </c>
      <c r="M251" s="236"/>
      <c r="N251" s="236"/>
    </row>
    <row r="252" spans="1:14" x14ac:dyDescent="0.3">
      <c r="A252" s="237" t="str">
        <f>name!E$9</f>
        <v>Caring, leisure and other service occupations</v>
      </c>
      <c r="B252" s="302">
        <v>0.20060321345520565</v>
      </c>
      <c r="C252" s="302">
        <v>0.92086418442238094</v>
      </c>
      <c r="D252" s="302">
        <f t="shared" si="100"/>
        <v>1.1214673978775866</v>
      </c>
      <c r="E252" s="303"/>
      <c r="F252" s="302">
        <v>0.20811980471804342</v>
      </c>
      <c r="G252" s="302">
        <v>1.0637391532037099</v>
      </c>
      <c r="H252" s="302">
        <f t="shared" si="101"/>
        <v>1.2718589579217534</v>
      </c>
      <c r="I252" s="303"/>
      <c r="J252" s="302">
        <v>0.17218474930768843</v>
      </c>
      <c r="K252" s="302">
        <v>1.1798985730769471</v>
      </c>
      <c r="L252" s="302">
        <f t="shared" si="102"/>
        <v>1.3520833223846356</v>
      </c>
      <c r="M252" s="236"/>
      <c r="N252" s="236"/>
    </row>
    <row r="253" spans="1:14" x14ac:dyDescent="0.3">
      <c r="A253" s="237" t="str">
        <f>name!E$10</f>
        <v>Sales and customer service occupations</v>
      </c>
      <c r="B253" s="302">
        <v>0.21073779782676244</v>
      </c>
      <c r="C253" s="302">
        <v>0.56559306612867843</v>
      </c>
      <c r="D253" s="302">
        <f t="shared" si="100"/>
        <v>0.77633086395544093</v>
      </c>
      <c r="E253" s="303"/>
      <c r="F253" s="302">
        <v>0.19135114891959548</v>
      </c>
      <c r="G253" s="302">
        <v>0.55281049232139234</v>
      </c>
      <c r="H253" s="302">
        <f t="shared" si="101"/>
        <v>0.74416164124098783</v>
      </c>
      <c r="I253" s="303"/>
      <c r="J253" s="302">
        <v>0.18930763898906416</v>
      </c>
      <c r="K253" s="302">
        <v>0.58591748556966905</v>
      </c>
      <c r="L253" s="302">
        <f t="shared" si="102"/>
        <v>0.77522512455873316</v>
      </c>
      <c r="M253" s="236"/>
      <c r="N253" s="236"/>
    </row>
    <row r="254" spans="1:14" x14ac:dyDescent="0.3">
      <c r="A254" s="237" t="str">
        <f>name!E$11</f>
        <v>Process, plant and machine operatives</v>
      </c>
      <c r="B254" s="302">
        <v>0.52189255213985608</v>
      </c>
      <c r="C254" s="302">
        <v>14.049987508987654</v>
      </c>
      <c r="D254" s="302">
        <f t="shared" si="100"/>
        <v>14.57188006112751</v>
      </c>
      <c r="E254" s="303"/>
      <c r="F254" s="302">
        <v>0.36363655644012843</v>
      </c>
      <c r="G254" s="302">
        <v>11.176034004766361</v>
      </c>
      <c r="H254" s="302">
        <f t="shared" si="101"/>
        <v>11.53967056120649</v>
      </c>
      <c r="I254" s="303"/>
      <c r="J254" s="302">
        <v>0.4724853651382166</v>
      </c>
      <c r="K254" s="302">
        <v>10.926333849096059</v>
      </c>
      <c r="L254" s="302">
        <f t="shared" si="102"/>
        <v>11.398819214234276</v>
      </c>
      <c r="M254" s="236"/>
      <c r="N254" s="236"/>
    </row>
    <row r="255" spans="1:14" x14ac:dyDescent="0.3">
      <c r="A255" s="237" t="str">
        <f>name!E$12</f>
        <v>Elementary occupations</v>
      </c>
      <c r="B255" s="302">
        <v>0.42711965551054298</v>
      </c>
      <c r="C255" s="302">
        <v>3.4070263668730787</v>
      </c>
      <c r="D255" s="302">
        <f t="shared" si="100"/>
        <v>3.8341460223836217</v>
      </c>
      <c r="E255" s="303"/>
      <c r="F255" s="302">
        <v>0.36004770362528415</v>
      </c>
      <c r="G255" s="302">
        <v>2.6627351340779302</v>
      </c>
      <c r="H255" s="302">
        <f t="shared" si="101"/>
        <v>3.0227828377032142</v>
      </c>
      <c r="I255" s="303"/>
      <c r="J255" s="302">
        <v>0.24212212585269693</v>
      </c>
      <c r="K255" s="302">
        <v>1.5964927060938399</v>
      </c>
      <c r="L255" s="302">
        <f t="shared" si="102"/>
        <v>1.8386148319465367</v>
      </c>
      <c r="M255" s="236"/>
      <c r="N255" s="236"/>
    </row>
    <row r="256" spans="1:14" x14ac:dyDescent="0.3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3">
      <c r="A257" s="244" t="s">
        <v>32</v>
      </c>
      <c r="B257" s="311">
        <f>SUM(B247:B255)</f>
        <v>6.3859999999876553</v>
      </c>
      <c r="C257" s="311">
        <f t="shared" ref="C257:D257" si="103">SUM(C247:C255)</f>
        <v>60.897999999977451</v>
      </c>
      <c r="D257" s="311">
        <f t="shared" si="103"/>
        <v>67.283999999965118</v>
      </c>
      <c r="E257" s="311"/>
      <c r="F257" s="311">
        <f t="shared" ref="F257:H257" si="104">SUM(F247:F255)</f>
        <v>6.1439999999675194</v>
      </c>
      <c r="G257" s="311">
        <f t="shared" si="104"/>
        <v>55.546999999993496</v>
      </c>
      <c r="H257" s="311">
        <f t="shared" si="104"/>
        <v>61.690999999961008</v>
      </c>
      <c r="I257" s="311"/>
      <c r="J257" s="311">
        <f t="shared" ref="J257:L257" si="105">SUM(J247:J255)</f>
        <v>5.7479999999991733</v>
      </c>
      <c r="K257" s="311">
        <f t="shared" si="105"/>
        <v>47.433000000147416</v>
      </c>
      <c r="L257" s="311">
        <f t="shared" si="105"/>
        <v>53.181000000146589</v>
      </c>
      <c r="M257" s="236"/>
      <c r="N257" s="236"/>
    </row>
    <row r="258" spans="1:14" x14ac:dyDescent="0.3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3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35</v>
      </c>
      <c r="M259" s="236"/>
      <c r="N259" s="236"/>
    </row>
    <row r="260" spans="1:14" x14ac:dyDescent="0.3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3">
      <c r="A261" s="241" t="str">
        <f>name!A18</f>
        <v>Metal products</v>
      </c>
      <c r="B261" s="373">
        <f>B$6</f>
        <v>2015</v>
      </c>
      <c r="C261" s="373"/>
      <c r="D261" s="373"/>
      <c r="E261" s="253"/>
      <c r="F261" s="373">
        <f>F244</f>
        <v>2020</v>
      </c>
      <c r="G261" s="373"/>
      <c r="H261" s="373"/>
      <c r="I261" s="253"/>
      <c r="J261" s="373">
        <f>J244</f>
        <v>2035</v>
      </c>
      <c r="K261" s="373"/>
      <c r="L261" s="373"/>
      <c r="M261" s="236"/>
      <c r="N261" s="236"/>
    </row>
    <row r="262" spans="1:14" x14ac:dyDescent="0.3">
      <c r="A262" s="254"/>
      <c r="B262" s="255" t="s">
        <v>352</v>
      </c>
      <c r="C262" s="255" t="s">
        <v>353</v>
      </c>
      <c r="D262" s="255" t="s">
        <v>32</v>
      </c>
      <c r="E262" s="255"/>
      <c r="F262" s="255" t="s">
        <v>352</v>
      </c>
      <c r="G262" s="255" t="s">
        <v>353</v>
      </c>
      <c r="H262" s="255" t="s">
        <v>32</v>
      </c>
      <c r="I262" s="255"/>
      <c r="J262" s="255" t="s">
        <v>352</v>
      </c>
      <c r="K262" s="255" t="s">
        <v>353</v>
      </c>
      <c r="L262" s="255" t="s">
        <v>32</v>
      </c>
      <c r="M262" s="236"/>
      <c r="N262" s="236"/>
    </row>
    <row r="263" spans="1:14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3">
      <c r="A264" s="237" t="str">
        <f>name!E$4</f>
        <v>Managers, directors and senior officials</v>
      </c>
      <c r="B264" s="302">
        <v>5.0286321843717507</v>
      </c>
      <c r="C264" s="302">
        <v>28.265841675277208</v>
      </c>
      <c r="D264" s="302">
        <f>SUM(B264:C264)</f>
        <v>33.29447385964896</v>
      </c>
      <c r="E264" s="303"/>
      <c r="F264" s="302">
        <v>5.9470047320206971</v>
      </c>
      <c r="G264" s="302">
        <v>28.004326228709896</v>
      </c>
      <c r="H264" s="302">
        <f>SUM(F264:G264)</f>
        <v>33.951330960730594</v>
      </c>
      <c r="I264" s="303"/>
      <c r="J264" s="302">
        <v>5.9580564098709985</v>
      </c>
      <c r="K264" s="302">
        <v>24.601045688333308</v>
      </c>
      <c r="L264" s="302">
        <f>SUM(J264:K264)</f>
        <v>30.559102098204306</v>
      </c>
      <c r="M264" s="236"/>
      <c r="N264" s="236"/>
    </row>
    <row r="265" spans="1:14" x14ac:dyDescent="0.3">
      <c r="A265" s="237" t="str">
        <f>name!E$5</f>
        <v>Professional occupations</v>
      </c>
      <c r="B265" s="302">
        <v>5.6953887259411697</v>
      </c>
      <c r="C265" s="302">
        <v>34.167805030034735</v>
      </c>
      <c r="D265" s="302">
        <f t="shared" ref="D265:D272" si="106">SUM(B265:C265)</f>
        <v>39.863193755975907</v>
      </c>
      <c r="E265" s="303"/>
      <c r="F265" s="302">
        <v>6.7262082353577162</v>
      </c>
      <c r="G265" s="302">
        <v>36.747025990995425</v>
      </c>
      <c r="H265" s="302">
        <f t="shared" ref="H265:H272" si="107">SUM(F265:G265)</f>
        <v>43.473234226353142</v>
      </c>
      <c r="I265" s="303"/>
      <c r="J265" s="302">
        <v>7.2773510132790955</v>
      </c>
      <c r="K265" s="302">
        <v>37.470002397206322</v>
      </c>
      <c r="L265" s="302">
        <f t="shared" ref="L265:L272" si="108">SUM(J265:K265)</f>
        <v>44.747353410485417</v>
      </c>
      <c r="M265" s="236"/>
      <c r="N265" s="236"/>
    </row>
    <row r="266" spans="1:14" x14ac:dyDescent="0.3">
      <c r="A266" s="237" t="str">
        <f>name!E$6</f>
        <v>Associate professional occupations</v>
      </c>
      <c r="B266" s="302">
        <v>6.1839715984574104</v>
      </c>
      <c r="C266" s="302">
        <v>29.454501157955292</v>
      </c>
      <c r="D266" s="302">
        <f t="shared" si="106"/>
        <v>35.638472756412703</v>
      </c>
      <c r="E266" s="303"/>
      <c r="F266" s="302">
        <v>6.1810719992366723</v>
      </c>
      <c r="G266" s="302">
        <v>30.637975091336166</v>
      </c>
      <c r="H266" s="302">
        <f t="shared" si="107"/>
        <v>36.819047090572838</v>
      </c>
      <c r="I266" s="303"/>
      <c r="J266" s="302">
        <v>5.6103475580458202</v>
      </c>
      <c r="K266" s="302">
        <v>24.836745599854833</v>
      </c>
      <c r="L266" s="302">
        <f t="shared" si="108"/>
        <v>30.447093157900653</v>
      </c>
      <c r="M266" s="236"/>
      <c r="N266" s="236"/>
    </row>
    <row r="267" spans="1:14" x14ac:dyDescent="0.3">
      <c r="A267" s="237" t="str">
        <f>name!E$7</f>
        <v>Administrative and secretarial occupations</v>
      </c>
      <c r="B267" s="302">
        <v>17.022036084941778</v>
      </c>
      <c r="C267" s="302">
        <v>6.5098589016291273</v>
      </c>
      <c r="D267" s="302">
        <f t="shared" si="106"/>
        <v>23.531894986570904</v>
      </c>
      <c r="E267" s="303"/>
      <c r="F267" s="302">
        <v>14.551019234841172</v>
      </c>
      <c r="G267" s="302">
        <v>6.4904286936915296</v>
      </c>
      <c r="H267" s="302">
        <f t="shared" si="107"/>
        <v>21.041447928532701</v>
      </c>
      <c r="I267" s="303"/>
      <c r="J267" s="302">
        <v>9.2186263144020231</v>
      </c>
      <c r="K267" s="302">
        <v>5.7273278201141684</v>
      </c>
      <c r="L267" s="302">
        <f t="shared" si="108"/>
        <v>14.945954134516192</v>
      </c>
      <c r="M267" s="236"/>
      <c r="N267" s="236"/>
    </row>
    <row r="268" spans="1:14" x14ac:dyDescent="0.3">
      <c r="A268" s="237" t="str">
        <f>name!E$8</f>
        <v>Skilled trades occupations</v>
      </c>
      <c r="B268" s="302">
        <v>2.0453085165199321</v>
      </c>
      <c r="C268" s="302">
        <v>125.93214099721638</v>
      </c>
      <c r="D268" s="302">
        <f t="shared" si="106"/>
        <v>127.97744951373632</v>
      </c>
      <c r="E268" s="303"/>
      <c r="F268" s="302">
        <v>2.1028068952089898</v>
      </c>
      <c r="G268" s="302">
        <v>91.749451618499108</v>
      </c>
      <c r="H268" s="302">
        <f t="shared" si="107"/>
        <v>93.852258513708094</v>
      </c>
      <c r="I268" s="303"/>
      <c r="J268" s="302">
        <v>3.8762882592988004</v>
      </c>
      <c r="K268" s="302">
        <v>67.422748884527735</v>
      </c>
      <c r="L268" s="302">
        <f t="shared" si="108"/>
        <v>71.299037143826538</v>
      </c>
      <c r="M268" s="236"/>
      <c r="N268" s="236"/>
    </row>
    <row r="269" spans="1:14" x14ac:dyDescent="0.3">
      <c r="A269" s="237" t="str">
        <f>name!E$9</f>
        <v>Caring, leisure and other service occupations</v>
      </c>
      <c r="B269" s="302">
        <v>0.94508650642349978</v>
      </c>
      <c r="C269" s="302">
        <v>1.8215587910958051</v>
      </c>
      <c r="D269" s="302">
        <f t="shared" si="106"/>
        <v>2.7666452975193048</v>
      </c>
      <c r="E269" s="303"/>
      <c r="F269" s="302">
        <v>0.77652885676652672</v>
      </c>
      <c r="G269" s="302">
        <v>1.8315629738198458</v>
      </c>
      <c r="H269" s="302">
        <f t="shared" si="107"/>
        <v>2.6080918305863725</v>
      </c>
      <c r="I269" s="303"/>
      <c r="J269" s="302">
        <v>0.68262121172291956</v>
      </c>
      <c r="K269" s="302">
        <v>2.3802390263869828</v>
      </c>
      <c r="L269" s="302">
        <f t="shared" si="108"/>
        <v>3.0628602381099022</v>
      </c>
      <c r="M269" s="236"/>
      <c r="N269" s="236"/>
    </row>
    <row r="270" spans="1:14" x14ac:dyDescent="0.3">
      <c r="A270" s="237" t="str">
        <f>name!E$10</f>
        <v>Sales and customer service occupations</v>
      </c>
      <c r="B270" s="302">
        <v>2.36686035912218</v>
      </c>
      <c r="C270" s="302">
        <v>2.5429185700444195</v>
      </c>
      <c r="D270" s="302">
        <f t="shared" si="106"/>
        <v>4.909778929166599</v>
      </c>
      <c r="E270" s="303"/>
      <c r="F270" s="302">
        <v>2.017909362562488</v>
      </c>
      <c r="G270" s="302">
        <v>2.2166767159316034</v>
      </c>
      <c r="H270" s="302">
        <f t="shared" si="107"/>
        <v>4.2345860784940914</v>
      </c>
      <c r="I270" s="303"/>
      <c r="J270" s="302">
        <v>1.917255285046702</v>
      </c>
      <c r="K270" s="302">
        <v>2.2810553116774237</v>
      </c>
      <c r="L270" s="302">
        <f t="shared" si="108"/>
        <v>4.1983105967241254</v>
      </c>
      <c r="M270" s="236"/>
      <c r="N270" s="236"/>
    </row>
    <row r="271" spans="1:14" x14ac:dyDescent="0.3">
      <c r="A271" s="237" t="str">
        <f>name!E$11</f>
        <v>Process, plant and machine operatives</v>
      </c>
      <c r="B271" s="302">
        <v>7.8036419872103542</v>
      </c>
      <c r="C271" s="302">
        <v>41.101402421153473</v>
      </c>
      <c r="D271" s="302">
        <f t="shared" si="106"/>
        <v>48.905044408363828</v>
      </c>
      <c r="E271" s="303"/>
      <c r="F271" s="302">
        <v>5.3834819519329891</v>
      </c>
      <c r="G271" s="302">
        <v>29.042680559933938</v>
      </c>
      <c r="H271" s="302">
        <f t="shared" si="107"/>
        <v>34.426162511866927</v>
      </c>
      <c r="I271" s="303"/>
      <c r="J271" s="302">
        <v>6.8139475767725521</v>
      </c>
      <c r="K271" s="302">
        <v>28.393128530540945</v>
      </c>
      <c r="L271" s="302">
        <f t="shared" si="108"/>
        <v>35.207076107313497</v>
      </c>
      <c r="M271" s="236"/>
      <c r="N271" s="236"/>
    </row>
    <row r="272" spans="1:14" x14ac:dyDescent="0.3">
      <c r="A272" s="237" t="str">
        <f>name!E$12</f>
        <v>Elementary occupations</v>
      </c>
      <c r="B272" s="302">
        <v>3.6460740369879461</v>
      </c>
      <c r="C272" s="302">
        <v>11.999972455244084</v>
      </c>
      <c r="D272" s="302">
        <f t="shared" si="106"/>
        <v>15.646046492232029</v>
      </c>
      <c r="E272" s="303"/>
      <c r="F272" s="302">
        <v>2.6279687318579805</v>
      </c>
      <c r="G272" s="302">
        <v>8.4648721265704197</v>
      </c>
      <c r="H272" s="302">
        <f t="shared" si="107"/>
        <v>11.092840858428399</v>
      </c>
      <c r="I272" s="303"/>
      <c r="J272" s="302">
        <v>1.6775063715229432</v>
      </c>
      <c r="K272" s="302">
        <v>4.8097067416991663</v>
      </c>
      <c r="L272" s="302">
        <f t="shared" si="108"/>
        <v>6.4872131132221096</v>
      </c>
      <c r="M272" s="236"/>
      <c r="N272" s="236"/>
    </row>
    <row r="273" spans="1:14" x14ac:dyDescent="0.3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3">
      <c r="A274" s="244" t="s">
        <v>32</v>
      </c>
      <c r="B274" s="311">
        <f>SUM(B264:B272)</f>
        <v>50.736999999976021</v>
      </c>
      <c r="C274" s="311">
        <f t="shared" ref="C274:D274" si="109">SUM(C264:C272)</f>
        <v>281.79599999965052</v>
      </c>
      <c r="D274" s="311">
        <f t="shared" si="109"/>
        <v>332.5329999996265</v>
      </c>
      <c r="E274" s="311"/>
      <c r="F274" s="311">
        <f t="shared" ref="F274:H274" si="110">SUM(F264:F272)</f>
        <v>46.313999999785246</v>
      </c>
      <c r="G274" s="311">
        <f t="shared" si="110"/>
        <v>235.1849999994879</v>
      </c>
      <c r="H274" s="311">
        <f t="shared" si="110"/>
        <v>281.49899999927322</v>
      </c>
      <c r="I274" s="311"/>
      <c r="J274" s="311">
        <f t="shared" ref="J274:L274" si="111">SUM(J264:J272)</f>
        <v>43.031999999961847</v>
      </c>
      <c r="K274" s="311">
        <f t="shared" si="111"/>
        <v>197.92200000034089</v>
      </c>
      <c r="L274" s="311">
        <f t="shared" si="111"/>
        <v>240.95400000030273</v>
      </c>
      <c r="M274" s="236"/>
      <c r="N274" s="236"/>
    </row>
    <row r="275" spans="1:14" x14ac:dyDescent="0.3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3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35</v>
      </c>
      <c r="M276" s="236"/>
      <c r="N276" s="236"/>
    </row>
    <row r="277" spans="1:14" x14ac:dyDescent="0.3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3">
      <c r="A278" s="241" t="str">
        <f>name!A19</f>
        <v>Computer, etc</v>
      </c>
      <c r="B278" s="373">
        <f>B$6</f>
        <v>2015</v>
      </c>
      <c r="C278" s="373"/>
      <c r="D278" s="373"/>
      <c r="E278" s="253"/>
      <c r="F278" s="373">
        <f>F261</f>
        <v>2020</v>
      </c>
      <c r="G278" s="373"/>
      <c r="H278" s="373"/>
      <c r="I278" s="253"/>
      <c r="J278" s="373">
        <f>J261</f>
        <v>2035</v>
      </c>
      <c r="K278" s="373"/>
      <c r="L278" s="373"/>
      <c r="M278" s="236"/>
      <c r="N278" s="236"/>
    </row>
    <row r="279" spans="1:14" x14ac:dyDescent="0.3">
      <c r="A279" s="254"/>
      <c r="B279" s="255" t="s">
        <v>352</v>
      </c>
      <c r="C279" s="255" t="s">
        <v>353</v>
      </c>
      <c r="D279" s="255" t="s">
        <v>32</v>
      </c>
      <c r="E279" s="255"/>
      <c r="F279" s="255" t="s">
        <v>352</v>
      </c>
      <c r="G279" s="255" t="s">
        <v>353</v>
      </c>
      <c r="H279" s="255" t="s">
        <v>32</v>
      </c>
      <c r="I279" s="255"/>
      <c r="J279" s="255" t="s">
        <v>352</v>
      </c>
      <c r="K279" s="255" t="s">
        <v>353</v>
      </c>
      <c r="L279" s="255" t="s">
        <v>32</v>
      </c>
      <c r="M279" s="236"/>
      <c r="N279" s="236"/>
    </row>
    <row r="280" spans="1:14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3">
      <c r="A281" s="237" t="str">
        <f>name!E$4</f>
        <v>Managers, directors and senior officials</v>
      </c>
      <c r="B281" s="302">
        <v>2.9272109092690735</v>
      </c>
      <c r="C281" s="302">
        <v>14.332172307848053</v>
      </c>
      <c r="D281" s="302">
        <f>SUM(B281:C281)</f>
        <v>17.259383217117126</v>
      </c>
      <c r="E281" s="303"/>
      <c r="F281" s="302">
        <v>3.9155556618961529</v>
      </c>
      <c r="G281" s="302">
        <v>16.41379487465715</v>
      </c>
      <c r="H281" s="302">
        <f>SUM(F281:G281)</f>
        <v>20.329350536553303</v>
      </c>
      <c r="I281" s="303"/>
      <c r="J281" s="302">
        <v>3.285326475004557</v>
      </c>
      <c r="K281" s="302">
        <v>15.350677648571654</v>
      </c>
      <c r="L281" s="302">
        <f>SUM(J281:K281)</f>
        <v>18.63600412357621</v>
      </c>
      <c r="M281" s="236"/>
      <c r="N281" s="236"/>
    </row>
    <row r="282" spans="1:14" x14ac:dyDescent="0.3">
      <c r="A282" s="237" t="str">
        <f>name!E$5</f>
        <v>Professional occupations</v>
      </c>
      <c r="B282" s="302">
        <v>5.614476788967635</v>
      </c>
      <c r="C282" s="302">
        <v>28.370297237732792</v>
      </c>
      <c r="D282" s="302">
        <f t="shared" ref="D282:D289" si="112">SUM(B282:C282)</f>
        <v>33.984774026700428</v>
      </c>
      <c r="E282" s="303"/>
      <c r="F282" s="302">
        <v>8.1445471573324557</v>
      </c>
      <c r="G282" s="302">
        <v>34.414731878826366</v>
      </c>
      <c r="H282" s="302">
        <f t="shared" ref="H282:H289" si="113">SUM(F282:G282)</f>
        <v>42.55927903615882</v>
      </c>
      <c r="I282" s="303"/>
      <c r="J282" s="302">
        <v>7.5755598544481737</v>
      </c>
      <c r="K282" s="302">
        <v>36.777649727371909</v>
      </c>
      <c r="L282" s="302">
        <f t="shared" ref="L282:L289" si="114">SUM(J282:K282)</f>
        <v>44.353209581820082</v>
      </c>
      <c r="M282" s="236"/>
      <c r="N282" s="236"/>
    </row>
    <row r="283" spans="1:14" x14ac:dyDescent="0.3">
      <c r="A283" s="237" t="str">
        <f>name!E$6</f>
        <v>Associate professional occupations</v>
      </c>
      <c r="B283" s="302">
        <v>5.0750407457855164</v>
      </c>
      <c r="C283" s="302">
        <v>13.200492371315343</v>
      </c>
      <c r="D283" s="302">
        <f t="shared" si="112"/>
        <v>18.27553311710086</v>
      </c>
      <c r="E283" s="303"/>
      <c r="F283" s="302">
        <v>6.4176322792151268</v>
      </c>
      <c r="G283" s="302">
        <v>15.786128996730735</v>
      </c>
      <c r="H283" s="302">
        <f t="shared" si="113"/>
        <v>22.203761275945862</v>
      </c>
      <c r="I283" s="303"/>
      <c r="J283" s="302">
        <v>5.3330006786150097</v>
      </c>
      <c r="K283" s="302">
        <v>13.588230282193727</v>
      </c>
      <c r="L283" s="302">
        <f t="shared" si="114"/>
        <v>18.921230960808735</v>
      </c>
      <c r="M283" s="236"/>
      <c r="N283" s="236"/>
    </row>
    <row r="284" spans="1:14" x14ac:dyDescent="0.3">
      <c r="A284" s="237" t="str">
        <f>name!E$7</f>
        <v>Administrative and secretarial occupations</v>
      </c>
      <c r="B284" s="302">
        <v>6.3758861862237968</v>
      </c>
      <c r="C284" s="302">
        <v>2.5417540858050449</v>
      </c>
      <c r="D284" s="302">
        <f t="shared" si="112"/>
        <v>8.9176402720288408</v>
      </c>
      <c r="E284" s="303"/>
      <c r="F284" s="302">
        <v>6.1414169999811703</v>
      </c>
      <c r="G284" s="302">
        <v>2.8304115511888517</v>
      </c>
      <c r="H284" s="302">
        <f t="shared" si="113"/>
        <v>8.971828551170022</v>
      </c>
      <c r="I284" s="303"/>
      <c r="J284" s="302">
        <v>3.3545820170882257</v>
      </c>
      <c r="K284" s="302">
        <v>2.8296060769301796</v>
      </c>
      <c r="L284" s="302">
        <f t="shared" si="114"/>
        <v>6.1841880940184053</v>
      </c>
      <c r="M284" s="236"/>
      <c r="N284" s="236"/>
    </row>
    <row r="285" spans="1:14" x14ac:dyDescent="0.3">
      <c r="A285" s="237" t="str">
        <f>name!E$8</f>
        <v>Skilled trades occupations</v>
      </c>
      <c r="B285" s="302">
        <v>1.453406119534588</v>
      </c>
      <c r="C285" s="302">
        <v>17.797965583774392</v>
      </c>
      <c r="D285" s="302">
        <f t="shared" si="112"/>
        <v>19.25137170330898</v>
      </c>
      <c r="E285" s="303"/>
      <c r="F285" s="302">
        <v>1.6154256840360208</v>
      </c>
      <c r="G285" s="302">
        <v>14.001226434264284</v>
      </c>
      <c r="H285" s="302">
        <f t="shared" si="113"/>
        <v>15.616652118300305</v>
      </c>
      <c r="I285" s="303"/>
      <c r="J285" s="302">
        <v>1.8844387791804809</v>
      </c>
      <c r="K285" s="302">
        <v>10.655512524648033</v>
      </c>
      <c r="L285" s="302">
        <f t="shared" si="114"/>
        <v>12.539951303828515</v>
      </c>
      <c r="M285" s="236"/>
      <c r="N285" s="236"/>
    </row>
    <row r="286" spans="1:14" x14ac:dyDescent="0.3">
      <c r="A286" s="237" t="str">
        <f>name!E$9</f>
        <v>Caring, leisure and other service occupations</v>
      </c>
      <c r="B286" s="302">
        <v>0.63796197708123226</v>
      </c>
      <c r="C286" s="302">
        <v>0.4073316749153833</v>
      </c>
      <c r="D286" s="302">
        <f t="shared" si="112"/>
        <v>1.0452936519966156</v>
      </c>
      <c r="E286" s="303"/>
      <c r="F286" s="302">
        <v>0.62706441455030049</v>
      </c>
      <c r="G286" s="302">
        <v>0.41604652306265499</v>
      </c>
      <c r="H286" s="302">
        <f t="shared" si="113"/>
        <v>1.0431109376129555</v>
      </c>
      <c r="I286" s="303"/>
      <c r="J286" s="302">
        <v>0.42901432185945432</v>
      </c>
      <c r="K286" s="302">
        <v>0.51831548302704589</v>
      </c>
      <c r="L286" s="302">
        <f t="shared" si="114"/>
        <v>0.9473298048865002</v>
      </c>
      <c r="M286" s="236"/>
      <c r="N286" s="236"/>
    </row>
    <row r="287" spans="1:14" x14ac:dyDescent="0.3">
      <c r="A287" s="237" t="str">
        <f>name!E$10</f>
        <v>Sales and customer service occupations</v>
      </c>
      <c r="B287" s="302">
        <v>1.7658008460735355</v>
      </c>
      <c r="C287" s="302">
        <v>1.965826390548679</v>
      </c>
      <c r="D287" s="302">
        <f t="shared" si="112"/>
        <v>3.7316272366222147</v>
      </c>
      <c r="E287" s="303"/>
      <c r="F287" s="302">
        <v>1.7175940663699094</v>
      </c>
      <c r="G287" s="302">
        <v>2.0983237489933466</v>
      </c>
      <c r="H287" s="302">
        <f t="shared" si="113"/>
        <v>3.8159178153632558</v>
      </c>
      <c r="I287" s="303"/>
      <c r="J287" s="302">
        <v>1.4317704086003922</v>
      </c>
      <c r="K287" s="302">
        <v>2.7687375295687553</v>
      </c>
      <c r="L287" s="302">
        <f t="shared" si="114"/>
        <v>4.2005079381691477</v>
      </c>
      <c r="M287" s="236"/>
      <c r="N287" s="236"/>
    </row>
    <row r="288" spans="1:14" x14ac:dyDescent="0.3">
      <c r="A288" s="237" t="str">
        <f>name!E$11</f>
        <v>Process, plant and machine operatives</v>
      </c>
      <c r="B288" s="302">
        <v>6.5598198264981349</v>
      </c>
      <c r="C288" s="302">
        <v>6.354178333471328</v>
      </c>
      <c r="D288" s="302">
        <f t="shared" si="112"/>
        <v>12.913998159969463</v>
      </c>
      <c r="E288" s="303"/>
      <c r="F288" s="302">
        <v>5.1146245600545548</v>
      </c>
      <c r="G288" s="302">
        <v>4.9938541803832397</v>
      </c>
      <c r="H288" s="302">
        <f t="shared" si="113"/>
        <v>10.108478740437794</v>
      </c>
      <c r="I288" s="303"/>
      <c r="J288" s="302">
        <v>3.8546384843965655</v>
      </c>
      <c r="K288" s="302">
        <v>4.9385784045381005</v>
      </c>
      <c r="L288" s="302">
        <f t="shared" si="114"/>
        <v>8.7932168889346656</v>
      </c>
      <c r="M288" s="236"/>
      <c r="N288" s="236"/>
    </row>
    <row r="289" spans="1:14" x14ac:dyDescent="0.3">
      <c r="A289" s="237" t="str">
        <f>name!E$12</f>
        <v>Elementary occupations</v>
      </c>
      <c r="B289" s="302">
        <v>1.7773966005050152</v>
      </c>
      <c r="C289" s="302">
        <v>2.7909820143121031</v>
      </c>
      <c r="D289" s="302">
        <f t="shared" si="112"/>
        <v>4.5683786148171182</v>
      </c>
      <c r="E289" s="303"/>
      <c r="F289" s="302">
        <v>1.320139176354874</v>
      </c>
      <c r="G289" s="302">
        <v>2.0984818117530502</v>
      </c>
      <c r="H289" s="302">
        <f t="shared" si="113"/>
        <v>3.4186209881079241</v>
      </c>
      <c r="I289" s="303"/>
      <c r="J289" s="302">
        <v>1.132668980827551</v>
      </c>
      <c r="K289" s="302">
        <v>1.3406923232803396</v>
      </c>
      <c r="L289" s="302">
        <f t="shared" si="114"/>
        <v>2.4733613041078906</v>
      </c>
      <c r="M289" s="236"/>
      <c r="N289" s="236"/>
    </row>
    <row r="290" spans="1:14" x14ac:dyDescent="0.3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3">
      <c r="A291" s="244" t="s">
        <v>32</v>
      </c>
      <c r="B291" s="311">
        <f>SUM(B281:B289)</f>
        <v>32.186999999938529</v>
      </c>
      <c r="C291" s="311">
        <f t="shared" ref="C291:D291" si="115">SUM(C281:C289)</f>
        <v>87.760999999723126</v>
      </c>
      <c r="D291" s="311">
        <f t="shared" si="115"/>
        <v>119.94799999966166</v>
      </c>
      <c r="E291" s="311"/>
      <c r="F291" s="311">
        <f t="shared" ref="F291:H291" si="116">SUM(F281:F289)</f>
        <v>35.01399999979057</v>
      </c>
      <c r="G291" s="311">
        <f t="shared" si="116"/>
        <v>93.052999999859679</v>
      </c>
      <c r="H291" s="311">
        <f t="shared" si="116"/>
        <v>128.06699999965022</v>
      </c>
      <c r="I291" s="311"/>
      <c r="J291" s="311">
        <f t="shared" ref="J291:L291" si="117">SUM(J281:J289)</f>
        <v>28.281000000020413</v>
      </c>
      <c r="K291" s="311">
        <f t="shared" si="117"/>
        <v>88.768000000129746</v>
      </c>
      <c r="L291" s="311">
        <f t="shared" si="117"/>
        <v>117.04900000015016</v>
      </c>
      <c r="M291" s="236"/>
      <c r="N291" s="236"/>
    </row>
    <row r="292" spans="1:14" x14ac:dyDescent="0.3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3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35</v>
      </c>
      <c r="M293" s="236"/>
      <c r="N293" s="236"/>
    </row>
    <row r="294" spans="1:14" x14ac:dyDescent="0.3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3">
      <c r="A295" s="241" t="str">
        <f>name!A20</f>
        <v>Electrical equipment</v>
      </c>
      <c r="B295" s="373">
        <f>B$6</f>
        <v>2015</v>
      </c>
      <c r="C295" s="373"/>
      <c r="D295" s="373"/>
      <c r="E295" s="253"/>
      <c r="F295" s="373">
        <f>F278</f>
        <v>2020</v>
      </c>
      <c r="G295" s="373"/>
      <c r="H295" s="373"/>
      <c r="I295" s="253"/>
      <c r="J295" s="373">
        <f>J278</f>
        <v>2035</v>
      </c>
      <c r="K295" s="373"/>
      <c r="L295" s="373"/>
      <c r="M295" s="236"/>
      <c r="N295" s="236"/>
    </row>
    <row r="296" spans="1:14" x14ac:dyDescent="0.3">
      <c r="A296" s="254"/>
      <c r="B296" s="255" t="s">
        <v>352</v>
      </c>
      <c r="C296" s="255" t="s">
        <v>353</v>
      </c>
      <c r="D296" s="255" t="s">
        <v>32</v>
      </c>
      <c r="E296" s="255"/>
      <c r="F296" s="255" t="s">
        <v>352</v>
      </c>
      <c r="G296" s="255" t="s">
        <v>353</v>
      </c>
      <c r="H296" s="255" t="s">
        <v>32</v>
      </c>
      <c r="I296" s="255"/>
      <c r="J296" s="255" t="s">
        <v>352</v>
      </c>
      <c r="K296" s="255" t="s">
        <v>353</v>
      </c>
      <c r="L296" s="255" t="s">
        <v>32</v>
      </c>
      <c r="M296" s="236"/>
      <c r="N296" s="236"/>
    </row>
    <row r="297" spans="1:14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3">
      <c r="A298" s="237" t="str">
        <f>name!E$4</f>
        <v>Managers, directors and senior officials</v>
      </c>
      <c r="B298" s="302">
        <v>1.9178680226077622</v>
      </c>
      <c r="C298" s="302">
        <v>9.8749347657890869</v>
      </c>
      <c r="D298" s="302">
        <f>SUM(B298:C298)</f>
        <v>11.792802788396848</v>
      </c>
      <c r="E298" s="303"/>
      <c r="F298" s="302">
        <v>2.7446227039120914</v>
      </c>
      <c r="G298" s="302">
        <v>8.8102228714263813</v>
      </c>
      <c r="H298" s="302">
        <f>SUM(F298:G298)</f>
        <v>11.554845575338472</v>
      </c>
      <c r="I298" s="303"/>
      <c r="J298" s="302">
        <v>3.0300809062850074</v>
      </c>
      <c r="K298" s="302">
        <v>8.1455003777441775</v>
      </c>
      <c r="L298" s="302">
        <f>SUM(J298:K298)</f>
        <v>11.175581284029185</v>
      </c>
      <c r="M298" s="236"/>
      <c r="N298" s="236"/>
    </row>
    <row r="299" spans="1:14" x14ac:dyDescent="0.3">
      <c r="A299" s="237" t="str">
        <f>name!E$5</f>
        <v>Professional occupations</v>
      </c>
      <c r="B299" s="302">
        <v>2.8453535336618407</v>
      </c>
      <c r="C299" s="302">
        <v>12.066107336537209</v>
      </c>
      <c r="D299" s="302">
        <f t="shared" ref="D299:D306" si="118">SUM(B299:C299)</f>
        <v>14.911460870199051</v>
      </c>
      <c r="E299" s="303"/>
      <c r="F299" s="302">
        <v>3.4929059594634788</v>
      </c>
      <c r="G299" s="302">
        <v>11.672212042895296</v>
      </c>
      <c r="H299" s="302">
        <f t="shared" ref="H299:H306" si="119">SUM(F299:G299)</f>
        <v>15.165118002358774</v>
      </c>
      <c r="I299" s="303"/>
      <c r="J299" s="302">
        <v>4.0755734577659481</v>
      </c>
      <c r="K299" s="302">
        <v>12.333272970341662</v>
      </c>
      <c r="L299" s="302">
        <f t="shared" ref="L299:L306" si="120">SUM(J299:K299)</f>
        <v>16.408846428107609</v>
      </c>
      <c r="M299" s="236"/>
      <c r="N299" s="236"/>
    </row>
    <row r="300" spans="1:14" x14ac:dyDescent="0.3">
      <c r="A300" s="237" t="str">
        <f>name!E$6</f>
        <v>Associate professional occupations</v>
      </c>
      <c r="B300" s="302">
        <v>3.0890973104417516</v>
      </c>
      <c r="C300" s="302">
        <v>7.9539269456574164</v>
      </c>
      <c r="D300" s="302">
        <f t="shared" si="118"/>
        <v>11.043024256099168</v>
      </c>
      <c r="E300" s="303"/>
      <c r="F300" s="302">
        <v>3.1778897716649919</v>
      </c>
      <c r="G300" s="302">
        <v>7.3420566145898007</v>
      </c>
      <c r="H300" s="302">
        <f t="shared" si="119"/>
        <v>10.519946386254793</v>
      </c>
      <c r="I300" s="303"/>
      <c r="J300" s="302">
        <v>3.349046126808044</v>
      </c>
      <c r="K300" s="302">
        <v>6.0188755577978261</v>
      </c>
      <c r="L300" s="302">
        <f t="shared" si="120"/>
        <v>9.3679216846058697</v>
      </c>
      <c r="M300" s="236"/>
      <c r="N300" s="236"/>
    </row>
    <row r="301" spans="1:14" x14ac:dyDescent="0.3">
      <c r="A301" s="237" t="str">
        <f>name!E$7</f>
        <v>Administrative and secretarial occupations</v>
      </c>
      <c r="B301" s="302">
        <v>6.2510152560187136</v>
      </c>
      <c r="C301" s="302">
        <v>1.5398124484790219</v>
      </c>
      <c r="D301" s="302">
        <f t="shared" si="118"/>
        <v>7.790827704497735</v>
      </c>
      <c r="E301" s="303"/>
      <c r="F301" s="302">
        <v>5.3384975408197821</v>
      </c>
      <c r="G301" s="302">
        <v>1.4249042690446194</v>
      </c>
      <c r="H301" s="302">
        <f t="shared" si="119"/>
        <v>6.7634018098644013</v>
      </c>
      <c r="I301" s="303"/>
      <c r="J301" s="302">
        <v>4.0343592136854678</v>
      </c>
      <c r="K301" s="302">
        <v>1.4889272761399734</v>
      </c>
      <c r="L301" s="302">
        <f t="shared" si="120"/>
        <v>5.5232864898254412</v>
      </c>
      <c r="M301" s="236"/>
      <c r="N301" s="236"/>
    </row>
    <row r="302" spans="1:14" x14ac:dyDescent="0.3">
      <c r="A302" s="237" t="str">
        <f>name!E$8</f>
        <v>Skilled trades occupations</v>
      </c>
      <c r="B302" s="302">
        <v>0.91245052648521463</v>
      </c>
      <c r="C302" s="302">
        <v>18.690060745065782</v>
      </c>
      <c r="D302" s="302">
        <f t="shared" si="118"/>
        <v>19.602511271550998</v>
      </c>
      <c r="E302" s="303"/>
      <c r="F302" s="302">
        <v>0.92758753392401472</v>
      </c>
      <c r="G302" s="302">
        <v>11.56900931758036</v>
      </c>
      <c r="H302" s="302">
        <f t="shared" si="119"/>
        <v>12.496596851504375</v>
      </c>
      <c r="I302" s="303"/>
      <c r="J302" s="302">
        <v>1.6879719289993287</v>
      </c>
      <c r="K302" s="302">
        <v>8.8502618672563376</v>
      </c>
      <c r="L302" s="302">
        <f t="shared" si="120"/>
        <v>10.538233796255666</v>
      </c>
      <c r="M302" s="236"/>
      <c r="N302" s="236"/>
    </row>
    <row r="303" spans="1:14" x14ac:dyDescent="0.3">
      <c r="A303" s="237" t="str">
        <f>name!E$9</f>
        <v>Caring, leisure and other service occupations</v>
      </c>
      <c r="B303" s="302">
        <v>1.382840882891387</v>
      </c>
      <c r="C303" s="302">
        <v>0.32267412010328156</v>
      </c>
      <c r="D303" s="302">
        <f t="shared" si="118"/>
        <v>1.7055150029946686</v>
      </c>
      <c r="E303" s="303"/>
      <c r="F303" s="302">
        <v>1.304123540940108</v>
      </c>
      <c r="G303" s="302">
        <v>0.2829352547028644</v>
      </c>
      <c r="H303" s="302">
        <f t="shared" si="119"/>
        <v>1.5870587956429723</v>
      </c>
      <c r="I303" s="303"/>
      <c r="J303" s="302">
        <v>1.3241874898785613</v>
      </c>
      <c r="K303" s="302">
        <v>0.3307713972615951</v>
      </c>
      <c r="L303" s="302">
        <f t="shared" si="120"/>
        <v>1.6549588871401564</v>
      </c>
      <c r="M303" s="236"/>
      <c r="N303" s="236"/>
    </row>
    <row r="304" spans="1:14" x14ac:dyDescent="0.3">
      <c r="A304" s="237" t="str">
        <f>name!E$10</f>
        <v>Sales and customer service occupations</v>
      </c>
      <c r="B304" s="302">
        <v>1.2561521380346499</v>
      </c>
      <c r="C304" s="302">
        <v>1.5107658284716186</v>
      </c>
      <c r="D304" s="302">
        <f t="shared" si="118"/>
        <v>2.7669179665062682</v>
      </c>
      <c r="E304" s="303"/>
      <c r="F304" s="302">
        <v>1.1236495120076666</v>
      </c>
      <c r="G304" s="302">
        <v>1.3011897388846887</v>
      </c>
      <c r="H304" s="302">
        <f t="shared" si="119"/>
        <v>2.4248392508923553</v>
      </c>
      <c r="I304" s="303"/>
      <c r="J304" s="302">
        <v>1.2029081960420582</v>
      </c>
      <c r="K304" s="302">
        <v>1.4046219931219943</v>
      </c>
      <c r="L304" s="302">
        <f t="shared" si="120"/>
        <v>2.6075301891640525</v>
      </c>
      <c r="M304" s="236"/>
      <c r="N304" s="236"/>
    </row>
    <row r="305" spans="1:14" x14ac:dyDescent="0.3">
      <c r="A305" s="237" t="str">
        <f>name!E$11</f>
        <v>Process, plant and machine operatives</v>
      </c>
      <c r="B305" s="302">
        <v>4.5902399644140237</v>
      </c>
      <c r="C305" s="302">
        <v>10.66290060175565</v>
      </c>
      <c r="D305" s="302">
        <f t="shared" si="118"/>
        <v>15.253140566169673</v>
      </c>
      <c r="E305" s="303"/>
      <c r="F305" s="302">
        <v>2.8296391402741974</v>
      </c>
      <c r="G305" s="302">
        <v>6.3934040866235247</v>
      </c>
      <c r="H305" s="302">
        <f t="shared" si="119"/>
        <v>9.2230432268977225</v>
      </c>
      <c r="I305" s="303"/>
      <c r="J305" s="302">
        <v>3.1673657082540028</v>
      </c>
      <c r="K305" s="302">
        <v>6.3638157471734376</v>
      </c>
      <c r="L305" s="302">
        <f t="shared" si="120"/>
        <v>9.5311814554274399</v>
      </c>
      <c r="M305" s="236"/>
      <c r="N305" s="236"/>
    </row>
    <row r="306" spans="1:14" x14ac:dyDescent="0.3">
      <c r="A306" s="237" t="str">
        <f>name!E$12</f>
        <v>Elementary occupations</v>
      </c>
      <c r="B306" s="302">
        <v>1.4819823653951147</v>
      </c>
      <c r="C306" s="302">
        <v>3.6068172079555216</v>
      </c>
      <c r="D306" s="302">
        <f t="shared" si="118"/>
        <v>5.0887995733506362</v>
      </c>
      <c r="E306" s="303"/>
      <c r="F306" s="302">
        <v>1.0580842968677575</v>
      </c>
      <c r="G306" s="302">
        <v>2.2390658041688658</v>
      </c>
      <c r="H306" s="302">
        <f t="shared" si="119"/>
        <v>3.2971501010366233</v>
      </c>
      <c r="I306" s="303"/>
      <c r="J306" s="302">
        <v>0.88650697225743214</v>
      </c>
      <c r="K306" s="302">
        <v>1.3909528132608169</v>
      </c>
      <c r="L306" s="302">
        <f t="shared" si="120"/>
        <v>2.277459785518249</v>
      </c>
      <c r="M306" s="236"/>
      <c r="N306" s="236"/>
    </row>
    <row r="307" spans="1:14" x14ac:dyDescent="0.3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3">
      <c r="A308" s="244" t="s">
        <v>32</v>
      </c>
      <c r="B308" s="311">
        <f>SUM(B298:B306)</f>
        <v>23.726999999950461</v>
      </c>
      <c r="C308" s="311">
        <f t="shared" ref="C308:D308" si="121">SUM(C298:C306)</f>
        <v>66.227999999814585</v>
      </c>
      <c r="D308" s="311">
        <f t="shared" si="121"/>
        <v>89.954999999765064</v>
      </c>
      <c r="E308" s="311"/>
      <c r="F308" s="311">
        <f t="shared" ref="F308:H308" si="122">SUM(F298:F306)</f>
        <v>21.996999999874088</v>
      </c>
      <c r="G308" s="311">
        <f t="shared" si="122"/>
        <v>51.034999999916408</v>
      </c>
      <c r="H308" s="311">
        <f t="shared" si="122"/>
        <v>73.031999999790486</v>
      </c>
      <c r="I308" s="311"/>
      <c r="J308" s="311">
        <f t="shared" ref="J308:L308" si="123">SUM(J298:J306)</f>
        <v>22.757999999975855</v>
      </c>
      <c r="K308" s="311">
        <f t="shared" si="123"/>
        <v>46.327000000097819</v>
      </c>
      <c r="L308" s="311">
        <f t="shared" si="123"/>
        <v>69.085000000073663</v>
      </c>
      <c r="M308" s="236"/>
      <c r="N308" s="236"/>
    </row>
    <row r="309" spans="1:14" x14ac:dyDescent="0.3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3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35</v>
      </c>
      <c r="M310" s="236"/>
      <c r="N310" s="236"/>
    </row>
    <row r="311" spans="1:14" x14ac:dyDescent="0.3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3">
      <c r="A312" s="241" t="str">
        <f>name!A21</f>
        <v>Machinery n.e.c.</v>
      </c>
      <c r="B312" s="373">
        <f>B$6</f>
        <v>2015</v>
      </c>
      <c r="C312" s="373"/>
      <c r="D312" s="373"/>
      <c r="E312" s="253"/>
      <c r="F312" s="373">
        <f>F295</f>
        <v>2020</v>
      </c>
      <c r="G312" s="373"/>
      <c r="H312" s="373"/>
      <c r="I312" s="253"/>
      <c r="J312" s="373">
        <f>J295</f>
        <v>2035</v>
      </c>
      <c r="K312" s="373"/>
      <c r="L312" s="373"/>
      <c r="M312" s="236"/>
      <c r="N312" s="236"/>
    </row>
    <row r="313" spans="1:14" x14ac:dyDescent="0.3">
      <c r="A313" s="254"/>
      <c r="B313" s="255" t="s">
        <v>352</v>
      </c>
      <c r="C313" s="255" t="s">
        <v>353</v>
      </c>
      <c r="D313" s="255" t="s">
        <v>32</v>
      </c>
      <c r="E313" s="255"/>
      <c r="F313" s="255" t="s">
        <v>352</v>
      </c>
      <c r="G313" s="255" t="s">
        <v>353</v>
      </c>
      <c r="H313" s="255" t="s">
        <v>32</v>
      </c>
      <c r="I313" s="255"/>
      <c r="J313" s="255" t="s">
        <v>352</v>
      </c>
      <c r="K313" s="255" t="s">
        <v>353</v>
      </c>
      <c r="L313" s="255" t="s">
        <v>32</v>
      </c>
      <c r="M313" s="236"/>
      <c r="N313" s="236"/>
    </row>
    <row r="314" spans="1:14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3">
      <c r="A315" s="237" t="str">
        <f>name!E$4</f>
        <v>Managers, directors and senior officials</v>
      </c>
      <c r="B315" s="302">
        <v>2.9133906776489877</v>
      </c>
      <c r="C315" s="302">
        <v>21.511975006139298</v>
      </c>
      <c r="D315" s="302">
        <f>SUM(B315:C315)</f>
        <v>24.425365683788286</v>
      </c>
      <c r="E315" s="303"/>
      <c r="F315" s="302">
        <v>4.2772740521863613</v>
      </c>
      <c r="G315" s="302">
        <v>23.228909137153448</v>
      </c>
      <c r="H315" s="302">
        <f>SUM(F315:G315)</f>
        <v>27.506183189339808</v>
      </c>
      <c r="I315" s="303"/>
      <c r="J315" s="302">
        <v>4.100782410044765</v>
      </c>
      <c r="K315" s="302">
        <v>21.578683328539267</v>
      </c>
      <c r="L315" s="302">
        <f>SUM(J315:K315)</f>
        <v>25.679465738584032</v>
      </c>
      <c r="M315" s="236"/>
      <c r="N315" s="236"/>
    </row>
    <row r="316" spans="1:14" x14ac:dyDescent="0.3">
      <c r="A316" s="237" t="str">
        <f>name!E$5</f>
        <v>Professional occupations</v>
      </c>
      <c r="B316" s="302">
        <v>3.7445015042418763</v>
      </c>
      <c r="C316" s="302">
        <v>29.972292791852787</v>
      </c>
      <c r="D316" s="302">
        <f t="shared" ref="D316:D323" si="124">SUM(B316:C316)</f>
        <v>33.716794296094662</v>
      </c>
      <c r="E316" s="303"/>
      <c r="F316" s="302">
        <v>5.4886970586355748</v>
      </c>
      <c r="G316" s="302">
        <v>35.541183486260778</v>
      </c>
      <c r="H316" s="302">
        <f t="shared" ref="H316:H323" si="125">SUM(F316:G316)</f>
        <v>41.029880544896351</v>
      </c>
      <c r="I316" s="303"/>
      <c r="J316" s="302">
        <v>5.3709794108776165</v>
      </c>
      <c r="K316" s="302">
        <v>36.604313907293005</v>
      </c>
      <c r="L316" s="302">
        <f t="shared" ref="L316:L323" si="126">SUM(J316:K316)</f>
        <v>41.975293318170621</v>
      </c>
      <c r="M316" s="236"/>
      <c r="N316" s="236"/>
    </row>
    <row r="317" spans="1:14" x14ac:dyDescent="0.3">
      <c r="A317" s="237" t="str">
        <f>name!E$6</f>
        <v>Associate professional occupations</v>
      </c>
      <c r="B317" s="302">
        <v>4.0556252172290188</v>
      </c>
      <c r="C317" s="302">
        <v>16.844494298330492</v>
      </c>
      <c r="D317" s="302">
        <f t="shared" si="124"/>
        <v>20.90011951555951</v>
      </c>
      <c r="E317" s="303"/>
      <c r="F317" s="302">
        <v>5.2307122133115103</v>
      </c>
      <c r="G317" s="302">
        <v>19.012437305006394</v>
      </c>
      <c r="H317" s="302">
        <f t="shared" si="125"/>
        <v>24.243149518317903</v>
      </c>
      <c r="I317" s="303"/>
      <c r="J317" s="302">
        <v>4.7094437118706267</v>
      </c>
      <c r="K317" s="302">
        <v>15.516633628969466</v>
      </c>
      <c r="L317" s="302">
        <f t="shared" si="126"/>
        <v>20.226077340840092</v>
      </c>
      <c r="M317" s="236"/>
      <c r="N317" s="236"/>
    </row>
    <row r="318" spans="1:14" x14ac:dyDescent="0.3">
      <c r="A318" s="237" t="str">
        <f>name!E$7</f>
        <v>Administrative and secretarial occupations</v>
      </c>
      <c r="B318" s="302">
        <v>9.046690436986502</v>
      </c>
      <c r="C318" s="302">
        <v>4.3980256201996974</v>
      </c>
      <c r="D318" s="302">
        <f t="shared" si="124"/>
        <v>13.444716057186199</v>
      </c>
      <c r="E318" s="303"/>
      <c r="F318" s="302">
        <v>10.006493517666019</v>
      </c>
      <c r="G318" s="302">
        <v>4.6956758775047902</v>
      </c>
      <c r="H318" s="302">
        <f t="shared" si="125"/>
        <v>14.702169395170809</v>
      </c>
      <c r="I318" s="303"/>
      <c r="J318" s="302">
        <v>6.2582981707112051</v>
      </c>
      <c r="K318" s="302">
        <v>4.7176443644334736</v>
      </c>
      <c r="L318" s="302">
        <f t="shared" si="126"/>
        <v>10.975942535144679</v>
      </c>
      <c r="M318" s="236"/>
      <c r="N318" s="236"/>
    </row>
    <row r="319" spans="1:14" x14ac:dyDescent="0.3">
      <c r="A319" s="237" t="str">
        <f>name!E$8</f>
        <v>Skilled trades occupations</v>
      </c>
      <c r="B319" s="302">
        <v>0.94378770729756056</v>
      </c>
      <c r="C319" s="302">
        <v>49.171204802400752</v>
      </c>
      <c r="D319" s="302">
        <f t="shared" si="124"/>
        <v>50.114992509698311</v>
      </c>
      <c r="E319" s="303"/>
      <c r="F319" s="302">
        <v>1.2256069326094139</v>
      </c>
      <c r="G319" s="302">
        <v>38.930240183482724</v>
      </c>
      <c r="H319" s="302">
        <f t="shared" si="125"/>
        <v>40.15584711609214</v>
      </c>
      <c r="I319" s="303"/>
      <c r="J319" s="302">
        <v>1.962806912860845</v>
      </c>
      <c r="K319" s="302">
        <v>29.495868834196084</v>
      </c>
      <c r="L319" s="302">
        <f t="shared" si="126"/>
        <v>31.45867574705693</v>
      </c>
      <c r="M319" s="236"/>
      <c r="N319" s="236"/>
    </row>
    <row r="320" spans="1:14" x14ac:dyDescent="0.3">
      <c r="A320" s="237" t="str">
        <f>name!E$9</f>
        <v>Caring, leisure and other service occupations</v>
      </c>
      <c r="B320" s="302">
        <v>1.8581477454777859</v>
      </c>
      <c r="C320" s="302">
        <v>0.31704807421795983</v>
      </c>
      <c r="D320" s="302">
        <f t="shared" si="124"/>
        <v>2.1751958196957459</v>
      </c>
      <c r="E320" s="303"/>
      <c r="F320" s="302">
        <v>1.7246778100870388</v>
      </c>
      <c r="G320" s="302">
        <v>0.33250622069840802</v>
      </c>
      <c r="H320" s="302">
        <f t="shared" si="125"/>
        <v>2.057184030785447</v>
      </c>
      <c r="I320" s="303"/>
      <c r="J320" s="302">
        <v>1.5131314351270304</v>
      </c>
      <c r="K320" s="302">
        <v>0.37639506748349655</v>
      </c>
      <c r="L320" s="302">
        <f t="shared" si="126"/>
        <v>1.889526502610527</v>
      </c>
      <c r="M320" s="236"/>
      <c r="N320" s="236"/>
    </row>
    <row r="321" spans="1:14" x14ac:dyDescent="0.3">
      <c r="A321" s="237" t="str">
        <f>name!E$10</f>
        <v>Sales and customer service occupations</v>
      </c>
      <c r="B321" s="302">
        <v>2.0632201286299305</v>
      </c>
      <c r="C321" s="302">
        <v>3.4882351988759712</v>
      </c>
      <c r="D321" s="302">
        <f t="shared" si="124"/>
        <v>5.5514553275059022</v>
      </c>
      <c r="E321" s="303"/>
      <c r="F321" s="302">
        <v>2.2706575862260427</v>
      </c>
      <c r="G321" s="302">
        <v>3.3598005853196948</v>
      </c>
      <c r="H321" s="302">
        <f t="shared" si="125"/>
        <v>5.6304581715457376</v>
      </c>
      <c r="I321" s="303"/>
      <c r="J321" s="302">
        <v>1.9303134478512967</v>
      </c>
      <c r="K321" s="302">
        <v>3.464055070508842</v>
      </c>
      <c r="L321" s="302">
        <f t="shared" si="126"/>
        <v>5.3943685183601389</v>
      </c>
      <c r="M321" s="236"/>
      <c r="N321" s="236"/>
    </row>
    <row r="322" spans="1:14" x14ac:dyDescent="0.3">
      <c r="A322" s="237" t="str">
        <f>name!E$11</f>
        <v>Process, plant and machine operatives</v>
      </c>
      <c r="B322" s="302">
        <v>4.2928783013265797</v>
      </c>
      <c r="C322" s="302">
        <v>20.777158348091533</v>
      </c>
      <c r="D322" s="302">
        <f t="shared" si="124"/>
        <v>25.070036649418114</v>
      </c>
      <c r="E322" s="303"/>
      <c r="F322" s="302">
        <v>3.7758116476043684</v>
      </c>
      <c r="G322" s="302">
        <v>16.659293661517964</v>
      </c>
      <c r="H322" s="302">
        <f t="shared" si="125"/>
        <v>20.435105309122331</v>
      </c>
      <c r="I322" s="303"/>
      <c r="J322" s="302">
        <v>3.8140293537062639</v>
      </c>
      <c r="K322" s="302">
        <v>17.005419303760334</v>
      </c>
      <c r="L322" s="302">
        <f t="shared" si="126"/>
        <v>20.819448657466598</v>
      </c>
      <c r="M322" s="236"/>
      <c r="N322" s="236"/>
    </row>
    <row r="323" spans="1:14" x14ac:dyDescent="0.3">
      <c r="A323" s="237" t="str">
        <f>name!E$12</f>
        <v>Elementary occupations</v>
      </c>
      <c r="B323" s="302">
        <v>2.0697582811128878</v>
      </c>
      <c r="C323" s="302">
        <v>7.4495658593851637</v>
      </c>
      <c r="D323" s="302">
        <f t="shared" si="124"/>
        <v>9.5193241404980515</v>
      </c>
      <c r="E323" s="303"/>
      <c r="F323" s="302">
        <v>1.7080691814837383</v>
      </c>
      <c r="G323" s="302">
        <v>5.6189535427201589</v>
      </c>
      <c r="H323" s="302">
        <f t="shared" si="125"/>
        <v>7.3270227242038972</v>
      </c>
      <c r="I323" s="303"/>
      <c r="J323" s="302">
        <v>1.3542151469294679</v>
      </c>
      <c r="K323" s="302">
        <v>3.5299864949907374</v>
      </c>
      <c r="L323" s="302">
        <f t="shared" si="126"/>
        <v>4.884201641920205</v>
      </c>
      <c r="M323" s="236"/>
      <c r="N323" s="236"/>
    </row>
    <row r="324" spans="1:14" x14ac:dyDescent="0.3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3">
      <c r="A325" s="244" t="s">
        <v>32</v>
      </c>
      <c r="B325" s="311">
        <f>SUM(B315:B323)</f>
        <v>30.987999999951128</v>
      </c>
      <c r="C325" s="311">
        <f t="shared" ref="C325:D325" si="127">SUM(C315:C323)</f>
        <v>153.92999999949367</v>
      </c>
      <c r="D325" s="311">
        <f t="shared" si="127"/>
        <v>184.91799999944476</v>
      </c>
      <c r="E325" s="311"/>
      <c r="F325" s="311">
        <f t="shared" ref="F325:H325" si="128">SUM(F315:F323)</f>
        <v>35.707999999810063</v>
      </c>
      <c r="G325" s="311">
        <f t="shared" si="128"/>
        <v>147.37899999966433</v>
      </c>
      <c r="H325" s="311">
        <f t="shared" si="128"/>
        <v>183.08699999947441</v>
      </c>
      <c r="I325" s="311"/>
      <c r="J325" s="311">
        <f t="shared" ref="J325:L325" si="129">SUM(J315:J323)</f>
        <v>31.01399999997912</v>
      </c>
      <c r="K325" s="311">
        <f t="shared" si="129"/>
        <v>132.28900000017472</v>
      </c>
      <c r="L325" s="311">
        <f t="shared" si="129"/>
        <v>163.30300000015382</v>
      </c>
      <c r="M325" s="236"/>
      <c r="N325" s="236"/>
    </row>
    <row r="326" spans="1:14" x14ac:dyDescent="0.3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3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35</v>
      </c>
      <c r="M327" s="236"/>
      <c r="N327" s="236"/>
    </row>
    <row r="328" spans="1:14" x14ac:dyDescent="0.3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3">
      <c r="A329" s="241" t="str">
        <f>name!A22</f>
        <v>Motor vehicles, etc</v>
      </c>
      <c r="B329" s="373">
        <f>B$6</f>
        <v>2015</v>
      </c>
      <c r="C329" s="373"/>
      <c r="D329" s="373"/>
      <c r="E329" s="253"/>
      <c r="F329" s="373">
        <f>F312</f>
        <v>2020</v>
      </c>
      <c r="G329" s="373"/>
      <c r="H329" s="373"/>
      <c r="I329" s="253"/>
      <c r="J329" s="373">
        <f>J312</f>
        <v>2035</v>
      </c>
      <c r="K329" s="373"/>
      <c r="L329" s="373"/>
      <c r="M329" s="236"/>
      <c r="N329" s="236"/>
    </row>
    <row r="330" spans="1:14" x14ac:dyDescent="0.3">
      <c r="A330" s="254"/>
      <c r="B330" s="255" t="s">
        <v>352</v>
      </c>
      <c r="C330" s="255" t="s">
        <v>353</v>
      </c>
      <c r="D330" s="255" t="s">
        <v>32</v>
      </c>
      <c r="E330" s="255"/>
      <c r="F330" s="255" t="s">
        <v>352</v>
      </c>
      <c r="G330" s="255" t="s">
        <v>353</v>
      </c>
      <c r="H330" s="255" t="s">
        <v>32</v>
      </c>
      <c r="I330" s="255"/>
      <c r="J330" s="255" t="s">
        <v>352</v>
      </c>
      <c r="K330" s="255" t="s">
        <v>353</v>
      </c>
      <c r="L330" s="255" t="s">
        <v>32</v>
      </c>
      <c r="M330" s="236"/>
      <c r="N330" s="236"/>
    </row>
    <row r="331" spans="1:14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3">
      <c r="A332" s="237" t="str">
        <f>name!E$4</f>
        <v>Managers, directors and senior officials</v>
      </c>
      <c r="B332" s="302">
        <v>0.99060407640797077</v>
      </c>
      <c r="C332" s="302">
        <v>10.066533993039725</v>
      </c>
      <c r="D332" s="302">
        <f>SUM(B332:C332)</f>
        <v>11.057138069447696</v>
      </c>
      <c r="E332" s="303"/>
      <c r="F332" s="302">
        <v>1.3233234762726673</v>
      </c>
      <c r="G332" s="302">
        <v>10.944331309116363</v>
      </c>
      <c r="H332" s="302">
        <f>SUM(F332:G332)</f>
        <v>12.267654785389031</v>
      </c>
      <c r="I332" s="303"/>
      <c r="J332" s="302">
        <v>1.2852415734220308</v>
      </c>
      <c r="K332" s="302">
        <v>9.7150758202392815</v>
      </c>
      <c r="L332" s="302">
        <f>SUM(J332:K332)</f>
        <v>11.000317393661312</v>
      </c>
      <c r="M332" s="236"/>
      <c r="N332" s="236"/>
    </row>
    <row r="333" spans="1:14" x14ac:dyDescent="0.3">
      <c r="A333" s="237" t="str">
        <f>name!E$5</f>
        <v>Professional occupations</v>
      </c>
      <c r="B333" s="302">
        <v>2.1555502941102005</v>
      </c>
      <c r="C333" s="302">
        <v>24.579887766165623</v>
      </c>
      <c r="D333" s="302">
        <f t="shared" ref="D333:D340" si="130">SUM(B333:C333)</f>
        <v>26.735438060275822</v>
      </c>
      <c r="E333" s="303"/>
      <c r="F333" s="302">
        <v>3.1587188083417006</v>
      </c>
      <c r="G333" s="302">
        <v>29.174242686419841</v>
      </c>
      <c r="H333" s="302">
        <f t="shared" ref="H333:H340" si="131">SUM(F333:G333)</f>
        <v>32.332961494761541</v>
      </c>
      <c r="I333" s="303"/>
      <c r="J333" s="302">
        <v>3.3183458263752517</v>
      </c>
      <c r="K333" s="302">
        <v>30.865940110182994</v>
      </c>
      <c r="L333" s="302">
        <f t="shared" ref="L333:L340" si="132">SUM(J333:K333)</f>
        <v>34.184285936558247</v>
      </c>
      <c r="M333" s="236"/>
      <c r="N333" s="236"/>
    </row>
    <row r="334" spans="1:14" x14ac:dyDescent="0.3">
      <c r="A334" s="237" t="str">
        <f>name!E$6</f>
        <v>Associate professional occupations</v>
      </c>
      <c r="B334" s="302">
        <v>2.6642462602536088</v>
      </c>
      <c r="C334" s="302">
        <v>9.0402758348171339</v>
      </c>
      <c r="D334" s="302">
        <f t="shared" si="130"/>
        <v>11.704522095070743</v>
      </c>
      <c r="E334" s="303"/>
      <c r="F334" s="302">
        <v>3.4239601299229969</v>
      </c>
      <c r="G334" s="302">
        <v>10.736640691188841</v>
      </c>
      <c r="H334" s="302">
        <f t="shared" si="131"/>
        <v>14.160600821111839</v>
      </c>
      <c r="I334" s="303"/>
      <c r="J334" s="302">
        <v>3.1207209152691551</v>
      </c>
      <c r="K334" s="302">
        <v>8.5343249841809374</v>
      </c>
      <c r="L334" s="302">
        <f t="shared" si="132"/>
        <v>11.655045899450093</v>
      </c>
      <c r="M334" s="236"/>
      <c r="N334" s="236"/>
    </row>
    <row r="335" spans="1:14" x14ac:dyDescent="0.3">
      <c r="A335" s="237" t="str">
        <f>name!E$7</f>
        <v>Administrative and secretarial occupations</v>
      </c>
      <c r="B335" s="302">
        <v>5.87145359028636</v>
      </c>
      <c r="C335" s="302">
        <v>5.9045984790309278</v>
      </c>
      <c r="D335" s="302">
        <f t="shared" si="130"/>
        <v>11.776052069317288</v>
      </c>
      <c r="E335" s="303"/>
      <c r="F335" s="302">
        <v>6.1922530444351898</v>
      </c>
      <c r="G335" s="302">
        <v>6.5230390505832956</v>
      </c>
      <c r="H335" s="302">
        <f t="shared" si="131"/>
        <v>12.715292095018485</v>
      </c>
      <c r="I335" s="303"/>
      <c r="J335" s="302">
        <v>4.550027074625894</v>
      </c>
      <c r="K335" s="302">
        <v>6.0185264260292426</v>
      </c>
      <c r="L335" s="302">
        <f t="shared" si="132"/>
        <v>10.568553500655137</v>
      </c>
      <c r="M335" s="236"/>
      <c r="N335" s="236"/>
    </row>
    <row r="336" spans="1:14" x14ac:dyDescent="0.3">
      <c r="A336" s="237" t="str">
        <f>name!E$8</f>
        <v>Skilled trades occupations</v>
      </c>
      <c r="B336" s="302">
        <v>0.99655123653999844</v>
      </c>
      <c r="C336" s="302">
        <v>40.050721692751075</v>
      </c>
      <c r="D336" s="302">
        <f t="shared" si="130"/>
        <v>41.047272929291076</v>
      </c>
      <c r="E336" s="303"/>
      <c r="F336" s="302">
        <v>1.2538897597055785</v>
      </c>
      <c r="G336" s="302">
        <v>32.969418840222517</v>
      </c>
      <c r="H336" s="302">
        <f t="shared" si="131"/>
        <v>34.223308599928096</v>
      </c>
      <c r="I336" s="303"/>
      <c r="J336" s="302">
        <v>2.3150761118684322</v>
      </c>
      <c r="K336" s="302">
        <v>24.763341479219378</v>
      </c>
      <c r="L336" s="302">
        <f t="shared" si="132"/>
        <v>27.07841759108781</v>
      </c>
      <c r="M336" s="236"/>
      <c r="N336" s="236"/>
    </row>
    <row r="337" spans="1:14" x14ac:dyDescent="0.3">
      <c r="A337" s="237" t="str">
        <f>name!E$9</f>
        <v>Caring, leisure and other service occupations</v>
      </c>
      <c r="B337" s="302">
        <v>1.0354194121623759</v>
      </c>
      <c r="C337" s="302">
        <v>1.1911164850755149</v>
      </c>
      <c r="D337" s="302">
        <f t="shared" si="130"/>
        <v>2.2265358972378908</v>
      </c>
      <c r="E337" s="303"/>
      <c r="F337" s="302">
        <v>1.013881815464668</v>
      </c>
      <c r="G337" s="302">
        <v>1.5868287233992473</v>
      </c>
      <c r="H337" s="302">
        <f t="shared" si="131"/>
        <v>2.6007105388639156</v>
      </c>
      <c r="I337" s="303"/>
      <c r="J337" s="302">
        <v>0.91573798123395989</v>
      </c>
      <c r="K337" s="302">
        <v>2.1132739400886775</v>
      </c>
      <c r="L337" s="302">
        <f t="shared" si="132"/>
        <v>3.0290119213226374</v>
      </c>
      <c r="M337" s="236"/>
      <c r="N337" s="236"/>
    </row>
    <row r="338" spans="1:14" x14ac:dyDescent="0.3">
      <c r="A338" s="237" t="str">
        <f>name!E$10</f>
        <v>Sales and customer service occupations</v>
      </c>
      <c r="B338" s="302">
        <v>0.83428283303375683</v>
      </c>
      <c r="C338" s="302">
        <v>2.6347329054590274</v>
      </c>
      <c r="D338" s="302">
        <f t="shared" si="130"/>
        <v>3.469015738492784</v>
      </c>
      <c r="E338" s="303"/>
      <c r="F338" s="302">
        <v>0.92958547775621103</v>
      </c>
      <c r="G338" s="302">
        <v>2.5630187172653045</v>
      </c>
      <c r="H338" s="302">
        <f t="shared" si="131"/>
        <v>3.4926041950215154</v>
      </c>
      <c r="I338" s="303"/>
      <c r="J338" s="302">
        <v>0.91925130168854752</v>
      </c>
      <c r="K338" s="302">
        <v>2.6113177083939512</v>
      </c>
      <c r="L338" s="302">
        <f t="shared" si="132"/>
        <v>3.5305690100824987</v>
      </c>
      <c r="M338" s="236"/>
      <c r="N338" s="236"/>
    </row>
    <row r="339" spans="1:14" x14ac:dyDescent="0.3">
      <c r="A339" s="237" t="str">
        <f>name!E$11</f>
        <v>Process, plant and machine operatives</v>
      </c>
      <c r="B339" s="302">
        <v>3.9420236241974211</v>
      </c>
      <c r="C339" s="302">
        <v>34.72526661097492</v>
      </c>
      <c r="D339" s="302">
        <f t="shared" si="130"/>
        <v>38.667290235172338</v>
      </c>
      <c r="E339" s="303"/>
      <c r="F339" s="302">
        <v>3.3369298566399039</v>
      </c>
      <c r="G339" s="302">
        <v>28.255408694503398</v>
      </c>
      <c r="H339" s="302">
        <f t="shared" si="131"/>
        <v>31.592338551143303</v>
      </c>
      <c r="I339" s="303"/>
      <c r="J339" s="302">
        <v>3.996902623445699</v>
      </c>
      <c r="K339" s="302">
        <v>28.751605203082224</v>
      </c>
      <c r="L339" s="302">
        <f t="shared" si="132"/>
        <v>32.748507826527927</v>
      </c>
      <c r="M339" s="236"/>
      <c r="N339" s="236"/>
    </row>
    <row r="340" spans="1:14" x14ac:dyDescent="0.3">
      <c r="A340" s="237" t="str">
        <f>name!E$12</f>
        <v>Elementary occupations</v>
      </c>
      <c r="B340" s="302">
        <v>0.90786867297855467</v>
      </c>
      <c r="C340" s="302">
        <v>7.3378662325886275</v>
      </c>
      <c r="D340" s="302">
        <f t="shared" si="130"/>
        <v>8.2457349055671827</v>
      </c>
      <c r="E340" s="303"/>
      <c r="F340" s="302">
        <v>0.77045763130796741</v>
      </c>
      <c r="G340" s="302">
        <v>5.9460712868766059</v>
      </c>
      <c r="H340" s="302">
        <f t="shared" si="131"/>
        <v>6.7165289181845731</v>
      </c>
      <c r="I340" s="303"/>
      <c r="J340" s="302">
        <v>0.47269659204933034</v>
      </c>
      <c r="K340" s="302">
        <v>3.576594328598695</v>
      </c>
      <c r="L340" s="302">
        <f t="shared" si="132"/>
        <v>4.0492909206480254</v>
      </c>
      <c r="M340" s="236"/>
      <c r="N340" s="236"/>
    </row>
    <row r="341" spans="1:14" x14ac:dyDescent="0.3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3">
      <c r="A342" s="244" t="s">
        <v>32</v>
      </c>
      <c r="B342" s="311">
        <f>SUM(B332:B340)</f>
        <v>19.397999999970249</v>
      </c>
      <c r="C342" s="311">
        <f t="shared" ref="C342:D342" si="133">SUM(C332:C340)</f>
        <v>135.53099999990258</v>
      </c>
      <c r="D342" s="311">
        <f t="shared" si="133"/>
        <v>154.92899999987284</v>
      </c>
      <c r="E342" s="311"/>
      <c r="F342" s="311">
        <f t="shared" ref="F342:H342" si="134">SUM(F332:F340)</f>
        <v>21.402999999846884</v>
      </c>
      <c r="G342" s="311">
        <f t="shared" si="134"/>
        <v>128.69899999957542</v>
      </c>
      <c r="H342" s="311">
        <f t="shared" si="134"/>
        <v>150.1019999994223</v>
      </c>
      <c r="I342" s="311"/>
      <c r="J342" s="311">
        <f t="shared" ref="J342:L342" si="135">SUM(J332:J340)</f>
        <v>20.893999999978302</v>
      </c>
      <c r="K342" s="311">
        <f t="shared" si="135"/>
        <v>116.95000000001536</v>
      </c>
      <c r="L342" s="311">
        <f t="shared" si="135"/>
        <v>137.84399999999368</v>
      </c>
      <c r="M342" s="236"/>
      <c r="N342" s="236"/>
    </row>
    <row r="343" spans="1:14" x14ac:dyDescent="0.3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3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35</v>
      </c>
      <c r="M344" s="236"/>
      <c r="N344" s="236"/>
    </row>
    <row r="345" spans="1:14" x14ac:dyDescent="0.3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3">
      <c r="A346" s="241" t="str">
        <f>name!A23</f>
        <v>Other transport equipment</v>
      </c>
      <c r="B346" s="373">
        <f>B$6</f>
        <v>2015</v>
      </c>
      <c r="C346" s="373"/>
      <c r="D346" s="373"/>
      <c r="E346" s="253"/>
      <c r="F346" s="373">
        <f>F329</f>
        <v>2020</v>
      </c>
      <c r="G346" s="373"/>
      <c r="H346" s="373"/>
      <c r="I346" s="253"/>
      <c r="J346" s="373">
        <f>J329</f>
        <v>2035</v>
      </c>
      <c r="K346" s="373"/>
      <c r="L346" s="373"/>
      <c r="M346" s="236"/>
      <c r="N346" s="236"/>
    </row>
    <row r="347" spans="1:14" x14ac:dyDescent="0.3">
      <c r="A347" s="254"/>
      <c r="B347" s="255" t="s">
        <v>352</v>
      </c>
      <c r="C347" s="255" t="s">
        <v>353</v>
      </c>
      <c r="D347" s="255" t="s">
        <v>32</v>
      </c>
      <c r="E347" s="255"/>
      <c r="F347" s="255" t="s">
        <v>352</v>
      </c>
      <c r="G347" s="255" t="s">
        <v>353</v>
      </c>
      <c r="H347" s="255" t="s">
        <v>32</v>
      </c>
      <c r="I347" s="255"/>
      <c r="J347" s="255" t="s">
        <v>352</v>
      </c>
      <c r="K347" s="255" t="s">
        <v>353</v>
      </c>
      <c r="L347" s="255" t="s">
        <v>32</v>
      </c>
      <c r="M347" s="236"/>
      <c r="N347" s="236"/>
    </row>
    <row r="348" spans="1:14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3">
      <c r="A349" s="237" t="str">
        <f>name!E$4</f>
        <v>Managers, directors and senior officials</v>
      </c>
      <c r="B349" s="302">
        <v>1.2005729477032416</v>
      </c>
      <c r="C349" s="302">
        <v>10.201125957730628</v>
      </c>
      <c r="D349" s="302">
        <f>SUM(B349:C349)</f>
        <v>11.40169890543387</v>
      </c>
      <c r="E349" s="303"/>
      <c r="F349" s="302">
        <v>1.7659413696180088</v>
      </c>
      <c r="G349" s="302">
        <v>11.727286743317963</v>
      </c>
      <c r="H349" s="302">
        <f>SUM(F349:G349)</f>
        <v>13.493228112935972</v>
      </c>
      <c r="I349" s="303"/>
      <c r="J349" s="302">
        <v>1.6886282453526826</v>
      </c>
      <c r="K349" s="302">
        <v>9.7020551702751163</v>
      </c>
      <c r="L349" s="302">
        <f>SUM(J349:K349)</f>
        <v>11.390683415627798</v>
      </c>
      <c r="M349" s="236"/>
      <c r="N349" s="236"/>
    </row>
    <row r="350" spans="1:14" x14ac:dyDescent="0.3">
      <c r="A350" s="237" t="str">
        <f>name!E$5</f>
        <v>Professional occupations</v>
      </c>
      <c r="B350" s="302">
        <v>2.767868669588339</v>
      </c>
      <c r="C350" s="302">
        <v>31.380871735165762</v>
      </c>
      <c r="D350" s="302">
        <f t="shared" ref="D350:D357" si="136">SUM(B350:C350)</f>
        <v>34.148740404754101</v>
      </c>
      <c r="E350" s="303"/>
      <c r="F350" s="302">
        <v>4.3318686771300214</v>
      </c>
      <c r="G350" s="302">
        <v>38.738227409427722</v>
      </c>
      <c r="H350" s="302">
        <f t="shared" ref="H350:H357" si="137">SUM(F350:G350)</f>
        <v>43.07009608655774</v>
      </c>
      <c r="I350" s="303"/>
      <c r="J350" s="302">
        <v>4.1250904769448429</v>
      </c>
      <c r="K350" s="302">
        <v>36.587786105304779</v>
      </c>
      <c r="L350" s="302">
        <f t="shared" ref="L350:L357" si="138">SUM(J350:K350)</f>
        <v>40.712876582249621</v>
      </c>
      <c r="M350" s="236"/>
      <c r="N350" s="236"/>
    </row>
    <row r="351" spans="1:14" x14ac:dyDescent="0.3">
      <c r="A351" s="237" t="str">
        <f>name!E$6</f>
        <v>Associate professional occupations</v>
      </c>
      <c r="B351" s="302">
        <v>2.3151101959697913</v>
      </c>
      <c r="C351" s="302">
        <v>11.338542527078685</v>
      </c>
      <c r="D351" s="302">
        <f t="shared" si="136"/>
        <v>13.653652723048477</v>
      </c>
      <c r="E351" s="303"/>
      <c r="F351" s="302">
        <v>3.1245551925865862</v>
      </c>
      <c r="G351" s="302">
        <v>13.876422290616405</v>
      </c>
      <c r="H351" s="302">
        <f t="shared" si="137"/>
        <v>17.000977483202991</v>
      </c>
      <c r="I351" s="303"/>
      <c r="J351" s="302">
        <v>2.6828873987509527</v>
      </c>
      <c r="K351" s="302">
        <v>10.43501350567041</v>
      </c>
      <c r="L351" s="302">
        <f t="shared" si="138"/>
        <v>13.117900904421363</v>
      </c>
      <c r="M351" s="236"/>
      <c r="N351" s="236"/>
    </row>
    <row r="352" spans="1:14" x14ac:dyDescent="0.3">
      <c r="A352" s="237" t="str">
        <f>name!E$7</f>
        <v>Administrative and secretarial occupations</v>
      </c>
      <c r="B352" s="302">
        <v>6.2564672461717796</v>
      </c>
      <c r="C352" s="302">
        <v>3.6884613345693804</v>
      </c>
      <c r="D352" s="302">
        <f t="shared" si="136"/>
        <v>9.9449285807411592</v>
      </c>
      <c r="E352" s="303"/>
      <c r="F352" s="302">
        <v>7.3435797608985176</v>
      </c>
      <c r="G352" s="302">
        <v>4.1561467431692005</v>
      </c>
      <c r="H352" s="302">
        <f t="shared" si="137"/>
        <v>11.499726504067718</v>
      </c>
      <c r="I352" s="303"/>
      <c r="J352" s="302">
        <v>6.6021824769108362</v>
      </c>
      <c r="K352" s="302">
        <v>3.3114141730051756</v>
      </c>
      <c r="L352" s="302">
        <f t="shared" si="138"/>
        <v>9.9135966499160126</v>
      </c>
      <c r="M352" s="236"/>
      <c r="N352" s="236"/>
    </row>
    <row r="353" spans="1:14" x14ac:dyDescent="0.3">
      <c r="A353" s="237" t="str">
        <f>name!E$8</f>
        <v>Skilled trades occupations</v>
      </c>
      <c r="B353" s="302">
        <v>0.95352399393263865</v>
      </c>
      <c r="C353" s="302">
        <v>44.626257036468246</v>
      </c>
      <c r="D353" s="302">
        <f t="shared" si="136"/>
        <v>45.579781030400888</v>
      </c>
      <c r="E353" s="303"/>
      <c r="F353" s="302">
        <v>1.2058444010969516</v>
      </c>
      <c r="G353" s="302">
        <v>38.030051271468807</v>
      </c>
      <c r="H353" s="302">
        <f t="shared" si="137"/>
        <v>39.235895672565761</v>
      </c>
      <c r="I353" s="303"/>
      <c r="J353" s="302">
        <v>2.1258678147519148</v>
      </c>
      <c r="K353" s="302">
        <v>26.070323666620737</v>
      </c>
      <c r="L353" s="302">
        <f t="shared" si="138"/>
        <v>28.196191481372651</v>
      </c>
      <c r="M353" s="236"/>
      <c r="N353" s="236"/>
    </row>
    <row r="354" spans="1:14" x14ac:dyDescent="0.3">
      <c r="A354" s="237" t="str">
        <f>name!E$9</f>
        <v>Caring, leisure and other service occupations</v>
      </c>
      <c r="B354" s="302">
        <v>0.26307828048233517</v>
      </c>
      <c r="C354" s="302">
        <v>0.24504950364205869</v>
      </c>
      <c r="D354" s="302">
        <f t="shared" si="136"/>
        <v>0.50812778412439386</v>
      </c>
      <c r="E354" s="303"/>
      <c r="F354" s="302">
        <v>0.29709269477981365</v>
      </c>
      <c r="G354" s="302">
        <v>0.30852823721391737</v>
      </c>
      <c r="H354" s="302">
        <f t="shared" si="137"/>
        <v>0.60562093199373102</v>
      </c>
      <c r="I354" s="303"/>
      <c r="J354" s="302">
        <v>0.24732244787479415</v>
      </c>
      <c r="K354" s="302">
        <v>0.31508527419183147</v>
      </c>
      <c r="L354" s="302">
        <f t="shared" si="138"/>
        <v>0.56240772206662559</v>
      </c>
      <c r="M354" s="236"/>
      <c r="N354" s="236"/>
    </row>
    <row r="355" spans="1:14" x14ac:dyDescent="0.3">
      <c r="A355" s="237" t="str">
        <f>name!E$10</f>
        <v>Sales and customer service occupations</v>
      </c>
      <c r="B355" s="302">
        <v>0.79597408377145851</v>
      </c>
      <c r="C355" s="302">
        <v>1.2009887921181581</v>
      </c>
      <c r="D355" s="302">
        <f t="shared" si="136"/>
        <v>1.9969628758896167</v>
      </c>
      <c r="E355" s="303"/>
      <c r="F355" s="302">
        <v>0.98898510798063965</v>
      </c>
      <c r="G355" s="302">
        <v>1.435703874461765</v>
      </c>
      <c r="H355" s="302">
        <f t="shared" si="137"/>
        <v>2.4246889824424045</v>
      </c>
      <c r="I355" s="303"/>
      <c r="J355" s="302">
        <v>1.0238177799507435</v>
      </c>
      <c r="K355" s="302">
        <v>1.4685676523011366</v>
      </c>
      <c r="L355" s="302">
        <f t="shared" si="138"/>
        <v>2.4923854322518801</v>
      </c>
      <c r="M355" s="236"/>
      <c r="N355" s="236"/>
    </row>
    <row r="356" spans="1:14" x14ac:dyDescent="0.3">
      <c r="A356" s="237" t="str">
        <f>name!E$11</f>
        <v>Process, plant and machine operatives</v>
      </c>
      <c r="B356" s="302">
        <v>0.92319483758136467</v>
      </c>
      <c r="C356" s="302">
        <v>16.081475619299653</v>
      </c>
      <c r="D356" s="302">
        <f t="shared" si="136"/>
        <v>17.004670456881016</v>
      </c>
      <c r="E356" s="303"/>
      <c r="F356" s="302">
        <v>0.75971167664124595</v>
      </c>
      <c r="G356" s="302">
        <v>12.922263570800094</v>
      </c>
      <c r="H356" s="302">
        <f t="shared" si="137"/>
        <v>13.68197524744134</v>
      </c>
      <c r="I356" s="303"/>
      <c r="J356" s="302">
        <v>0.77596005242221777</v>
      </c>
      <c r="K356" s="302">
        <v>12.817538575128847</v>
      </c>
      <c r="L356" s="302">
        <f t="shared" si="138"/>
        <v>13.593498627551064</v>
      </c>
      <c r="M356" s="236"/>
      <c r="N356" s="236"/>
    </row>
    <row r="357" spans="1:14" x14ac:dyDescent="0.3">
      <c r="A357" s="237" t="str">
        <f>name!E$12</f>
        <v>Elementary occupations</v>
      </c>
      <c r="B357" s="302">
        <v>0.79920974471250372</v>
      </c>
      <c r="C357" s="302">
        <v>2.8962274935105099</v>
      </c>
      <c r="D357" s="302">
        <f t="shared" si="136"/>
        <v>3.6954372382230138</v>
      </c>
      <c r="E357" s="303"/>
      <c r="F357" s="302">
        <v>0.62042111914968756</v>
      </c>
      <c r="G357" s="302">
        <v>2.4443698591972405</v>
      </c>
      <c r="H357" s="302">
        <f t="shared" si="137"/>
        <v>3.0647909783469283</v>
      </c>
      <c r="I357" s="303"/>
      <c r="J357" s="302">
        <v>0.47324330705546896</v>
      </c>
      <c r="K357" s="302">
        <v>1.3702158774951672</v>
      </c>
      <c r="L357" s="302">
        <f t="shared" si="138"/>
        <v>1.8434591845506361</v>
      </c>
      <c r="M357" s="236"/>
      <c r="N357" s="236"/>
    </row>
    <row r="358" spans="1:14" x14ac:dyDescent="0.3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3">
      <c r="A359" s="244" t="s">
        <v>32</v>
      </c>
      <c r="B359" s="311">
        <f>SUM(B349:B357)</f>
        <v>16.274999999913451</v>
      </c>
      <c r="C359" s="311">
        <f t="shared" ref="C359:D359" si="139">SUM(C349:C357)</f>
        <v>121.65899999958309</v>
      </c>
      <c r="D359" s="311">
        <f t="shared" si="139"/>
        <v>137.93399999949656</v>
      </c>
      <c r="E359" s="311"/>
      <c r="F359" s="311">
        <f t="shared" ref="F359:H359" si="140">SUM(F349:F357)</f>
        <v>20.43799999988147</v>
      </c>
      <c r="G359" s="311">
        <f t="shared" si="140"/>
        <v>123.63899999967312</v>
      </c>
      <c r="H359" s="311">
        <f t="shared" si="140"/>
        <v>144.0769999995546</v>
      </c>
      <c r="I359" s="311"/>
      <c r="J359" s="311">
        <f t="shared" ref="J359:L359" si="141">SUM(J349:J357)</f>
        <v>19.74500000001445</v>
      </c>
      <c r="K359" s="311">
        <f t="shared" si="141"/>
        <v>102.07799999999321</v>
      </c>
      <c r="L359" s="311">
        <f t="shared" si="141"/>
        <v>121.82300000000767</v>
      </c>
      <c r="M359" s="236"/>
      <c r="N359" s="236"/>
    </row>
    <row r="360" spans="1:14" x14ac:dyDescent="0.3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3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35</v>
      </c>
      <c r="M361" s="236"/>
      <c r="N361" s="236"/>
    </row>
    <row r="362" spans="1:14" x14ac:dyDescent="0.3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3">
      <c r="A363" s="241" t="str">
        <f>name!A24</f>
        <v>Furniture</v>
      </c>
      <c r="B363" s="373">
        <f>B$6</f>
        <v>2015</v>
      </c>
      <c r="C363" s="373"/>
      <c r="D363" s="373"/>
      <c r="E363" s="253"/>
      <c r="F363" s="373">
        <f>F346</f>
        <v>2020</v>
      </c>
      <c r="G363" s="373"/>
      <c r="H363" s="373"/>
      <c r="I363" s="253"/>
      <c r="J363" s="373">
        <f>J346</f>
        <v>2035</v>
      </c>
      <c r="K363" s="373"/>
      <c r="L363" s="373"/>
      <c r="M363" s="236"/>
      <c r="N363" s="236"/>
    </row>
    <row r="364" spans="1:14" x14ac:dyDescent="0.3">
      <c r="A364" s="254"/>
      <c r="B364" s="255" t="s">
        <v>352</v>
      </c>
      <c r="C364" s="255" t="s">
        <v>353</v>
      </c>
      <c r="D364" s="255" t="s">
        <v>32</v>
      </c>
      <c r="E364" s="255"/>
      <c r="F364" s="255" t="s">
        <v>352</v>
      </c>
      <c r="G364" s="255" t="s">
        <v>353</v>
      </c>
      <c r="H364" s="255" t="s">
        <v>32</v>
      </c>
      <c r="I364" s="255"/>
      <c r="J364" s="255" t="s">
        <v>352</v>
      </c>
      <c r="K364" s="255" t="s">
        <v>353</v>
      </c>
      <c r="L364" s="255" t="s">
        <v>32</v>
      </c>
      <c r="M364" s="236"/>
      <c r="N364" s="236"/>
    </row>
    <row r="365" spans="1:14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3">
      <c r="A366" s="237" t="str">
        <f>name!E$4</f>
        <v>Managers, directors and senior officials</v>
      </c>
      <c r="B366" s="302">
        <v>1.4217574448410988</v>
      </c>
      <c r="C366" s="302">
        <v>6.4954973224473829</v>
      </c>
      <c r="D366" s="302">
        <f>SUM(B366:C366)</f>
        <v>7.9172547672884814</v>
      </c>
      <c r="E366" s="303"/>
      <c r="F366" s="302">
        <v>2.2798865018561321</v>
      </c>
      <c r="G366" s="302">
        <v>7.9996394482947233</v>
      </c>
      <c r="H366" s="302">
        <f>SUM(F366:G366)</f>
        <v>10.279525950150855</v>
      </c>
      <c r="I366" s="303"/>
      <c r="J366" s="302">
        <v>2.0204116267892558</v>
      </c>
      <c r="K366" s="302">
        <v>6.7772704204238545</v>
      </c>
      <c r="L366" s="302">
        <f>SUM(J366:K366)</f>
        <v>8.7976820472131099</v>
      </c>
      <c r="M366" s="236"/>
      <c r="N366" s="236"/>
    </row>
    <row r="367" spans="1:14" x14ac:dyDescent="0.3">
      <c r="A367" s="237" t="str">
        <f>name!E$5</f>
        <v>Professional occupations</v>
      </c>
      <c r="B367" s="302">
        <v>1.5676136605154012</v>
      </c>
      <c r="C367" s="302">
        <v>5.0503600325485483</v>
      </c>
      <c r="D367" s="302">
        <f t="shared" ref="D367:D374" si="142">SUM(B367:C367)</f>
        <v>6.6179736930639494</v>
      </c>
      <c r="E367" s="303"/>
      <c r="F367" s="302">
        <v>2.7345549379726881</v>
      </c>
      <c r="G367" s="302">
        <v>7.4882544661759072</v>
      </c>
      <c r="H367" s="302">
        <f t="shared" ref="H367:H374" si="143">SUM(F367:G367)</f>
        <v>10.222809404148595</v>
      </c>
      <c r="I367" s="303"/>
      <c r="J367" s="302">
        <v>2.5936564871074106</v>
      </c>
      <c r="K367" s="302">
        <v>7.4842224111923441</v>
      </c>
      <c r="L367" s="302">
        <f t="shared" ref="L367:L374" si="144">SUM(J367:K367)</f>
        <v>10.077878898299755</v>
      </c>
      <c r="M367" s="236"/>
      <c r="N367" s="236"/>
    </row>
    <row r="368" spans="1:14" x14ac:dyDescent="0.3">
      <c r="A368" s="237" t="str">
        <f>name!E$6</f>
        <v>Associate professional occupations</v>
      </c>
      <c r="B368" s="302">
        <v>1.880069870301575</v>
      </c>
      <c r="C368" s="302">
        <v>4.4074234571181901</v>
      </c>
      <c r="D368" s="302">
        <f t="shared" si="142"/>
        <v>6.2874933274197655</v>
      </c>
      <c r="E368" s="303"/>
      <c r="F368" s="302">
        <v>2.6192567408707093</v>
      </c>
      <c r="G368" s="302">
        <v>6.1350239551370338</v>
      </c>
      <c r="H368" s="302">
        <f t="shared" si="143"/>
        <v>8.7542806960077435</v>
      </c>
      <c r="I368" s="303"/>
      <c r="J368" s="302">
        <v>2.128995990695751</v>
      </c>
      <c r="K368" s="302">
        <v>4.932778931961626</v>
      </c>
      <c r="L368" s="302">
        <f t="shared" si="144"/>
        <v>7.0617749226573769</v>
      </c>
      <c r="M368" s="236"/>
      <c r="N368" s="236"/>
    </row>
    <row r="369" spans="1:14" x14ac:dyDescent="0.3">
      <c r="A369" s="237" t="str">
        <f>name!E$7</f>
        <v>Administrative and secretarial occupations</v>
      </c>
      <c r="B369" s="302">
        <v>4.5044473532459186</v>
      </c>
      <c r="C369" s="302">
        <v>3.3123851720932196</v>
      </c>
      <c r="D369" s="302">
        <f t="shared" si="142"/>
        <v>7.8168325253391382</v>
      </c>
      <c r="E369" s="303"/>
      <c r="F369" s="302">
        <v>5.4837684031490719</v>
      </c>
      <c r="G369" s="302">
        <v>4.3448997240540219</v>
      </c>
      <c r="H369" s="302">
        <f t="shared" si="143"/>
        <v>9.8286681272030947</v>
      </c>
      <c r="I369" s="303"/>
      <c r="J369" s="302">
        <v>3.3447994915669126</v>
      </c>
      <c r="K369" s="302">
        <v>3.7059774936450531</v>
      </c>
      <c r="L369" s="302">
        <f t="shared" si="144"/>
        <v>7.0507769852119662</v>
      </c>
      <c r="M369" s="236"/>
      <c r="N369" s="236"/>
    </row>
    <row r="370" spans="1:14" x14ac:dyDescent="0.3">
      <c r="A370" s="237" t="str">
        <f>name!E$8</f>
        <v>Skilled trades occupations</v>
      </c>
      <c r="B370" s="302">
        <v>2.6120384228562834</v>
      </c>
      <c r="C370" s="302">
        <v>35.985782752227109</v>
      </c>
      <c r="D370" s="302">
        <f t="shared" si="142"/>
        <v>38.597821175083396</v>
      </c>
      <c r="E370" s="303"/>
      <c r="F370" s="302">
        <v>2.5496220969332435</v>
      </c>
      <c r="G370" s="302">
        <v>30.122471616534654</v>
      </c>
      <c r="H370" s="302">
        <f t="shared" si="143"/>
        <v>32.672093713467895</v>
      </c>
      <c r="I370" s="303"/>
      <c r="J370" s="302">
        <v>2.3302418629147588</v>
      </c>
      <c r="K370" s="302">
        <v>22.648867127437697</v>
      </c>
      <c r="L370" s="302">
        <f t="shared" si="144"/>
        <v>24.979108990352454</v>
      </c>
      <c r="M370" s="236"/>
      <c r="N370" s="236"/>
    </row>
    <row r="371" spans="1:14" x14ac:dyDescent="0.3">
      <c r="A371" s="237" t="str">
        <f>name!E$9</f>
        <v>Caring, leisure and other service occupations</v>
      </c>
      <c r="B371" s="302">
        <v>0.32182713173544814</v>
      </c>
      <c r="C371" s="302">
        <v>0.17822768402049316</v>
      </c>
      <c r="D371" s="302">
        <f t="shared" si="142"/>
        <v>0.50005481575594124</v>
      </c>
      <c r="E371" s="303"/>
      <c r="F371" s="302">
        <v>0.39881607671340191</v>
      </c>
      <c r="G371" s="302">
        <v>0.36499371494063021</v>
      </c>
      <c r="H371" s="302">
        <f t="shared" si="143"/>
        <v>0.76380979165403207</v>
      </c>
      <c r="I371" s="303"/>
      <c r="J371" s="302">
        <v>0.28361971669416269</v>
      </c>
      <c r="K371" s="302">
        <v>0.36698298296589782</v>
      </c>
      <c r="L371" s="302">
        <f t="shared" si="144"/>
        <v>0.65060269966006046</v>
      </c>
      <c r="M371" s="236"/>
      <c r="N371" s="236"/>
    </row>
    <row r="372" spans="1:14" x14ac:dyDescent="0.3">
      <c r="A372" s="237" t="str">
        <f>name!E$10</f>
        <v>Sales and customer service occupations</v>
      </c>
      <c r="B372" s="302">
        <v>1.1717036466994801</v>
      </c>
      <c r="C372" s="302">
        <v>2.5931656106916572</v>
      </c>
      <c r="D372" s="302">
        <f t="shared" si="142"/>
        <v>3.7648692573911373</v>
      </c>
      <c r="E372" s="303"/>
      <c r="F372" s="302">
        <v>1.4522215365923863</v>
      </c>
      <c r="G372" s="302">
        <v>3.1691061228914577</v>
      </c>
      <c r="H372" s="302">
        <f t="shared" si="143"/>
        <v>4.6213276594838444</v>
      </c>
      <c r="I372" s="303"/>
      <c r="J372" s="302">
        <v>1.149711368025041</v>
      </c>
      <c r="K372" s="302">
        <v>2.9682001978761368</v>
      </c>
      <c r="L372" s="302">
        <f t="shared" si="144"/>
        <v>4.1179115659011778</v>
      </c>
      <c r="M372" s="236"/>
      <c r="N372" s="236"/>
    </row>
    <row r="373" spans="1:14" x14ac:dyDescent="0.3">
      <c r="A373" s="237" t="str">
        <f>name!E$11</f>
        <v>Process, plant and machine operatives</v>
      </c>
      <c r="B373" s="302">
        <v>2.7200282614317293</v>
      </c>
      <c r="C373" s="302">
        <v>11.793631244007418</v>
      </c>
      <c r="D373" s="302">
        <f t="shared" si="142"/>
        <v>14.513659505439147</v>
      </c>
      <c r="E373" s="303"/>
      <c r="F373" s="302">
        <v>2.9467615220874093</v>
      </c>
      <c r="G373" s="302">
        <v>11.476910281483217</v>
      </c>
      <c r="H373" s="302">
        <f t="shared" si="143"/>
        <v>14.423671803570628</v>
      </c>
      <c r="I373" s="303"/>
      <c r="J373" s="302">
        <v>3.3550522889915437</v>
      </c>
      <c r="K373" s="302">
        <v>11.113946653799594</v>
      </c>
      <c r="L373" s="302">
        <f t="shared" si="144"/>
        <v>14.468998942791139</v>
      </c>
      <c r="M373" s="236"/>
      <c r="N373" s="236"/>
    </row>
    <row r="374" spans="1:14" x14ac:dyDescent="0.3">
      <c r="A374" s="237" t="str">
        <f>name!E$12</f>
        <v>Elementary occupations</v>
      </c>
      <c r="B374" s="302">
        <v>1.0965142084227244</v>
      </c>
      <c r="C374" s="302">
        <v>5.0955267247757181</v>
      </c>
      <c r="D374" s="302">
        <f t="shared" si="142"/>
        <v>6.1920409331984425</v>
      </c>
      <c r="E374" s="303"/>
      <c r="F374" s="302">
        <v>0.91511218369746339</v>
      </c>
      <c r="G374" s="302">
        <v>5.3707006705253626</v>
      </c>
      <c r="H374" s="302">
        <f t="shared" si="143"/>
        <v>6.2858128542228258</v>
      </c>
      <c r="I374" s="303"/>
      <c r="J374" s="302">
        <v>0.53251116722112046</v>
      </c>
      <c r="K374" s="302">
        <v>3.224753780887796</v>
      </c>
      <c r="L374" s="302">
        <f t="shared" si="144"/>
        <v>3.7572649481089164</v>
      </c>
      <c r="M374" s="236"/>
      <c r="N374" s="236"/>
    </row>
    <row r="375" spans="1:14" x14ac:dyDescent="0.3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3">
      <c r="A376" s="244" t="s">
        <v>32</v>
      </c>
      <c r="B376" s="311">
        <f>SUM(B366:B374)</f>
        <v>17.296000000049659</v>
      </c>
      <c r="C376" s="311">
        <f t="shared" ref="C376:D376" si="145">SUM(C366:C374)</f>
        <v>74.911999999929748</v>
      </c>
      <c r="D376" s="311">
        <f t="shared" si="145"/>
        <v>92.207999999979407</v>
      </c>
      <c r="E376" s="311"/>
      <c r="F376" s="311">
        <f t="shared" ref="F376:H376" si="146">SUM(F366:F374)</f>
        <v>21.379999999872506</v>
      </c>
      <c r="G376" s="311">
        <f t="shared" si="146"/>
        <v>76.472000000037013</v>
      </c>
      <c r="H376" s="311">
        <f t="shared" si="146"/>
        <v>97.851999999909495</v>
      </c>
      <c r="I376" s="311"/>
      <c r="J376" s="311">
        <f t="shared" ref="J376:L376" si="147">SUM(J366:J374)</f>
        <v>17.739000000005959</v>
      </c>
      <c r="K376" s="311">
        <f t="shared" si="147"/>
        <v>63.223000000190005</v>
      </c>
      <c r="L376" s="311">
        <f t="shared" si="147"/>
        <v>80.962000000195957</v>
      </c>
      <c r="M376" s="236"/>
      <c r="N376" s="236"/>
    </row>
    <row r="377" spans="1:14" x14ac:dyDescent="0.3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3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35</v>
      </c>
      <c r="M378" s="236"/>
      <c r="N378" s="236"/>
    </row>
    <row r="379" spans="1:14" x14ac:dyDescent="0.3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3">
      <c r="A380" s="241" t="str">
        <f>name!A25</f>
        <v>Other manufacturing</v>
      </c>
      <c r="B380" s="373">
        <f>B$6</f>
        <v>2015</v>
      </c>
      <c r="C380" s="373"/>
      <c r="D380" s="373"/>
      <c r="E380" s="253"/>
      <c r="F380" s="373">
        <f>F363</f>
        <v>2020</v>
      </c>
      <c r="G380" s="373"/>
      <c r="H380" s="373"/>
      <c r="I380" s="253"/>
      <c r="J380" s="373">
        <f>J363</f>
        <v>2035</v>
      </c>
      <c r="K380" s="373"/>
      <c r="L380" s="373"/>
      <c r="M380" s="236"/>
      <c r="N380" s="236"/>
    </row>
    <row r="381" spans="1:14" x14ac:dyDescent="0.3">
      <c r="A381" s="254"/>
      <c r="B381" s="255" t="s">
        <v>352</v>
      </c>
      <c r="C381" s="255" t="s">
        <v>353</v>
      </c>
      <c r="D381" s="255" t="s">
        <v>32</v>
      </c>
      <c r="E381" s="255"/>
      <c r="F381" s="255" t="s">
        <v>352</v>
      </c>
      <c r="G381" s="255" t="s">
        <v>353</v>
      </c>
      <c r="H381" s="255" t="s">
        <v>32</v>
      </c>
      <c r="I381" s="255"/>
      <c r="J381" s="255" t="s">
        <v>352</v>
      </c>
      <c r="K381" s="255" t="s">
        <v>353</v>
      </c>
      <c r="L381" s="255" t="s">
        <v>32</v>
      </c>
      <c r="M381" s="236"/>
      <c r="N381" s="236"/>
    </row>
    <row r="382" spans="1:14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3">
      <c r="A383" s="237" t="str">
        <f>name!E$4</f>
        <v>Managers, directors and senior officials</v>
      </c>
      <c r="B383" s="302">
        <v>3.7932881751441587</v>
      </c>
      <c r="C383" s="302">
        <v>6.5920063215351048</v>
      </c>
      <c r="D383" s="302">
        <f>SUM(B383:C383)</f>
        <v>10.385294496679263</v>
      </c>
      <c r="E383" s="303"/>
      <c r="F383" s="302">
        <v>4.9597485506073014</v>
      </c>
      <c r="G383" s="302">
        <v>7.9073618998255712</v>
      </c>
      <c r="H383" s="302">
        <f>SUM(F383:G383)</f>
        <v>12.867110450432872</v>
      </c>
      <c r="I383" s="303"/>
      <c r="J383" s="302">
        <v>4.3217191900667906</v>
      </c>
      <c r="K383" s="302">
        <v>6.8188035372250217</v>
      </c>
      <c r="L383" s="302">
        <f>SUM(J383:K383)</f>
        <v>11.140522727291813</v>
      </c>
      <c r="M383" s="236"/>
      <c r="N383" s="236"/>
    </row>
    <row r="384" spans="1:14" x14ac:dyDescent="0.3">
      <c r="A384" s="237" t="str">
        <f>name!E$5</f>
        <v>Professional occupations</v>
      </c>
      <c r="B384" s="302">
        <v>4.6024332580922565</v>
      </c>
      <c r="C384" s="302">
        <v>6.6593797482643007</v>
      </c>
      <c r="D384" s="302">
        <f t="shared" ref="D384:D391" si="148">SUM(B384:C384)</f>
        <v>11.261813006356558</v>
      </c>
      <c r="E384" s="303"/>
      <c r="F384" s="302">
        <v>6.6475022796005039</v>
      </c>
      <c r="G384" s="302">
        <v>9.2119874746337196</v>
      </c>
      <c r="H384" s="302">
        <f t="shared" ref="H384:H391" si="149">SUM(F384:G384)</f>
        <v>15.859489754234223</v>
      </c>
      <c r="I384" s="303"/>
      <c r="J384" s="302">
        <v>6.1250310186392021</v>
      </c>
      <c r="K384" s="302">
        <v>9.7574221159485059</v>
      </c>
      <c r="L384" s="302">
        <f t="shared" ref="L384:L391" si="150">SUM(J384:K384)</f>
        <v>15.882453134587708</v>
      </c>
      <c r="M384" s="236"/>
      <c r="N384" s="236"/>
    </row>
    <row r="385" spans="1:14" x14ac:dyDescent="0.3">
      <c r="A385" s="237" t="str">
        <f>name!E$6</f>
        <v>Associate professional occupations</v>
      </c>
      <c r="B385" s="302">
        <v>5.0557561362967478</v>
      </c>
      <c r="C385" s="302">
        <v>4.9729338827979479</v>
      </c>
      <c r="D385" s="302">
        <f t="shared" si="148"/>
        <v>10.028690019094697</v>
      </c>
      <c r="E385" s="303"/>
      <c r="F385" s="302">
        <v>5.9272229215949217</v>
      </c>
      <c r="G385" s="302">
        <v>6.2811368113349166</v>
      </c>
      <c r="H385" s="302">
        <f t="shared" si="149"/>
        <v>12.208359732929839</v>
      </c>
      <c r="I385" s="303"/>
      <c r="J385" s="302">
        <v>4.7168045117154493</v>
      </c>
      <c r="K385" s="302">
        <v>5.1538691762173912</v>
      </c>
      <c r="L385" s="302">
        <f t="shared" si="150"/>
        <v>9.8706736879328396</v>
      </c>
      <c r="M385" s="236"/>
      <c r="N385" s="236"/>
    </row>
    <row r="386" spans="1:14" x14ac:dyDescent="0.3">
      <c r="A386" s="237" t="str">
        <f>name!E$7</f>
        <v>Administrative and secretarial occupations</v>
      </c>
      <c r="B386" s="302">
        <v>10.091608657073293</v>
      </c>
      <c r="C386" s="302">
        <v>2.5504482996065394</v>
      </c>
      <c r="D386" s="302">
        <f t="shared" si="148"/>
        <v>12.642056956679832</v>
      </c>
      <c r="E386" s="303"/>
      <c r="F386" s="302">
        <v>9.3479995619891127</v>
      </c>
      <c r="G386" s="302">
        <v>3.0903503636985206</v>
      </c>
      <c r="H386" s="302">
        <f t="shared" si="149"/>
        <v>12.438349925687634</v>
      </c>
      <c r="I386" s="303"/>
      <c r="J386" s="302">
        <v>5.6385104752020467</v>
      </c>
      <c r="K386" s="302">
        <v>2.4667827059671423</v>
      </c>
      <c r="L386" s="302">
        <f t="shared" si="150"/>
        <v>8.1052931811691895</v>
      </c>
      <c r="M386" s="236"/>
      <c r="N386" s="236"/>
    </row>
    <row r="387" spans="1:14" x14ac:dyDescent="0.3">
      <c r="A387" s="237" t="str">
        <f>name!E$8</f>
        <v>Skilled trades occupations</v>
      </c>
      <c r="B387" s="302">
        <v>5.3521659385280076</v>
      </c>
      <c r="C387" s="302">
        <v>29.201773843173267</v>
      </c>
      <c r="D387" s="302">
        <f t="shared" si="148"/>
        <v>34.553939781701274</v>
      </c>
      <c r="E387" s="303"/>
      <c r="F387" s="302">
        <v>4.1961572906343294</v>
      </c>
      <c r="G387" s="302">
        <v>22.503612047196178</v>
      </c>
      <c r="H387" s="302">
        <f t="shared" si="149"/>
        <v>26.699769337830507</v>
      </c>
      <c r="I387" s="303"/>
      <c r="J387" s="302">
        <v>4.1616253948620416</v>
      </c>
      <c r="K387" s="302">
        <v>16.111447482149579</v>
      </c>
      <c r="L387" s="302">
        <f t="shared" si="150"/>
        <v>20.273072877011622</v>
      </c>
      <c r="M387" s="236"/>
      <c r="N387" s="236"/>
    </row>
    <row r="388" spans="1:14" x14ac:dyDescent="0.3">
      <c r="A388" s="237" t="str">
        <f>name!E$9</f>
        <v>Caring, leisure and other service occupations</v>
      </c>
      <c r="B388" s="302">
        <v>0.80194276600002579</v>
      </c>
      <c r="C388" s="302">
        <v>0.22240942467625974</v>
      </c>
      <c r="D388" s="302">
        <f t="shared" si="148"/>
        <v>1.0243521906762856</v>
      </c>
      <c r="E388" s="303"/>
      <c r="F388" s="302">
        <v>0.80425610784213974</v>
      </c>
      <c r="G388" s="302">
        <v>0.26177605102137713</v>
      </c>
      <c r="H388" s="302">
        <f t="shared" si="149"/>
        <v>1.0660321588635169</v>
      </c>
      <c r="I388" s="303"/>
      <c r="J388" s="302">
        <v>0.60687051202357134</v>
      </c>
      <c r="K388" s="302">
        <v>0.27194533102166235</v>
      </c>
      <c r="L388" s="302">
        <f t="shared" si="150"/>
        <v>0.87881584304523375</v>
      </c>
      <c r="M388" s="236"/>
      <c r="N388" s="236"/>
    </row>
    <row r="389" spans="1:14" x14ac:dyDescent="0.3">
      <c r="A389" s="237" t="str">
        <f>name!E$10</f>
        <v>Sales and customer service occupations</v>
      </c>
      <c r="B389" s="302">
        <v>2.6500137783108992</v>
      </c>
      <c r="C389" s="302">
        <v>2.2763334359500482</v>
      </c>
      <c r="D389" s="302">
        <f t="shared" si="148"/>
        <v>4.9263472142609475</v>
      </c>
      <c r="E389" s="303"/>
      <c r="F389" s="302">
        <v>2.5143344124045406</v>
      </c>
      <c r="G389" s="302">
        <v>2.2619763942281672</v>
      </c>
      <c r="H389" s="302">
        <f t="shared" si="149"/>
        <v>4.7763108066327078</v>
      </c>
      <c r="I389" s="303"/>
      <c r="J389" s="302">
        <v>2.0276928247956789</v>
      </c>
      <c r="K389" s="302">
        <v>2.0039970616109652</v>
      </c>
      <c r="L389" s="302">
        <f t="shared" si="150"/>
        <v>4.0316898864066442</v>
      </c>
      <c r="M389" s="236"/>
      <c r="N389" s="236"/>
    </row>
    <row r="390" spans="1:14" x14ac:dyDescent="0.3">
      <c r="A390" s="237" t="str">
        <f>name!E$11</f>
        <v>Process, plant and machine operatives</v>
      </c>
      <c r="B390" s="302">
        <v>6.0070015039604971</v>
      </c>
      <c r="C390" s="302">
        <v>9.305308197182466</v>
      </c>
      <c r="D390" s="302">
        <f t="shared" si="148"/>
        <v>15.312309701142963</v>
      </c>
      <c r="E390" s="303"/>
      <c r="F390" s="302">
        <v>5.2577351563746086</v>
      </c>
      <c r="G390" s="302">
        <v>7.7809783302433555</v>
      </c>
      <c r="H390" s="302">
        <f t="shared" si="149"/>
        <v>13.038713486617965</v>
      </c>
      <c r="I390" s="303"/>
      <c r="J390" s="302">
        <v>5.4297777786573258</v>
      </c>
      <c r="K390" s="302">
        <v>7.1382924093589901</v>
      </c>
      <c r="L390" s="302">
        <f t="shared" si="150"/>
        <v>12.568070188016316</v>
      </c>
      <c r="M390" s="236"/>
      <c r="N390" s="236"/>
    </row>
    <row r="391" spans="1:14" x14ac:dyDescent="0.3">
      <c r="A391" s="237" t="str">
        <f>name!E$12</f>
        <v>Elementary occupations</v>
      </c>
      <c r="B391" s="302">
        <v>2.3697897866656064</v>
      </c>
      <c r="C391" s="302">
        <v>4.5574068468527562</v>
      </c>
      <c r="D391" s="302">
        <f t="shared" si="148"/>
        <v>6.9271966335183626</v>
      </c>
      <c r="E391" s="303"/>
      <c r="F391" s="302">
        <v>1.5520437187887766</v>
      </c>
      <c r="G391" s="302">
        <v>3.5878206277159199</v>
      </c>
      <c r="H391" s="302">
        <f t="shared" si="149"/>
        <v>5.1398643465046963</v>
      </c>
      <c r="I391" s="303"/>
      <c r="J391" s="302">
        <v>1.0589682940513814</v>
      </c>
      <c r="K391" s="302">
        <v>1.9704401806246175</v>
      </c>
      <c r="L391" s="302">
        <f t="shared" si="150"/>
        <v>3.0294084746759991</v>
      </c>
      <c r="M391" s="236"/>
      <c r="N391" s="236"/>
    </row>
    <row r="392" spans="1:14" x14ac:dyDescent="0.3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3">
      <c r="A393" s="244" t="s">
        <v>32</v>
      </c>
      <c r="B393" s="311">
        <f>SUM(B383:B391)</f>
        <v>40.724000000071484</v>
      </c>
      <c r="C393" s="311">
        <f t="shared" ref="C393:D393" si="151">SUM(C383:C391)</f>
        <v>66.33800000003869</v>
      </c>
      <c r="D393" s="311">
        <f t="shared" si="151"/>
        <v>107.06200000011017</v>
      </c>
      <c r="E393" s="311"/>
      <c r="F393" s="311">
        <f t="shared" ref="F393:H393" si="152">SUM(F383:F391)</f>
        <v>41.206999999836235</v>
      </c>
      <c r="G393" s="311">
        <f t="shared" si="152"/>
        <v>62.886999999897732</v>
      </c>
      <c r="H393" s="311">
        <f t="shared" si="152"/>
        <v>104.09399999973395</v>
      </c>
      <c r="I393" s="311"/>
      <c r="J393" s="311">
        <f t="shared" ref="J393:L393" si="153">SUM(J383:J391)</f>
        <v>34.087000000013489</v>
      </c>
      <c r="K393" s="311">
        <f t="shared" si="153"/>
        <v>51.693000000123874</v>
      </c>
      <c r="L393" s="311">
        <f t="shared" si="153"/>
        <v>85.780000000137377</v>
      </c>
      <c r="M393" s="236"/>
      <c r="N393" s="236"/>
    </row>
    <row r="394" spans="1:14" x14ac:dyDescent="0.3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  <row r="395" spans="1:14" x14ac:dyDescent="0.3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56" t="s">
        <v>35</v>
      </c>
      <c r="M395" s="236"/>
      <c r="N395" s="236"/>
    </row>
    <row r="396" spans="1:14" x14ac:dyDescent="0.3">
      <c r="A396" s="242"/>
      <c r="B396" s="250"/>
      <c r="C396" s="250"/>
      <c r="D396" s="250"/>
      <c r="E396" s="250"/>
      <c r="F396" s="250"/>
      <c r="G396" s="250"/>
      <c r="H396" s="250"/>
      <c r="I396" s="250"/>
      <c r="J396" s="250"/>
      <c r="K396" s="250"/>
      <c r="L396" s="236"/>
      <c r="M396" s="236"/>
      <c r="N396" s="236"/>
    </row>
    <row r="397" spans="1:14" x14ac:dyDescent="0.3">
      <c r="A397" s="241" t="str">
        <f>name!A26</f>
        <v>Repair and installation</v>
      </c>
      <c r="B397" s="373">
        <f>B$6</f>
        <v>2015</v>
      </c>
      <c r="C397" s="373"/>
      <c r="D397" s="373"/>
      <c r="E397" s="253"/>
      <c r="F397" s="373">
        <f>F380</f>
        <v>2020</v>
      </c>
      <c r="G397" s="373"/>
      <c r="H397" s="373"/>
      <c r="I397" s="253"/>
      <c r="J397" s="373">
        <f>J380</f>
        <v>2035</v>
      </c>
      <c r="K397" s="373"/>
      <c r="L397" s="373"/>
      <c r="M397" s="236"/>
      <c r="N397" s="236"/>
    </row>
    <row r="398" spans="1:14" x14ac:dyDescent="0.3">
      <c r="A398" s="254"/>
      <c r="B398" s="255" t="s">
        <v>352</v>
      </c>
      <c r="C398" s="255" t="s">
        <v>353</v>
      </c>
      <c r="D398" s="255" t="s">
        <v>32</v>
      </c>
      <c r="E398" s="255"/>
      <c r="F398" s="255" t="s">
        <v>352</v>
      </c>
      <c r="G398" s="255" t="s">
        <v>353</v>
      </c>
      <c r="H398" s="255" t="s">
        <v>32</v>
      </c>
      <c r="I398" s="255"/>
      <c r="J398" s="255" t="s">
        <v>352</v>
      </c>
      <c r="K398" s="255" t="s">
        <v>353</v>
      </c>
      <c r="L398" s="255" t="s">
        <v>32</v>
      </c>
      <c r="M398" s="236"/>
      <c r="N398" s="236"/>
    </row>
    <row r="399" spans="1:14" x14ac:dyDescent="0.3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  <c r="N399" s="236"/>
    </row>
    <row r="400" spans="1:14" x14ac:dyDescent="0.3">
      <c r="A400" s="237" t="str">
        <f>name!E$4</f>
        <v>Managers, directors and senior officials</v>
      </c>
      <c r="B400" s="302">
        <v>1.8810952834938093</v>
      </c>
      <c r="C400" s="302">
        <v>13.81278319071051</v>
      </c>
      <c r="D400" s="302">
        <f>SUM(B400:C400)</f>
        <v>15.69387847420432</v>
      </c>
      <c r="E400" s="303"/>
      <c r="F400" s="302">
        <v>2.6963121054641626</v>
      </c>
      <c r="G400" s="302">
        <v>19.26322104349234</v>
      </c>
      <c r="H400" s="302">
        <f>SUM(F400:G400)</f>
        <v>21.959533148956503</v>
      </c>
      <c r="I400" s="303"/>
      <c r="J400" s="302">
        <v>2.1682829817423985</v>
      </c>
      <c r="K400" s="302">
        <v>16.244509634985555</v>
      </c>
      <c r="L400" s="302">
        <f>SUM(J400:K400)</f>
        <v>18.412792616727952</v>
      </c>
      <c r="M400" s="236"/>
      <c r="N400" s="236"/>
    </row>
    <row r="401" spans="1:14" x14ac:dyDescent="0.3">
      <c r="A401" s="237" t="str">
        <f>name!E$5</f>
        <v>Professional occupations</v>
      </c>
      <c r="B401" s="302">
        <v>2.7208414170094595</v>
      </c>
      <c r="C401" s="302">
        <v>24.230163625855404</v>
      </c>
      <c r="D401" s="302">
        <f t="shared" ref="D401:D408" si="154">SUM(B401:C401)</f>
        <v>26.951005042864864</v>
      </c>
      <c r="E401" s="303"/>
      <c r="F401" s="302">
        <v>4.0669152106505173</v>
      </c>
      <c r="G401" s="302">
        <v>35.460036614705324</v>
      </c>
      <c r="H401" s="302">
        <f t="shared" ref="H401:H408" si="155">SUM(F401:G401)</f>
        <v>39.526951825355837</v>
      </c>
      <c r="I401" s="303"/>
      <c r="J401" s="302">
        <v>3.4255440647365942</v>
      </c>
      <c r="K401" s="302">
        <v>32.723170375387092</v>
      </c>
      <c r="L401" s="302">
        <f t="shared" ref="L401:L408" si="156">SUM(J401:K401)</f>
        <v>36.148714440123683</v>
      </c>
      <c r="M401" s="236"/>
      <c r="N401" s="236"/>
    </row>
    <row r="402" spans="1:14" x14ac:dyDescent="0.3">
      <c r="A402" s="237" t="str">
        <f>name!E$6</f>
        <v>Associate professional occupations</v>
      </c>
      <c r="B402" s="302">
        <v>2.3732488141391803</v>
      </c>
      <c r="C402" s="302">
        <v>10.972667730136461</v>
      </c>
      <c r="D402" s="302">
        <f t="shared" si="154"/>
        <v>13.345916544275642</v>
      </c>
      <c r="E402" s="303"/>
      <c r="F402" s="302">
        <v>3.2624935950236029</v>
      </c>
      <c r="G402" s="302">
        <v>15.671689366212199</v>
      </c>
      <c r="H402" s="302">
        <f t="shared" si="155"/>
        <v>18.934182961235802</v>
      </c>
      <c r="I402" s="303"/>
      <c r="J402" s="302">
        <v>2.5351744861688532</v>
      </c>
      <c r="K402" s="302">
        <v>11.727672867731291</v>
      </c>
      <c r="L402" s="302">
        <f t="shared" si="156"/>
        <v>14.262847353900145</v>
      </c>
      <c r="M402" s="236"/>
      <c r="N402" s="236"/>
    </row>
    <row r="403" spans="1:14" x14ac:dyDescent="0.3">
      <c r="A403" s="237" t="str">
        <f>name!E$7</f>
        <v>Administrative and secretarial occupations</v>
      </c>
      <c r="B403" s="302">
        <v>4.5156012792393128</v>
      </c>
      <c r="C403" s="302">
        <v>3.0659741595907826</v>
      </c>
      <c r="D403" s="302">
        <f t="shared" si="154"/>
        <v>7.5815754388300949</v>
      </c>
      <c r="E403" s="303"/>
      <c r="F403" s="302">
        <v>5.1042167411914026</v>
      </c>
      <c r="G403" s="302">
        <v>3.9770443989121884</v>
      </c>
      <c r="H403" s="302">
        <f t="shared" si="155"/>
        <v>9.0812611401035905</v>
      </c>
      <c r="I403" s="303"/>
      <c r="J403" s="302">
        <v>3.1583875847659435</v>
      </c>
      <c r="K403" s="302">
        <v>3.4390896775644419</v>
      </c>
      <c r="L403" s="302">
        <f t="shared" si="156"/>
        <v>6.5974772623303855</v>
      </c>
      <c r="M403" s="236"/>
      <c r="N403" s="236"/>
    </row>
    <row r="404" spans="1:14" x14ac:dyDescent="0.3">
      <c r="A404" s="237" t="str">
        <f>name!E$8</f>
        <v>Skilled trades occupations</v>
      </c>
      <c r="B404" s="302">
        <v>0.72814105331423118</v>
      </c>
      <c r="C404" s="302">
        <v>33.1866926978701</v>
      </c>
      <c r="D404" s="302">
        <f t="shared" si="154"/>
        <v>33.914833751184332</v>
      </c>
      <c r="E404" s="303"/>
      <c r="F404" s="302">
        <v>0.88769022946091058</v>
      </c>
      <c r="G404" s="302">
        <v>32.089202484131022</v>
      </c>
      <c r="H404" s="302">
        <f t="shared" si="155"/>
        <v>32.97689271359193</v>
      </c>
      <c r="I404" s="303"/>
      <c r="J404" s="302">
        <v>1.2636344126498344</v>
      </c>
      <c r="K404" s="302">
        <v>23.937247739776115</v>
      </c>
      <c r="L404" s="302">
        <f t="shared" si="156"/>
        <v>25.200882152425951</v>
      </c>
      <c r="M404" s="236"/>
      <c r="N404" s="236"/>
    </row>
    <row r="405" spans="1:14" x14ac:dyDescent="0.3">
      <c r="A405" s="237" t="str">
        <f>name!E$9</f>
        <v>Caring, leisure and other service occupations</v>
      </c>
      <c r="B405" s="302">
        <v>1.1078841393749939</v>
      </c>
      <c r="C405" s="302">
        <v>0.62845023103462616</v>
      </c>
      <c r="D405" s="302">
        <f t="shared" si="154"/>
        <v>1.7363343704096201</v>
      </c>
      <c r="E405" s="303"/>
      <c r="F405" s="302">
        <v>1.1361723263101198</v>
      </c>
      <c r="G405" s="302">
        <v>1.0812227582383829</v>
      </c>
      <c r="H405" s="302">
        <f t="shared" si="155"/>
        <v>2.2173950845485026</v>
      </c>
      <c r="I405" s="303"/>
      <c r="J405" s="302">
        <v>0.90183227265153831</v>
      </c>
      <c r="K405" s="302">
        <v>1.2790218899079144</v>
      </c>
      <c r="L405" s="302">
        <f t="shared" si="156"/>
        <v>2.1808541625594526</v>
      </c>
      <c r="M405" s="236"/>
      <c r="N405" s="236"/>
    </row>
    <row r="406" spans="1:14" x14ac:dyDescent="0.3">
      <c r="A406" s="237" t="str">
        <f>name!E$10</f>
        <v>Sales and customer service occupations</v>
      </c>
      <c r="B406" s="302">
        <v>1.032096864052733</v>
      </c>
      <c r="C406" s="302">
        <v>2.0536400286422416</v>
      </c>
      <c r="D406" s="302">
        <f t="shared" si="154"/>
        <v>3.0857368926949746</v>
      </c>
      <c r="E406" s="303"/>
      <c r="F406" s="302">
        <v>1.1714573774715864</v>
      </c>
      <c r="G406" s="302">
        <v>2.4316895666812615</v>
      </c>
      <c r="H406" s="302">
        <f t="shared" si="155"/>
        <v>3.6031469441528481</v>
      </c>
      <c r="I406" s="303"/>
      <c r="J406" s="302">
        <v>1.0419579407395978</v>
      </c>
      <c r="K406" s="302">
        <v>2.2657839153848522</v>
      </c>
      <c r="L406" s="302">
        <f t="shared" si="156"/>
        <v>3.30774185612445</v>
      </c>
      <c r="M406" s="236"/>
      <c r="N406" s="236"/>
    </row>
    <row r="407" spans="1:14" x14ac:dyDescent="0.3">
      <c r="A407" s="237" t="str">
        <f>name!E$11</f>
        <v>Process, plant and machine operatives</v>
      </c>
      <c r="B407" s="302">
        <v>2.9700540639291608</v>
      </c>
      <c r="C407" s="302">
        <v>14.57464061991865</v>
      </c>
      <c r="D407" s="302">
        <f t="shared" si="154"/>
        <v>17.544694683847812</v>
      </c>
      <c r="E407" s="303"/>
      <c r="F407" s="302">
        <v>2.2632304208830409</v>
      </c>
      <c r="G407" s="302">
        <v>13.63336713871691</v>
      </c>
      <c r="H407" s="302">
        <f t="shared" si="155"/>
        <v>15.89659755959995</v>
      </c>
      <c r="I407" s="303"/>
      <c r="J407" s="302">
        <v>2.3570606166124888</v>
      </c>
      <c r="K407" s="302">
        <v>12.990476875575258</v>
      </c>
      <c r="L407" s="302">
        <f t="shared" si="156"/>
        <v>15.347537492187747</v>
      </c>
      <c r="M407" s="236"/>
      <c r="N407" s="236"/>
    </row>
    <row r="408" spans="1:14" x14ac:dyDescent="0.3">
      <c r="A408" s="237" t="str">
        <f>name!E$12</f>
        <v>Elementary occupations</v>
      </c>
      <c r="B408" s="302">
        <v>1.6170370855145006</v>
      </c>
      <c r="C408" s="302">
        <v>4.1249877160632744</v>
      </c>
      <c r="D408" s="302">
        <f t="shared" si="154"/>
        <v>5.7420248015777755</v>
      </c>
      <c r="E408" s="303"/>
      <c r="F408" s="302">
        <v>1.0675119934133055</v>
      </c>
      <c r="G408" s="302">
        <v>3.8065266286015484</v>
      </c>
      <c r="H408" s="302">
        <f t="shared" si="155"/>
        <v>4.8740386220148544</v>
      </c>
      <c r="I408" s="303"/>
      <c r="J408" s="302">
        <v>0.61812563992294478</v>
      </c>
      <c r="K408" s="302">
        <v>2.3390270235904818</v>
      </c>
      <c r="L408" s="302">
        <f t="shared" si="156"/>
        <v>2.9571526635134266</v>
      </c>
      <c r="M408" s="236"/>
      <c r="N408" s="236"/>
    </row>
    <row r="409" spans="1:14" x14ac:dyDescent="0.3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  <c r="N409" s="236"/>
    </row>
    <row r="410" spans="1:14" x14ac:dyDescent="0.3">
      <c r="A410" s="244" t="s">
        <v>32</v>
      </c>
      <c r="B410" s="311">
        <f>SUM(B400:B408)</f>
        <v>18.946000000067379</v>
      </c>
      <c r="C410" s="311">
        <f t="shared" ref="C410:D410" si="157">SUM(C400:C408)</f>
        <v>106.64999999982204</v>
      </c>
      <c r="D410" s="311">
        <f t="shared" si="157"/>
        <v>125.59599999988941</v>
      </c>
      <c r="E410" s="311"/>
      <c r="F410" s="311">
        <f t="shared" ref="F410:H410" si="158">SUM(F400:F408)</f>
        <v>21.655999999868648</v>
      </c>
      <c r="G410" s="311">
        <f t="shared" si="158"/>
        <v>127.41399999969117</v>
      </c>
      <c r="H410" s="311">
        <f t="shared" si="158"/>
        <v>149.0699999995598</v>
      </c>
      <c r="I410" s="311"/>
      <c r="J410" s="311">
        <f t="shared" ref="J410:L410" si="159">SUM(J400:J408)</f>
        <v>17.46999999999019</v>
      </c>
      <c r="K410" s="311">
        <f t="shared" si="159"/>
        <v>106.94599999990299</v>
      </c>
      <c r="L410" s="311">
        <f t="shared" si="159"/>
        <v>124.41599999989319</v>
      </c>
      <c r="M410" s="236"/>
      <c r="N410" s="236"/>
    </row>
    <row r="411" spans="1:14" x14ac:dyDescent="0.3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  <c r="N411" s="236"/>
    </row>
    <row r="412" spans="1:14" x14ac:dyDescent="0.3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56" t="s">
        <v>35</v>
      </c>
      <c r="M412" s="236"/>
      <c r="N412" s="236"/>
    </row>
    <row r="413" spans="1:14" x14ac:dyDescent="0.3">
      <c r="A413" s="242"/>
      <c r="B413" s="250"/>
      <c r="C413" s="250"/>
      <c r="D413" s="250"/>
      <c r="E413" s="250"/>
      <c r="F413" s="250"/>
      <c r="G413" s="250"/>
      <c r="H413" s="250"/>
      <c r="I413" s="250"/>
      <c r="J413" s="250"/>
      <c r="K413" s="250"/>
      <c r="L413" s="236"/>
      <c r="M413" s="236"/>
      <c r="N413" s="236"/>
    </row>
    <row r="414" spans="1:14" x14ac:dyDescent="0.3">
      <c r="A414" s="241" t="str">
        <f>name!A27</f>
        <v>Electricity, gas, etc</v>
      </c>
      <c r="B414" s="373">
        <f>B$6</f>
        <v>2015</v>
      </c>
      <c r="C414" s="373"/>
      <c r="D414" s="373"/>
      <c r="E414" s="253"/>
      <c r="F414" s="373">
        <f>F397</f>
        <v>2020</v>
      </c>
      <c r="G414" s="373"/>
      <c r="H414" s="373"/>
      <c r="I414" s="253"/>
      <c r="J414" s="373">
        <f>J397</f>
        <v>2035</v>
      </c>
      <c r="K414" s="373"/>
      <c r="L414" s="373"/>
      <c r="M414" s="236"/>
      <c r="N414" s="236"/>
    </row>
    <row r="415" spans="1:14" x14ac:dyDescent="0.3">
      <c r="A415" s="254"/>
      <c r="B415" s="255" t="s">
        <v>352</v>
      </c>
      <c r="C415" s="255" t="s">
        <v>353</v>
      </c>
      <c r="D415" s="255" t="s">
        <v>32</v>
      </c>
      <c r="E415" s="255"/>
      <c r="F415" s="255" t="s">
        <v>352</v>
      </c>
      <c r="G415" s="255" t="s">
        <v>353</v>
      </c>
      <c r="H415" s="255" t="s">
        <v>32</v>
      </c>
      <c r="I415" s="255"/>
      <c r="J415" s="255" t="s">
        <v>352</v>
      </c>
      <c r="K415" s="255" t="s">
        <v>353</v>
      </c>
      <c r="L415" s="255" t="s">
        <v>32</v>
      </c>
      <c r="M415" s="236"/>
      <c r="N415" s="236"/>
    </row>
    <row r="416" spans="1:14" x14ac:dyDescent="0.3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  <c r="N416" s="236"/>
    </row>
    <row r="417" spans="1:14" x14ac:dyDescent="0.3">
      <c r="A417" s="237" t="str">
        <f>name!E$4</f>
        <v>Managers, directors and senior officials</v>
      </c>
      <c r="B417" s="302">
        <v>3.3452401751766883</v>
      </c>
      <c r="C417" s="302">
        <v>11.027485907277168</v>
      </c>
      <c r="D417" s="302">
        <f>SUM(B417:C417)</f>
        <v>14.372726082453855</v>
      </c>
      <c r="E417" s="303"/>
      <c r="F417" s="302">
        <v>4.4405792191267617</v>
      </c>
      <c r="G417" s="302">
        <v>12.637877680895402</v>
      </c>
      <c r="H417" s="302">
        <f>SUM(F417:G417)</f>
        <v>17.078456900022164</v>
      </c>
      <c r="I417" s="303"/>
      <c r="J417" s="302">
        <v>4.6729754533180676</v>
      </c>
      <c r="K417" s="302">
        <v>12.940005801889329</v>
      </c>
      <c r="L417" s="302">
        <f>SUM(J417:K417)</f>
        <v>17.612981255207398</v>
      </c>
      <c r="M417" s="236"/>
      <c r="N417" s="236"/>
    </row>
    <row r="418" spans="1:14" x14ac:dyDescent="0.3">
      <c r="A418" s="237" t="str">
        <f>name!E$5</f>
        <v>Professional occupations</v>
      </c>
      <c r="B418" s="302">
        <v>5.1670195794625702</v>
      </c>
      <c r="C418" s="302">
        <v>23.802896913299708</v>
      </c>
      <c r="D418" s="302">
        <f t="shared" ref="D418:D425" si="160">SUM(B418:C418)</f>
        <v>28.96991649276228</v>
      </c>
      <c r="E418" s="303"/>
      <c r="F418" s="302">
        <v>7.4638048129097987</v>
      </c>
      <c r="G418" s="302">
        <v>30.483503469957906</v>
      </c>
      <c r="H418" s="302">
        <f t="shared" ref="H418:H425" si="161">SUM(F418:G418)</f>
        <v>37.947308282867702</v>
      </c>
      <c r="I418" s="303"/>
      <c r="J418" s="302">
        <v>8.6841037981361229</v>
      </c>
      <c r="K418" s="302">
        <v>32.326657802493067</v>
      </c>
      <c r="L418" s="302">
        <f t="shared" ref="L418:L425" si="162">SUM(J418:K418)</f>
        <v>41.010761600629188</v>
      </c>
      <c r="M418" s="236"/>
      <c r="N418" s="236"/>
    </row>
    <row r="419" spans="1:14" x14ac:dyDescent="0.3">
      <c r="A419" s="237" t="str">
        <f>name!E$6</f>
        <v>Associate professional occupations</v>
      </c>
      <c r="B419" s="302">
        <v>4.5256579868468112</v>
      </c>
      <c r="C419" s="302">
        <v>13.043247038447888</v>
      </c>
      <c r="D419" s="302">
        <f t="shared" si="160"/>
        <v>17.568905025294697</v>
      </c>
      <c r="E419" s="303"/>
      <c r="F419" s="302">
        <v>5.8500858543899694</v>
      </c>
      <c r="G419" s="302">
        <v>17.150383160340134</v>
      </c>
      <c r="H419" s="302">
        <f t="shared" si="161"/>
        <v>23.000469014730104</v>
      </c>
      <c r="I419" s="303"/>
      <c r="J419" s="302">
        <v>5.5203383987436832</v>
      </c>
      <c r="K419" s="302">
        <v>14.285594909182068</v>
      </c>
      <c r="L419" s="302">
        <f t="shared" si="162"/>
        <v>19.805933307925752</v>
      </c>
      <c r="M419" s="236"/>
      <c r="N419" s="236"/>
    </row>
    <row r="420" spans="1:14" x14ac:dyDescent="0.3">
      <c r="A420" s="237" t="str">
        <f>name!E$7</f>
        <v>Administrative and secretarial occupations</v>
      </c>
      <c r="B420" s="302">
        <v>10.746507331344267</v>
      </c>
      <c r="C420" s="302">
        <v>5.8904191019911964</v>
      </c>
      <c r="D420" s="302">
        <f t="shared" si="160"/>
        <v>16.636926433335464</v>
      </c>
      <c r="E420" s="303"/>
      <c r="F420" s="302">
        <v>10.495223362365705</v>
      </c>
      <c r="G420" s="302">
        <v>6.8660006890940384</v>
      </c>
      <c r="H420" s="302">
        <f t="shared" si="161"/>
        <v>17.361224051459743</v>
      </c>
      <c r="I420" s="303"/>
      <c r="J420" s="302">
        <v>7.1936590878031348</v>
      </c>
      <c r="K420" s="302">
        <v>5.6562028258199071</v>
      </c>
      <c r="L420" s="302">
        <f t="shared" si="162"/>
        <v>12.849861913623041</v>
      </c>
      <c r="M420" s="236"/>
      <c r="N420" s="236"/>
    </row>
    <row r="421" spans="1:14" x14ac:dyDescent="0.3">
      <c r="A421" s="237" t="str">
        <f>name!E$8</f>
        <v>Skilled trades occupations</v>
      </c>
      <c r="B421" s="302">
        <v>0.76450970056272827</v>
      </c>
      <c r="C421" s="302">
        <v>25.835684308577015</v>
      </c>
      <c r="D421" s="302">
        <f t="shared" si="160"/>
        <v>26.600194009139745</v>
      </c>
      <c r="E421" s="303"/>
      <c r="F421" s="302">
        <v>1.1204732869444261</v>
      </c>
      <c r="G421" s="302">
        <v>20.451105893573487</v>
      </c>
      <c r="H421" s="302">
        <f t="shared" si="161"/>
        <v>21.571579180517915</v>
      </c>
      <c r="I421" s="303"/>
      <c r="J421" s="302">
        <v>1.8495780336935788</v>
      </c>
      <c r="K421" s="302">
        <v>15.26728612803347</v>
      </c>
      <c r="L421" s="302">
        <f t="shared" si="162"/>
        <v>17.116864161727051</v>
      </c>
      <c r="M421" s="236"/>
      <c r="N421" s="236"/>
    </row>
    <row r="422" spans="1:14" x14ac:dyDescent="0.3">
      <c r="A422" s="237" t="str">
        <f>name!E$9</f>
        <v>Caring, leisure and other service occupations</v>
      </c>
      <c r="B422" s="302">
        <v>2.0129368876727716</v>
      </c>
      <c r="C422" s="302">
        <v>1.1759094342772065</v>
      </c>
      <c r="D422" s="302">
        <f t="shared" si="160"/>
        <v>3.1888463219499781</v>
      </c>
      <c r="E422" s="303"/>
      <c r="F422" s="302">
        <v>2.2273651340957024</v>
      </c>
      <c r="G422" s="302">
        <v>1.3915841989062137</v>
      </c>
      <c r="H422" s="302">
        <f t="shared" si="161"/>
        <v>3.618949333001916</v>
      </c>
      <c r="I422" s="303"/>
      <c r="J422" s="302">
        <v>2.0703952081208041</v>
      </c>
      <c r="K422" s="302">
        <v>1.5353397544929335</v>
      </c>
      <c r="L422" s="302">
        <f t="shared" si="162"/>
        <v>3.6057349626137376</v>
      </c>
      <c r="M422" s="236"/>
      <c r="N422" s="236"/>
    </row>
    <row r="423" spans="1:14" x14ac:dyDescent="0.3">
      <c r="A423" s="237" t="str">
        <f>name!E$10</f>
        <v>Sales and customer service occupations</v>
      </c>
      <c r="B423" s="302">
        <v>8.3119656269857458</v>
      </c>
      <c r="C423" s="302">
        <v>7.2078958446422181</v>
      </c>
      <c r="D423" s="302">
        <f t="shared" si="160"/>
        <v>15.519861471627964</v>
      </c>
      <c r="E423" s="303"/>
      <c r="F423" s="302">
        <v>9.1665064302853327</v>
      </c>
      <c r="G423" s="302">
        <v>7.6522176955668506</v>
      </c>
      <c r="H423" s="302">
        <f t="shared" si="161"/>
        <v>16.818724125852185</v>
      </c>
      <c r="I423" s="303"/>
      <c r="J423" s="302">
        <v>9.9857386267884642</v>
      </c>
      <c r="K423" s="302">
        <v>8.5988391739334205</v>
      </c>
      <c r="L423" s="302">
        <f t="shared" si="162"/>
        <v>18.584577800721885</v>
      </c>
      <c r="M423" s="236"/>
      <c r="N423" s="236"/>
    </row>
    <row r="424" spans="1:14" x14ac:dyDescent="0.3">
      <c r="A424" s="237" t="str">
        <f>name!E$11</f>
        <v>Process, plant and machine operatives</v>
      </c>
      <c r="B424" s="302">
        <v>0.24753619090064552</v>
      </c>
      <c r="C424" s="302">
        <v>6.8471308303369041</v>
      </c>
      <c r="D424" s="302">
        <f t="shared" si="160"/>
        <v>7.0946670212375498</v>
      </c>
      <c r="E424" s="303"/>
      <c r="F424" s="302">
        <v>0.24168788896824431</v>
      </c>
      <c r="G424" s="302">
        <v>5.6980034764887204</v>
      </c>
      <c r="H424" s="302">
        <f t="shared" si="161"/>
        <v>5.939691365456965</v>
      </c>
      <c r="I424" s="303"/>
      <c r="J424" s="302">
        <v>0.37081905054699937</v>
      </c>
      <c r="K424" s="302">
        <v>5.9982524770851029</v>
      </c>
      <c r="L424" s="302">
        <f t="shared" si="162"/>
        <v>6.3690715276321024</v>
      </c>
      <c r="M424" s="236"/>
      <c r="N424" s="236"/>
    </row>
    <row r="425" spans="1:14" x14ac:dyDescent="0.3">
      <c r="A425" s="237" t="str">
        <f>name!E$12</f>
        <v>Elementary occupations</v>
      </c>
      <c r="B425" s="302">
        <v>1.0756265210592011</v>
      </c>
      <c r="C425" s="302">
        <v>1.9683306204926549</v>
      </c>
      <c r="D425" s="302">
        <f t="shared" si="160"/>
        <v>3.0439571415518563</v>
      </c>
      <c r="E425" s="303"/>
      <c r="F425" s="302">
        <v>0.99227401090666689</v>
      </c>
      <c r="G425" s="302">
        <v>1.6643237346753659</v>
      </c>
      <c r="H425" s="302">
        <f t="shared" si="161"/>
        <v>2.6565977455820327</v>
      </c>
      <c r="I425" s="303"/>
      <c r="J425" s="302">
        <v>0.61139234264905495</v>
      </c>
      <c r="K425" s="302">
        <v>0.97882112676338873</v>
      </c>
      <c r="L425" s="302">
        <f t="shared" si="162"/>
        <v>1.5902134694124437</v>
      </c>
      <c r="M425" s="236"/>
      <c r="N425" s="236"/>
    </row>
    <row r="426" spans="1:14" x14ac:dyDescent="0.3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  <c r="N426" s="236"/>
    </row>
    <row r="427" spans="1:14" x14ac:dyDescent="0.3">
      <c r="A427" s="244" t="s">
        <v>32</v>
      </c>
      <c r="B427" s="311">
        <f>SUM(B417:B425)</f>
        <v>36.197000000011435</v>
      </c>
      <c r="C427" s="311">
        <f t="shared" ref="C427:D427" si="163">SUM(C417:C425)</f>
        <v>96.798999999341959</v>
      </c>
      <c r="D427" s="311">
        <f t="shared" si="163"/>
        <v>132.99599999935339</v>
      </c>
      <c r="E427" s="311"/>
      <c r="F427" s="311">
        <f t="shared" ref="F427:H427" si="164">SUM(F417:F425)</f>
        <v>41.997999999992608</v>
      </c>
      <c r="G427" s="311">
        <f t="shared" si="164"/>
        <v>103.99499999949812</v>
      </c>
      <c r="H427" s="311">
        <f t="shared" si="164"/>
        <v>145.99299999949071</v>
      </c>
      <c r="I427" s="311"/>
      <c r="J427" s="311">
        <f t="shared" ref="J427:L427" si="165">SUM(J417:J425)</f>
        <v>40.958999999799907</v>
      </c>
      <c r="K427" s="311">
        <f t="shared" si="165"/>
        <v>97.586999999692708</v>
      </c>
      <c r="L427" s="311">
        <f t="shared" si="165"/>
        <v>138.54599999949261</v>
      </c>
      <c r="M427" s="236"/>
      <c r="N427" s="236"/>
    </row>
    <row r="428" spans="1:14" x14ac:dyDescent="0.3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  <c r="N428" s="236"/>
    </row>
    <row r="429" spans="1:14" x14ac:dyDescent="0.3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56" t="s">
        <v>35</v>
      </c>
      <c r="M429" s="236"/>
      <c r="N429" s="236"/>
    </row>
    <row r="430" spans="1:14" x14ac:dyDescent="0.3">
      <c r="A430" s="242"/>
      <c r="B430" s="250"/>
      <c r="C430" s="250"/>
      <c r="D430" s="250"/>
      <c r="E430" s="250"/>
      <c r="F430" s="250"/>
      <c r="G430" s="250"/>
      <c r="H430" s="250"/>
      <c r="I430" s="250"/>
      <c r="J430" s="250"/>
      <c r="K430" s="250"/>
      <c r="L430" s="236"/>
      <c r="M430" s="236"/>
      <c r="N430" s="236"/>
    </row>
    <row r="431" spans="1:14" x14ac:dyDescent="0.3">
      <c r="A431" s="241" t="str">
        <f>name!A28</f>
        <v>Water</v>
      </c>
      <c r="B431" s="373">
        <f>B$6</f>
        <v>2015</v>
      </c>
      <c r="C431" s="373"/>
      <c r="D431" s="373"/>
      <c r="E431" s="253"/>
      <c r="F431" s="373">
        <f>F414</f>
        <v>2020</v>
      </c>
      <c r="G431" s="373"/>
      <c r="H431" s="373"/>
      <c r="I431" s="253"/>
      <c r="J431" s="373">
        <f>J414</f>
        <v>2035</v>
      </c>
      <c r="K431" s="373"/>
      <c r="L431" s="373"/>
      <c r="M431" s="236"/>
      <c r="N431" s="236"/>
    </row>
    <row r="432" spans="1:14" x14ac:dyDescent="0.3">
      <c r="A432" s="254"/>
      <c r="B432" s="255" t="s">
        <v>352</v>
      </c>
      <c r="C432" s="255" t="s">
        <v>353</v>
      </c>
      <c r="D432" s="255" t="s">
        <v>32</v>
      </c>
      <c r="E432" s="255"/>
      <c r="F432" s="255" t="s">
        <v>352</v>
      </c>
      <c r="G432" s="255" t="s">
        <v>353</v>
      </c>
      <c r="H432" s="255" t="s">
        <v>32</v>
      </c>
      <c r="I432" s="255"/>
      <c r="J432" s="255" t="s">
        <v>352</v>
      </c>
      <c r="K432" s="255" t="s">
        <v>353</v>
      </c>
      <c r="L432" s="255" t="s">
        <v>32</v>
      </c>
      <c r="M432" s="236"/>
      <c r="N432" s="236"/>
    </row>
    <row r="433" spans="1:14" x14ac:dyDescent="0.3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  <c r="N433" s="236"/>
    </row>
    <row r="434" spans="1:14" x14ac:dyDescent="0.3">
      <c r="A434" s="237" t="str">
        <f>name!E$4</f>
        <v>Managers, directors and senior officials</v>
      </c>
      <c r="B434" s="302">
        <v>1.2283184307887449</v>
      </c>
      <c r="C434" s="302">
        <v>3.4812705858669926</v>
      </c>
      <c r="D434" s="302">
        <f>SUM(B434:C434)</f>
        <v>4.7095890166557375</v>
      </c>
      <c r="E434" s="303"/>
      <c r="F434" s="302">
        <v>1.206727525378942</v>
      </c>
      <c r="G434" s="302">
        <v>5.0307117842558622</v>
      </c>
      <c r="H434" s="302">
        <f>SUM(F434:G434)</f>
        <v>6.2374393096348042</v>
      </c>
      <c r="I434" s="303"/>
      <c r="J434" s="302">
        <v>1.5323043671507062</v>
      </c>
      <c r="K434" s="302">
        <v>5.5080440468432714</v>
      </c>
      <c r="L434" s="302">
        <f>SUM(J434:K434)</f>
        <v>7.0403484139939776</v>
      </c>
      <c r="M434" s="236"/>
      <c r="N434" s="236"/>
    </row>
    <row r="435" spans="1:14" x14ac:dyDescent="0.3">
      <c r="A435" s="237" t="str">
        <f>name!E$5</f>
        <v>Professional occupations</v>
      </c>
      <c r="B435" s="302">
        <v>2.3902730980621794</v>
      </c>
      <c r="C435" s="302">
        <v>4.9054352200223255</v>
      </c>
      <c r="D435" s="302">
        <f t="shared" ref="D435:D442" si="166">SUM(B435:C435)</f>
        <v>7.2957083180845048</v>
      </c>
      <c r="E435" s="303"/>
      <c r="F435" s="302">
        <v>2.8683739481372985</v>
      </c>
      <c r="G435" s="302">
        <v>7.8233481147622319</v>
      </c>
      <c r="H435" s="302">
        <f t="shared" ref="H435:H442" si="167">SUM(F435:G435)</f>
        <v>10.69172206289953</v>
      </c>
      <c r="I435" s="303"/>
      <c r="J435" s="302">
        <v>4.4436778468537774</v>
      </c>
      <c r="K435" s="302">
        <v>9.7457260620382868</v>
      </c>
      <c r="L435" s="302">
        <f t="shared" ref="L435:L442" si="168">SUM(J435:K435)</f>
        <v>14.189403908892064</v>
      </c>
      <c r="M435" s="236"/>
      <c r="N435" s="236"/>
    </row>
    <row r="436" spans="1:14" x14ac:dyDescent="0.3">
      <c r="A436" s="237" t="str">
        <f>name!E$6</f>
        <v>Associate professional occupations</v>
      </c>
      <c r="B436" s="302">
        <v>2.7028354452404928</v>
      </c>
      <c r="C436" s="302">
        <v>3.4932681866206212</v>
      </c>
      <c r="D436" s="302">
        <f t="shared" si="166"/>
        <v>6.1961036318611136</v>
      </c>
      <c r="E436" s="303"/>
      <c r="F436" s="302">
        <v>2.7684360667129551</v>
      </c>
      <c r="G436" s="302">
        <v>5.0981101498455521</v>
      </c>
      <c r="H436" s="302">
        <f t="shared" si="167"/>
        <v>7.8665462165585076</v>
      </c>
      <c r="I436" s="303"/>
      <c r="J436" s="302">
        <v>3.2826806134973396</v>
      </c>
      <c r="K436" s="302">
        <v>5.1862987464237689</v>
      </c>
      <c r="L436" s="302">
        <f t="shared" si="168"/>
        <v>8.468979359921109</v>
      </c>
      <c r="M436" s="236"/>
      <c r="N436" s="236"/>
    </row>
    <row r="437" spans="1:14" x14ac:dyDescent="0.3">
      <c r="A437" s="237" t="str">
        <f>name!E$7</f>
        <v>Administrative and secretarial occupations</v>
      </c>
      <c r="B437" s="302">
        <v>3.1505705293029314</v>
      </c>
      <c r="C437" s="302">
        <v>1.0343596172784044</v>
      </c>
      <c r="D437" s="302">
        <f t="shared" si="166"/>
        <v>4.184930146581336</v>
      </c>
      <c r="E437" s="303"/>
      <c r="F437" s="302">
        <v>2.6196149508169917</v>
      </c>
      <c r="G437" s="302">
        <v>1.4568469894717728</v>
      </c>
      <c r="H437" s="302">
        <f t="shared" si="167"/>
        <v>4.0764619402887643</v>
      </c>
      <c r="I437" s="303"/>
      <c r="J437" s="302">
        <v>2.2317027076757157</v>
      </c>
      <c r="K437" s="302">
        <v>1.7506366841476815</v>
      </c>
      <c r="L437" s="302">
        <f t="shared" si="168"/>
        <v>3.9823393918233974</v>
      </c>
      <c r="M437" s="236"/>
      <c r="N437" s="236"/>
    </row>
    <row r="438" spans="1:14" x14ac:dyDescent="0.3">
      <c r="A438" s="237" t="str">
        <f>name!E$8</f>
        <v>Skilled trades occupations</v>
      </c>
      <c r="B438" s="302">
        <v>0.4161433240816208</v>
      </c>
      <c r="C438" s="302">
        <v>5.3797266741246794</v>
      </c>
      <c r="D438" s="302">
        <f t="shared" si="166"/>
        <v>5.7958699982063004</v>
      </c>
      <c r="E438" s="303"/>
      <c r="F438" s="302">
        <v>0.23238881977796819</v>
      </c>
      <c r="G438" s="302">
        <v>5.4726168998131941</v>
      </c>
      <c r="H438" s="302">
        <f t="shared" si="167"/>
        <v>5.7050057195911625</v>
      </c>
      <c r="I438" s="303"/>
      <c r="J438" s="302">
        <v>0.51073666846394716</v>
      </c>
      <c r="K438" s="302">
        <v>5.2143237368222044</v>
      </c>
      <c r="L438" s="302">
        <f t="shared" si="168"/>
        <v>5.7250604052861513</v>
      </c>
      <c r="M438" s="236"/>
      <c r="N438" s="236"/>
    </row>
    <row r="439" spans="1:14" x14ac:dyDescent="0.3">
      <c r="A439" s="237" t="str">
        <f>name!E$9</f>
        <v>Caring, leisure and other service occupations</v>
      </c>
      <c r="B439" s="302">
        <v>0.71946009109708631</v>
      </c>
      <c r="C439" s="302">
        <v>8.5884906833480865E-2</v>
      </c>
      <c r="D439" s="302">
        <f t="shared" si="166"/>
        <v>0.80534499793056713</v>
      </c>
      <c r="E439" s="303"/>
      <c r="F439" s="302">
        <v>0.50019241368958611</v>
      </c>
      <c r="G439" s="302">
        <v>0.11877297270338695</v>
      </c>
      <c r="H439" s="302">
        <f t="shared" si="167"/>
        <v>0.61896538639297305</v>
      </c>
      <c r="I439" s="303"/>
      <c r="J439" s="302">
        <v>0.57987960610568368</v>
      </c>
      <c r="K439" s="302">
        <v>0.15574575478579247</v>
      </c>
      <c r="L439" s="302">
        <f t="shared" si="168"/>
        <v>0.73562536089147612</v>
      </c>
      <c r="M439" s="236"/>
      <c r="N439" s="236"/>
    </row>
    <row r="440" spans="1:14" x14ac:dyDescent="0.3">
      <c r="A440" s="237" t="str">
        <f>name!E$10</f>
        <v>Sales and customer service occupations</v>
      </c>
      <c r="B440" s="302">
        <v>1.857715236425542</v>
      </c>
      <c r="C440" s="302">
        <v>0.93459404352812225</v>
      </c>
      <c r="D440" s="302">
        <f t="shared" si="166"/>
        <v>2.7923092799536642</v>
      </c>
      <c r="E440" s="303"/>
      <c r="F440" s="302">
        <v>1.6163746447587348</v>
      </c>
      <c r="G440" s="302">
        <v>1.291016808555129</v>
      </c>
      <c r="H440" s="302">
        <f t="shared" si="167"/>
        <v>2.9073914533138638</v>
      </c>
      <c r="I440" s="303"/>
      <c r="J440" s="302">
        <v>2.0149413161813743</v>
      </c>
      <c r="K440" s="302">
        <v>1.6231403938575326</v>
      </c>
      <c r="L440" s="302">
        <f t="shared" si="168"/>
        <v>3.6380817100389069</v>
      </c>
      <c r="M440" s="236"/>
      <c r="N440" s="236"/>
    </row>
    <row r="441" spans="1:14" x14ac:dyDescent="0.3">
      <c r="A441" s="237" t="str">
        <f>name!E$11</f>
        <v>Process, plant and machine operatives</v>
      </c>
      <c r="B441" s="302">
        <v>0.19891328142074433</v>
      </c>
      <c r="C441" s="302">
        <v>4.9943873897717879</v>
      </c>
      <c r="D441" s="302">
        <f t="shared" si="166"/>
        <v>5.1933006711925325</v>
      </c>
      <c r="E441" s="303"/>
      <c r="F441" s="302">
        <v>0.11750338837254148</v>
      </c>
      <c r="G441" s="302">
        <v>5.2444628006127756</v>
      </c>
      <c r="H441" s="302">
        <f t="shared" si="167"/>
        <v>5.361966188985317</v>
      </c>
      <c r="I441" s="303"/>
      <c r="J441" s="302">
        <v>0.11550548475068403</v>
      </c>
      <c r="K441" s="302">
        <v>5.7917388925078672</v>
      </c>
      <c r="L441" s="302">
        <f t="shared" si="168"/>
        <v>5.907244377258551</v>
      </c>
      <c r="M441" s="236"/>
      <c r="N441" s="236"/>
    </row>
    <row r="442" spans="1:14" x14ac:dyDescent="0.3">
      <c r="A442" s="237" t="str">
        <f>name!E$12</f>
        <v>Elementary occupations</v>
      </c>
      <c r="B442" s="302">
        <v>0.67877056353509446</v>
      </c>
      <c r="C442" s="302">
        <v>1.0510733758219348</v>
      </c>
      <c r="D442" s="302">
        <f t="shared" si="166"/>
        <v>1.7298439393570293</v>
      </c>
      <c r="E442" s="303"/>
      <c r="F442" s="302">
        <v>0.4203882423240447</v>
      </c>
      <c r="G442" s="302">
        <v>1.1931134798417971</v>
      </c>
      <c r="H442" s="302">
        <f t="shared" si="167"/>
        <v>1.6135017221658416</v>
      </c>
      <c r="I442" s="303"/>
      <c r="J442" s="302">
        <v>0.41057138937542742</v>
      </c>
      <c r="K442" s="302">
        <v>0.97734568252577747</v>
      </c>
      <c r="L442" s="302">
        <f t="shared" si="168"/>
        <v>1.3879170719012048</v>
      </c>
      <c r="M442" s="236"/>
      <c r="N442" s="236"/>
    </row>
    <row r="443" spans="1:14" x14ac:dyDescent="0.3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  <c r="N443" s="236"/>
    </row>
    <row r="444" spans="1:14" x14ac:dyDescent="0.3">
      <c r="A444" s="244" t="s">
        <v>32</v>
      </c>
      <c r="B444" s="311">
        <f>SUM(B434:B442)</f>
        <v>13.342999999954435</v>
      </c>
      <c r="C444" s="311">
        <f t="shared" ref="C444:D444" si="169">SUM(C434:C442)</f>
        <v>25.35999999986835</v>
      </c>
      <c r="D444" s="311">
        <f t="shared" si="169"/>
        <v>38.702999999822786</v>
      </c>
      <c r="E444" s="311"/>
      <c r="F444" s="311">
        <f t="shared" ref="F444:H444" si="170">SUM(F434:F442)</f>
        <v>12.349999999969063</v>
      </c>
      <c r="G444" s="311">
        <f t="shared" si="170"/>
        <v>32.728999999861699</v>
      </c>
      <c r="H444" s="311">
        <f t="shared" si="170"/>
        <v>45.078999999830764</v>
      </c>
      <c r="I444" s="311"/>
      <c r="J444" s="311">
        <f t="shared" ref="J444:L444" si="171">SUM(J434:J442)</f>
        <v>15.122000000054655</v>
      </c>
      <c r="K444" s="311">
        <f t="shared" si="171"/>
        <v>35.952999999952183</v>
      </c>
      <c r="L444" s="311">
        <f t="shared" si="171"/>
        <v>51.075000000006831</v>
      </c>
      <c r="M444" s="236"/>
      <c r="N444" s="236"/>
    </row>
    <row r="445" spans="1:14" x14ac:dyDescent="0.3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  <c r="N445" s="236"/>
    </row>
    <row r="446" spans="1:14" x14ac:dyDescent="0.3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56" t="s">
        <v>35</v>
      </c>
      <c r="M446" s="236"/>
      <c r="N446" s="236"/>
    </row>
    <row r="447" spans="1:14" x14ac:dyDescent="0.3">
      <c r="A447" s="242"/>
      <c r="B447" s="250"/>
      <c r="C447" s="250"/>
      <c r="D447" s="250"/>
      <c r="E447" s="250"/>
      <c r="F447" s="250"/>
      <c r="G447" s="250"/>
      <c r="H447" s="250"/>
      <c r="I447" s="250"/>
      <c r="J447" s="250"/>
      <c r="K447" s="250"/>
      <c r="L447" s="236"/>
      <c r="M447" s="236"/>
      <c r="N447" s="236"/>
    </row>
    <row r="448" spans="1:14" x14ac:dyDescent="0.3">
      <c r="A448" s="241" t="str">
        <f>name!A29</f>
        <v>Sewerage</v>
      </c>
      <c r="B448" s="373">
        <f>B$6</f>
        <v>2015</v>
      </c>
      <c r="C448" s="373"/>
      <c r="D448" s="373"/>
      <c r="E448" s="253"/>
      <c r="F448" s="373">
        <f>F431</f>
        <v>2020</v>
      </c>
      <c r="G448" s="373"/>
      <c r="H448" s="373"/>
      <c r="I448" s="253"/>
      <c r="J448" s="373">
        <f>J431</f>
        <v>2035</v>
      </c>
      <c r="K448" s="373"/>
      <c r="L448" s="373"/>
      <c r="M448" s="236"/>
      <c r="N448" s="236"/>
    </row>
    <row r="449" spans="1:14" x14ac:dyDescent="0.3">
      <c r="A449" s="254"/>
      <c r="B449" s="255" t="s">
        <v>352</v>
      </c>
      <c r="C449" s="255" t="s">
        <v>353</v>
      </c>
      <c r="D449" s="255" t="s">
        <v>32</v>
      </c>
      <c r="E449" s="255"/>
      <c r="F449" s="255" t="s">
        <v>352</v>
      </c>
      <c r="G449" s="255" t="s">
        <v>353</v>
      </c>
      <c r="H449" s="255" t="s">
        <v>32</v>
      </c>
      <c r="I449" s="255"/>
      <c r="J449" s="255" t="s">
        <v>352</v>
      </c>
      <c r="K449" s="255" t="s">
        <v>353</v>
      </c>
      <c r="L449" s="255" t="s">
        <v>32</v>
      </c>
      <c r="M449" s="236"/>
      <c r="N449" s="236"/>
    </row>
    <row r="450" spans="1:14" x14ac:dyDescent="0.3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  <c r="N450" s="236"/>
    </row>
    <row r="451" spans="1:14" x14ac:dyDescent="0.3">
      <c r="A451" s="237" t="str">
        <f>name!E$4</f>
        <v>Managers, directors and senior officials</v>
      </c>
      <c r="B451" s="302">
        <v>0.43935453333441798</v>
      </c>
      <c r="C451" s="302">
        <v>1.9630793707243488</v>
      </c>
      <c r="D451" s="302">
        <f>SUM(B451:C451)</f>
        <v>2.4024339040587668</v>
      </c>
      <c r="E451" s="303"/>
      <c r="F451" s="302">
        <v>0.45521146978871546</v>
      </c>
      <c r="G451" s="302">
        <v>1.7366030853074517</v>
      </c>
      <c r="H451" s="302">
        <f>SUM(F451:G451)</f>
        <v>2.1918145550961672</v>
      </c>
      <c r="I451" s="303"/>
      <c r="J451" s="302">
        <v>0.5473722245568079</v>
      </c>
      <c r="K451" s="302">
        <v>1.8628731500433473</v>
      </c>
      <c r="L451" s="302">
        <f>SUM(J451:K451)</f>
        <v>2.4102453746001551</v>
      </c>
      <c r="M451" s="236"/>
      <c r="N451" s="236"/>
    </row>
    <row r="452" spans="1:14" x14ac:dyDescent="0.3">
      <c r="A452" s="237" t="str">
        <f>name!E$5</f>
        <v>Professional occupations</v>
      </c>
      <c r="B452" s="302">
        <v>0.70785587494627267</v>
      </c>
      <c r="C452" s="302">
        <v>1.8253311879361782</v>
      </c>
      <c r="D452" s="302">
        <f t="shared" ref="D452:D459" si="172">SUM(B452:C452)</f>
        <v>2.5331870628824511</v>
      </c>
      <c r="E452" s="303"/>
      <c r="F452" s="302">
        <v>0.79337131193756705</v>
      </c>
      <c r="G452" s="302">
        <v>1.7575335520838962</v>
      </c>
      <c r="H452" s="302">
        <f t="shared" ref="H452:H459" si="173">SUM(F452:G452)</f>
        <v>2.5509048640214633</v>
      </c>
      <c r="I452" s="303"/>
      <c r="J452" s="302">
        <v>1.0245236407994591</v>
      </c>
      <c r="K452" s="302">
        <v>2.1151096794576971</v>
      </c>
      <c r="L452" s="302">
        <f t="shared" ref="L452:L459" si="174">SUM(J452:K452)</f>
        <v>3.1396333202571562</v>
      </c>
      <c r="M452" s="236"/>
      <c r="N452" s="236"/>
    </row>
    <row r="453" spans="1:14" x14ac:dyDescent="0.3">
      <c r="A453" s="237" t="str">
        <f>name!E$6</f>
        <v>Associate professional occupations</v>
      </c>
      <c r="B453" s="302">
        <v>1.6414609680082881</v>
      </c>
      <c r="C453" s="302">
        <v>1.6171873923535691</v>
      </c>
      <c r="D453" s="302">
        <f t="shared" si="172"/>
        <v>3.2586483603618572</v>
      </c>
      <c r="E453" s="303"/>
      <c r="F453" s="302">
        <v>2.0080497815634466</v>
      </c>
      <c r="G453" s="302">
        <v>1.4290246708366268</v>
      </c>
      <c r="H453" s="302">
        <f t="shared" si="173"/>
        <v>3.4370744524000734</v>
      </c>
      <c r="I453" s="303"/>
      <c r="J453" s="302">
        <v>3.326043601922811</v>
      </c>
      <c r="K453" s="302">
        <v>1.4301222092368235</v>
      </c>
      <c r="L453" s="302">
        <f t="shared" si="174"/>
        <v>4.7561658111596348</v>
      </c>
      <c r="M453" s="236"/>
      <c r="N453" s="236"/>
    </row>
    <row r="454" spans="1:14" x14ac:dyDescent="0.3">
      <c r="A454" s="237" t="str">
        <f>name!E$7</f>
        <v>Administrative and secretarial occupations</v>
      </c>
      <c r="B454" s="302">
        <v>1.7533264392118211</v>
      </c>
      <c r="C454" s="302">
        <v>0.44056142003516968</v>
      </c>
      <c r="D454" s="302">
        <f t="shared" si="172"/>
        <v>2.1938878592469906</v>
      </c>
      <c r="E454" s="303"/>
      <c r="F454" s="302">
        <v>1.8269776095854984</v>
      </c>
      <c r="G454" s="302">
        <v>0.43912178086162529</v>
      </c>
      <c r="H454" s="302">
        <f t="shared" si="173"/>
        <v>2.2660993904471236</v>
      </c>
      <c r="I454" s="303"/>
      <c r="J454" s="302">
        <v>1.3148987723881731</v>
      </c>
      <c r="K454" s="302">
        <v>0.45571397916041795</v>
      </c>
      <c r="L454" s="302">
        <f t="shared" si="174"/>
        <v>1.770612751548591</v>
      </c>
      <c r="M454" s="236"/>
      <c r="N454" s="236"/>
    </row>
    <row r="455" spans="1:14" x14ac:dyDescent="0.3">
      <c r="A455" s="237" t="str">
        <f>name!E$8</f>
        <v>Skilled trades occupations</v>
      </c>
      <c r="B455" s="302">
        <v>0.17930543175286731</v>
      </c>
      <c r="C455" s="302">
        <v>1.6221521371654706</v>
      </c>
      <c r="D455" s="302">
        <f t="shared" si="172"/>
        <v>1.8014575689183379</v>
      </c>
      <c r="E455" s="303"/>
      <c r="F455" s="302">
        <v>0.10503298242935639</v>
      </c>
      <c r="G455" s="302">
        <v>0.8231608322599947</v>
      </c>
      <c r="H455" s="302">
        <f t="shared" si="173"/>
        <v>0.92819381468935114</v>
      </c>
      <c r="I455" s="303"/>
      <c r="J455" s="302">
        <v>0.22068349867674689</v>
      </c>
      <c r="K455" s="302">
        <v>0.76579536685571492</v>
      </c>
      <c r="L455" s="302">
        <f t="shared" si="174"/>
        <v>0.98647886553246178</v>
      </c>
      <c r="M455" s="236"/>
      <c r="N455" s="236"/>
    </row>
    <row r="456" spans="1:14" x14ac:dyDescent="0.3">
      <c r="A456" s="237" t="str">
        <f>name!E$9</f>
        <v>Caring, leisure and other service occupations</v>
      </c>
      <c r="B456" s="302">
        <v>0.45469634290716998</v>
      </c>
      <c r="C456" s="302">
        <v>0.34991837889616628</v>
      </c>
      <c r="D456" s="302">
        <f t="shared" si="172"/>
        <v>0.80461472180333626</v>
      </c>
      <c r="E456" s="303"/>
      <c r="F456" s="302">
        <v>0.47824785931601133</v>
      </c>
      <c r="G456" s="302">
        <v>0.3585165464960004</v>
      </c>
      <c r="H456" s="302">
        <f t="shared" si="173"/>
        <v>0.83676440581201172</v>
      </c>
      <c r="I456" s="303"/>
      <c r="J456" s="302">
        <v>0.66500631655660714</v>
      </c>
      <c r="K456" s="302">
        <v>0.46040265052748475</v>
      </c>
      <c r="L456" s="302">
        <f t="shared" si="174"/>
        <v>1.1254089670840919</v>
      </c>
      <c r="M456" s="236"/>
      <c r="N456" s="236"/>
    </row>
    <row r="457" spans="1:14" x14ac:dyDescent="0.3">
      <c r="A457" s="237" t="str">
        <f>name!E$10</f>
        <v>Sales and customer service occupations</v>
      </c>
      <c r="B457" s="302">
        <v>0.30500443789264087</v>
      </c>
      <c r="C457" s="302">
        <v>0.38989499890690005</v>
      </c>
      <c r="D457" s="302">
        <f t="shared" si="172"/>
        <v>0.69489943679954091</v>
      </c>
      <c r="E457" s="303"/>
      <c r="F457" s="302">
        <v>0.34001130334125479</v>
      </c>
      <c r="G457" s="302">
        <v>0.3306616772964498</v>
      </c>
      <c r="H457" s="302">
        <f t="shared" si="173"/>
        <v>0.67067298063770453</v>
      </c>
      <c r="I457" s="303"/>
      <c r="J457" s="302">
        <v>0.42904568778363067</v>
      </c>
      <c r="K457" s="302">
        <v>0.37790008238252026</v>
      </c>
      <c r="L457" s="302">
        <f t="shared" si="174"/>
        <v>0.80694577016615088</v>
      </c>
      <c r="M457" s="236"/>
      <c r="N457" s="236"/>
    </row>
    <row r="458" spans="1:14" x14ac:dyDescent="0.3">
      <c r="A458" s="237" t="str">
        <f>name!E$11</f>
        <v>Process, plant and machine operatives</v>
      </c>
      <c r="B458" s="302">
        <v>0.19462578277059986</v>
      </c>
      <c r="C458" s="302">
        <v>5.0420936717868052</v>
      </c>
      <c r="D458" s="302">
        <f t="shared" si="172"/>
        <v>5.236719454557405</v>
      </c>
      <c r="E458" s="303"/>
      <c r="F458" s="302">
        <v>0.16728821360632185</v>
      </c>
      <c r="G458" s="302">
        <v>4.0584772512024632</v>
      </c>
      <c r="H458" s="302">
        <f t="shared" si="173"/>
        <v>4.2257654648087852</v>
      </c>
      <c r="I458" s="303"/>
      <c r="J458" s="302">
        <v>0.23513491075884094</v>
      </c>
      <c r="K458" s="302">
        <v>4.7217591137150041</v>
      </c>
      <c r="L458" s="302">
        <f t="shared" si="174"/>
        <v>4.9568940244738453</v>
      </c>
      <c r="M458" s="236"/>
      <c r="N458" s="236"/>
    </row>
    <row r="459" spans="1:14" x14ac:dyDescent="0.3">
      <c r="A459" s="237" t="str">
        <f>name!E$12</f>
        <v>Elementary occupations</v>
      </c>
      <c r="B459" s="302">
        <v>0.79337018915262625</v>
      </c>
      <c r="C459" s="302">
        <v>5.4657814423053352</v>
      </c>
      <c r="D459" s="302">
        <f t="shared" si="172"/>
        <v>6.2591516314579616</v>
      </c>
      <c r="E459" s="303"/>
      <c r="F459" s="302">
        <v>0.58480946841263348</v>
      </c>
      <c r="G459" s="302">
        <v>4.8229006036920428</v>
      </c>
      <c r="H459" s="302">
        <f t="shared" si="173"/>
        <v>5.4077100721046758</v>
      </c>
      <c r="I459" s="303"/>
      <c r="J459" s="302">
        <v>0.45129134660778186</v>
      </c>
      <c r="K459" s="302">
        <v>5.2903237687946918</v>
      </c>
      <c r="L459" s="302">
        <f t="shared" si="174"/>
        <v>5.7416151154024737</v>
      </c>
      <c r="M459" s="236"/>
      <c r="N459" s="236"/>
    </row>
    <row r="460" spans="1:14" x14ac:dyDescent="0.3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  <c r="N460" s="236"/>
    </row>
    <row r="461" spans="1:14" x14ac:dyDescent="0.3">
      <c r="A461" s="244" t="s">
        <v>32</v>
      </c>
      <c r="B461" s="311">
        <f>SUM(B451:B459)</f>
        <v>6.4689999999767034</v>
      </c>
      <c r="C461" s="311">
        <f t="shared" ref="C461:D461" si="175">SUM(C451:C459)</f>
        <v>18.716000000109943</v>
      </c>
      <c r="D461" s="311">
        <f t="shared" si="175"/>
        <v>25.185000000086646</v>
      </c>
      <c r="E461" s="311"/>
      <c r="F461" s="311">
        <f t="shared" ref="F461:H461" si="176">SUM(F451:F459)</f>
        <v>6.758999999980805</v>
      </c>
      <c r="G461" s="311">
        <f t="shared" si="176"/>
        <v>15.756000000036552</v>
      </c>
      <c r="H461" s="311">
        <f t="shared" si="176"/>
        <v>22.515000000017359</v>
      </c>
      <c r="I461" s="311"/>
      <c r="J461" s="311">
        <f t="shared" ref="J461:L461" si="177">SUM(J451:J459)</f>
        <v>8.2140000000508593</v>
      </c>
      <c r="K461" s="311">
        <f t="shared" si="177"/>
        <v>17.480000000173703</v>
      </c>
      <c r="L461" s="311">
        <f t="shared" si="177"/>
        <v>25.694000000224559</v>
      </c>
      <c r="M461" s="236"/>
      <c r="N461" s="236"/>
    </row>
    <row r="462" spans="1:14" x14ac:dyDescent="0.3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  <c r="N462" s="236"/>
    </row>
    <row r="463" spans="1:14" x14ac:dyDescent="0.3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56" t="s">
        <v>35</v>
      </c>
      <c r="M463" s="236"/>
      <c r="N463" s="236"/>
    </row>
    <row r="464" spans="1:14" x14ac:dyDescent="0.3">
      <c r="A464" s="242"/>
      <c r="B464" s="250"/>
      <c r="C464" s="250"/>
      <c r="D464" s="250"/>
      <c r="E464" s="250"/>
      <c r="F464" s="250"/>
      <c r="G464" s="250"/>
      <c r="H464" s="250"/>
      <c r="I464" s="250"/>
      <c r="J464" s="250"/>
      <c r="K464" s="250"/>
      <c r="L464" s="236"/>
      <c r="M464" s="236"/>
      <c r="N464" s="236"/>
    </row>
    <row r="465" spans="1:14" x14ac:dyDescent="0.3">
      <c r="A465" s="241" t="str">
        <f>name!A30</f>
        <v>Waste management</v>
      </c>
      <c r="B465" s="373">
        <f>B$6</f>
        <v>2015</v>
      </c>
      <c r="C465" s="373"/>
      <c r="D465" s="373"/>
      <c r="E465" s="253"/>
      <c r="F465" s="373">
        <f>F448</f>
        <v>2020</v>
      </c>
      <c r="G465" s="373"/>
      <c r="H465" s="373"/>
      <c r="I465" s="253"/>
      <c r="J465" s="373">
        <f>J448</f>
        <v>2035</v>
      </c>
      <c r="K465" s="373"/>
      <c r="L465" s="373"/>
      <c r="M465" s="236"/>
      <c r="N465" s="236"/>
    </row>
    <row r="466" spans="1:14" x14ac:dyDescent="0.3">
      <c r="A466" s="254"/>
      <c r="B466" s="255" t="s">
        <v>352</v>
      </c>
      <c r="C466" s="255" t="s">
        <v>353</v>
      </c>
      <c r="D466" s="255" t="s">
        <v>32</v>
      </c>
      <c r="E466" s="255"/>
      <c r="F466" s="255" t="s">
        <v>352</v>
      </c>
      <c r="G466" s="255" t="s">
        <v>353</v>
      </c>
      <c r="H466" s="255" t="s">
        <v>32</v>
      </c>
      <c r="I466" s="255"/>
      <c r="J466" s="255" t="s">
        <v>352</v>
      </c>
      <c r="K466" s="255" t="s">
        <v>353</v>
      </c>
      <c r="L466" s="255" t="s">
        <v>32</v>
      </c>
      <c r="M466" s="236"/>
      <c r="N466" s="236"/>
    </row>
    <row r="467" spans="1:14" x14ac:dyDescent="0.3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  <c r="N467" s="236"/>
    </row>
    <row r="468" spans="1:14" x14ac:dyDescent="0.3">
      <c r="A468" s="237" t="str">
        <f>name!E$4</f>
        <v>Managers, directors and senior officials</v>
      </c>
      <c r="B468" s="302">
        <v>2.3243282857201044</v>
      </c>
      <c r="C468" s="302">
        <v>11.434253213682366</v>
      </c>
      <c r="D468" s="302">
        <f>SUM(B468:C468)</f>
        <v>13.758581499402471</v>
      </c>
      <c r="E468" s="303"/>
      <c r="F468" s="302">
        <v>2.6447604698835212</v>
      </c>
      <c r="G468" s="302">
        <v>14.233530125883885</v>
      </c>
      <c r="H468" s="302">
        <f>SUM(F468:G468)</f>
        <v>16.878290595767407</v>
      </c>
      <c r="I468" s="303"/>
      <c r="J468" s="302">
        <v>3.3586707447518864</v>
      </c>
      <c r="K468" s="302">
        <v>16.588211351722805</v>
      </c>
      <c r="L468" s="302">
        <f>SUM(J468:K468)</f>
        <v>19.946882096474692</v>
      </c>
      <c r="M468" s="236"/>
      <c r="N468" s="236"/>
    </row>
    <row r="469" spans="1:14" x14ac:dyDescent="0.3">
      <c r="A469" s="237" t="str">
        <f>name!E$5</f>
        <v>Professional occupations</v>
      </c>
      <c r="B469" s="302">
        <v>4.9038776529844954</v>
      </c>
      <c r="C469" s="302">
        <v>7.6854452341933177</v>
      </c>
      <c r="D469" s="302">
        <f t="shared" ref="D469:D476" si="178">SUM(B469:C469)</f>
        <v>12.589322887177813</v>
      </c>
      <c r="E469" s="303"/>
      <c r="F469" s="302">
        <v>5.6556755573556332</v>
      </c>
      <c r="G469" s="302">
        <v>10.111670944529386</v>
      </c>
      <c r="H469" s="302">
        <f t="shared" ref="H469:H476" si="179">SUM(F469:G469)</f>
        <v>15.767346501885019</v>
      </c>
      <c r="I469" s="303"/>
      <c r="J469" s="302">
        <v>7.7550002915273506</v>
      </c>
      <c r="K469" s="302">
        <v>11.463066257633654</v>
      </c>
      <c r="L469" s="302">
        <f t="shared" ref="L469:L476" si="180">SUM(J469:K469)</f>
        <v>19.218066549161005</v>
      </c>
      <c r="M469" s="236"/>
      <c r="N469" s="236"/>
    </row>
    <row r="470" spans="1:14" x14ac:dyDescent="0.3">
      <c r="A470" s="237" t="str">
        <f>name!E$6</f>
        <v>Associate professional occupations</v>
      </c>
      <c r="B470" s="302">
        <v>6.7625868707825179</v>
      </c>
      <c r="C470" s="302">
        <v>7.2445256495229353</v>
      </c>
      <c r="D470" s="302">
        <f t="shared" si="178"/>
        <v>14.007112520305453</v>
      </c>
      <c r="E470" s="303"/>
      <c r="F470" s="302">
        <v>7.7651291111252529</v>
      </c>
      <c r="G470" s="302">
        <v>8.682427694476706</v>
      </c>
      <c r="H470" s="302">
        <f t="shared" si="179"/>
        <v>16.447556805601959</v>
      </c>
      <c r="I470" s="303"/>
      <c r="J470" s="302">
        <v>12.046260266700267</v>
      </c>
      <c r="K470" s="302">
        <v>8.935659376774483</v>
      </c>
      <c r="L470" s="302">
        <f t="shared" si="180"/>
        <v>20.98191964347475</v>
      </c>
      <c r="M470" s="236"/>
      <c r="N470" s="236"/>
    </row>
    <row r="471" spans="1:14" x14ac:dyDescent="0.3">
      <c r="A471" s="237" t="str">
        <f>name!E$7</f>
        <v>Administrative and secretarial occupations</v>
      </c>
      <c r="B471" s="302">
        <v>8.4230155502060224</v>
      </c>
      <c r="C471" s="302">
        <v>3.0349842963675284</v>
      </c>
      <c r="D471" s="302">
        <f t="shared" si="178"/>
        <v>11.45799984657355</v>
      </c>
      <c r="E471" s="303"/>
      <c r="F471" s="302">
        <v>7.6138904602682311</v>
      </c>
      <c r="G471" s="302">
        <v>4.2656338733178991</v>
      </c>
      <c r="H471" s="302">
        <f t="shared" si="179"/>
        <v>11.879524333586129</v>
      </c>
      <c r="I471" s="303"/>
      <c r="J471" s="302">
        <v>5.8597116706058099</v>
      </c>
      <c r="K471" s="302">
        <v>4.707538695640392</v>
      </c>
      <c r="L471" s="302">
        <f t="shared" si="180"/>
        <v>10.567250366246203</v>
      </c>
      <c r="M471" s="236"/>
      <c r="N471" s="236"/>
    </row>
    <row r="472" spans="1:14" x14ac:dyDescent="0.3">
      <c r="A472" s="237" t="str">
        <f>name!E$8</f>
        <v>Skilled trades occupations</v>
      </c>
      <c r="B472" s="302">
        <v>1.4970340900103447</v>
      </c>
      <c r="C472" s="302">
        <v>11.520797164214317</v>
      </c>
      <c r="D472" s="302">
        <f t="shared" si="178"/>
        <v>13.017831254224662</v>
      </c>
      <c r="E472" s="303"/>
      <c r="F472" s="302">
        <v>1.4712005603552629</v>
      </c>
      <c r="G472" s="302">
        <v>11.10193467386714</v>
      </c>
      <c r="H472" s="302">
        <f t="shared" si="179"/>
        <v>12.573135234222402</v>
      </c>
      <c r="I472" s="303"/>
      <c r="J472" s="302">
        <v>3.0064450521945956</v>
      </c>
      <c r="K472" s="302">
        <v>11.772618993182043</v>
      </c>
      <c r="L472" s="302">
        <f t="shared" si="180"/>
        <v>14.779064045376639</v>
      </c>
      <c r="M472" s="236"/>
      <c r="N472" s="236"/>
    </row>
    <row r="473" spans="1:14" x14ac:dyDescent="0.3">
      <c r="A473" s="237" t="str">
        <f>name!E$9</f>
        <v>Caring, leisure and other service occupations</v>
      </c>
      <c r="B473" s="302">
        <v>1.8660621853139669</v>
      </c>
      <c r="C473" s="302">
        <v>1.5916897952125237</v>
      </c>
      <c r="D473" s="302">
        <f t="shared" si="178"/>
        <v>3.4577519805264907</v>
      </c>
      <c r="E473" s="303"/>
      <c r="F473" s="302">
        <v>1.7263277751623167</v>
      </c>
      <c r="G473" s="302">
        <v>1.9435725266567483</v>
      </c>
      <c r="H473" s="302">
        <f t="shared" si="179"/>
        <v>3.669900301819065</v>
      </c>
      <c r="I473" s="303"/>
      <c r="J473" s="302">
        <v>2.1862777486677509</v>
      </c>
      <c r="K473" s="302">
        <v>2.5389881490955557</v>
      </c>
      <c r="L473" s="302">
        <f t="shared" si="180"/>
        <v>4.7252658977633066</v>
      </c>
      <c r="M473" s="236"/>
      <c r="N473" s="236"/>
    </row>
    <row r="474" spans="1:14" x14ac:dyDescent="0.3">
      <c r="A474" s="237" t="str">
        <f>name!E$10</f>
        <v>Sales and customer service occupations</v>
      </c>
      <c r="B474" s="302">
        <v>1.5999616620146313</v>
      </c>
      <c r="C474" s="302">
        <v>2.2914124764022348</v>
      </c>
      <c r="D474" s="302">
        <f t="shared" si="178"/>
        <v>3.8913741384168663</v>
      </c>
      <c r="E474" s="303"/>
      <c r="F474" s="302">
        <v>1.486593789976338</v>
      </c>
      <c r="G474" s="302">
        <v>2.8774034163697322</v>
      </c>
      <c r="H474" s="302">
        <f t="shared" si="179"/>
        <v>4.3639972063460704</v>
      </c>
      <c r="I474" s="303"/>
      <c r="J474" s="302">
        <v>1.5858672197896644</v>
      </c>
      <c r="K474" s="302">
        <v>3.3357516047167945</v>
      </c>
      <c r="L474" s="302">
        <f t="shared" si="180"/>
        <v>4.9216188245064592</v>
      </c>
      <c r="M474" s="236"/>
      <c r="N474" s="236"/>
    </row>
    <row r="475" spans="1:14" x14ac:dyDescent="0.3">
      <c r="A475" s="237" t="str">
        <f>name!E$11</f>
        <v>Process, plant and machine operatives</v>
      </c>
      <c r="B475" s="302">
        <v>2.1629479335147099</v>
      </c>
      <c r="C475" s="302">
        <v>32.280135371120103</v>
      </c>
      <c r="D475" s="302">
        <f t="shared" si="178"/>
        <v>34.443083304634811</v>
      </c>
      <c r="E475" s="303"/>
      <c r="F475" s="302">
        <v>1.7371645869546875</v>
      </c>
      <c r="G475" s="302">
        <v>31.705634428410878</v>
      </c>
      <c r="H475" s="302">
        <f t="shared" si="179"/>
        <v>33.442799015365566</v>
      </c>
      <c r="I475" s="303"/>
      <c r="J475" s="302">
        <v>2.2474161798124266</v>
      </c>
      <c r="K475" s="302">
        <v>38.034458431699591</v>
      </c>
      <c r="L475" s="302">
        <f t="shared" si="180"/>
        <v>40.281874611512016</v>
      </c>
      <c r="M475" s="236"/>
      <c r="N475" s="236"/>
    </row>
    <row r="476" spans="1:14" x14ac:dyDescent="0.3">
      <c r="A476" s="237" t="str">
        <f>name!E$12</f>
        <v>Elementary occupations</v>
      </c>
      <c r="B476" s="302">
        <v>3.6881857692489453</v>
      </c>
      <c r="C476" s="302">
        <v>25.779756799649753</v>
      </c>
      <c r="D476" s="302">
        <f t="shared" si="178"/>
        <v>29.4679425688987</v>
      </c>
      <c r="E476" s="303"/>
      <c r="F476" s="302">
        <v>2.7532576887984765</v>
      </c>
      <c r="G476" s="302">
        <v>24.630192316357149</v>
      </c>
      <c r="H476" s="302">
        <f t="shared" si="179"/>
        <v>27.383450005155627</v>
      </c>
      <c r="I476" s="303"/>
      <c r="J476" s="302">
        <v>2.0593508261642217</v>
      </c>
      <c r="K476" s="302">
        <v>23.219707140142408</v>
      </c>
      <c r="L476" s="302">
        <f t="shared" si="180"/>
        <v>25.279057966306631</v>
      </c>
      <c r="M476" s="236"/>
      <c r="N476" s="236"/>
    </row>
    <row r="477" spans="1:14" x14ac:dyDescent="0.3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  <c r="N477" s="236"/>
    </row>
    <row r="478" spans="1:14" x14ac:dyDescent="0.3">
      <c r="A478" s="244" t="s">
        <v>32</v>
      </c>
      <c r="B478" s="311">
        <f>SUM(B468:B476)</f>
        <v>33.227999999795742</v>
      </c>
      <c r="C478" s="311">
        <f t="shared" ref="C478:D478" si="181">SUM(C468:C476)</f>
        <v>102.86300000036508</v>
      </c>
      <c r="D478" s="311">
        <f t="shared" si="181"/>
        <v>136.09100000016082</v>
      </c>
      <c r="E478" s="311"/>
      <c r="F478" s="311">
        <f t="shared" ref="F478:H478" si="182">SUM(F468:F476)</f>
        <v>32.853999999879719</v>
      </c>
      <c r="G478" s="311">
        <f t="shared" si="182"/>
        <v>109.55199999986954</v>
      </c>
      <c r="H478" s="311">
        <f t="shared" si="182"/>
        <v>142.40599999974927</v>
      </c>
      <c r="I478" s="311"/>
      <c r="J478" s="311">
        <f t="shared" ref="J478:L478" si="183">SUM(J468:J476)</f>
        <v>40.105000000213963</v>
      </c>
      <c r="K478" s="311">
        <f t="shared" si="183"/>
        <v>120.59600000060773</v>
      </c>
      <c r="L478" s="311">
        <f t="shared" si="183"/>
        <v>160.70100000082169</v>
      </c>
      <c r="M478" s="236"/>
      <c r="N478" s="236"/>
    </row>
    <row r="479" spans="1:14" x14ac:dyDescent="0.3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  <c r="N479" s="236"/>
    </row>
    <row r="480" spans="1:14" x14ac:dyDescent="0.3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56" t="s">
        <v>35</v>
      </c>
      <c r="M480" s="236"/>
      <c r="N480" s="236"/>
    </row>
    <row r="481" spans="1:14" x14ac:dyDescent="0.3">
      <c r="A481" s="242"/>
      <c r="B481" s="250"/>
      <c r="C481" s="250"/>
      <c r="D481" s="250"/>
      <c r="E481" s="250"/>
      <c r="F481" s="250"/>
      <c r="G481" s="250"/>
      <c r="H481" s="250"/>
      <c r="I481" s="250"/>
      <c r="J481" s="250"/>
      <c r="K481" s="250"/>
      <c r="L481" s="236"/>
      <c r="M481" s="236"/>
      <c r="N481" s="236"/>
    </row>
    <row r="482" spans="1:14" x14ac:dyDescent="0.3">
      <c r="A482" s="241" t="str">
        <f>name!A31</f>
        <v>Construction</v>
      </c>
      <c r="B482" s="373">
        <f>B$6</f>
        <v>2015</v>
      </c>
      <c r="C482" s="373"/>
      <c r="D482" s="373"/>
      <c r="E482" s="253"/>
      <c r="F482" s="373">
        <f>F465</f>
        <v>2020</v>
      </c>
      <c r="G482" s="373"/>
      <c r="H482" s="373"/>
      <c r="I482" s="253"/>
      <c r="J482" s="373">
        <f>J465</f>
        <v>2035</v>
      </c>
      <c r="K482" s="373"/>
      <c r="L482" s="373"/>
      <c r="M482" s="236"/>
      <c r="N482" s="236"/>
    </row>
    <row r="483" spans="1:14" x14ac:dyDescent="0.3">
      <c r="A483" s="254"/>
      <c r="B483" s="255" t="s">
        <v>352</v>
      </c>
      <c r="C483" s="255" t="s">
        <v>353</v>
      </c>
      <c r="D483" s="255" t="s">
        <v>32</v>
      </c>
      <c r="E483" s="255"/>
      <c r="F483" s="255" t="s">
        <v>352</v>
      </c>
      <c r="G483" s="255" t="s">
        <v>353</v>
      </c>
      <c r="H483" s="255" t="s">
        <v>32</v>
      </c>
      <c r="I483" s="255"/>
      <c r="J483" s="255" t="s">
        <v>352</v>
      </c>
      <c r="K483" s="255" t="s">
        <v>353</v>
      </c>
      <c r="L483" s="255" t="s">
        <v>32</v>
      </c>
      <c r="M483" s="236"/>
      <c r="N483" s="236"/>
    </row>
    <row r="484" spans="1:14" x14ac:dyDescent="0.3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  <c r="N484" s="236"/>
    </row>
    <row r="485" spans="1:14" x14ac:dyDescent="0.3">
      <c r="A485" s="237" t="str">
        <f>name!E$4</f>
        <v>Managers, directors and senior officials</v>
      </c>
      <c r="B485" s="302">
        <v>14.46050689358821</v>
      </c>
      <c r="C485" s="302">
        <v>47.279966773589578</v>
      </c>
      <c r="D485" s="302">
        <f>SUM(B485:C485)</f>
        <v>61.740473667177788</v>
      </c>
      <c r="E485" s="303"/>
      <c r="F485" s="302">
        <v>24.215371060463941</v>
      </c>
      <c r="G485" s="302">
        <v>70.629163675390132</v>
      </c>
      <c r="H485" s="302">
        <f>SUM(F485:G485)</f>
        <v>94.844534735854069</v>
      </c>
      <c r="I485" s="303"/>
      <c r="J485" s="302">
        <v>32.267071047474452</v>
      </c>
      <c r="K485" s="302">
        <v>79.489828154997383</v>
      </c>
      <c r="L485" s="302">
        <f>SUM(J485:K485)</f>
        <v>111.75689920247183</v>
      </c>
      <c r="M485" s="236"/>
      <c r="N485" s="236"/>
    </row>
    <row r="486" spans="1:14" x14ac:dyDescent="0.3">
      <c r="A486" s="237" t="str">
        <f>name!E$5</f>
        <v>Professional occupations</v>
      </c>
      <c r="B486" s="302">
        <v>14.902235065703604</v>
      </c>
      <c r="C486" s="302">
        <v>51.063613101103343</v>
      </c>
      <c r="D486" s="302">
        <f t="shared" ref="D486:D493" si="184">SUM(B486:C486)</f>
        <v>65.96584816680695</v>
      </c>
      <c r="E486" s="303"/>
      <c r="F486" s="302">
        <v>24.753166339777394</v>
      </c>
      <c r="G486" s="302">
        <v>79.894743874957285</v>
      </c>
      <c r="H486" s="302">
        <f t="shared" ref="H486:H493" si="185">SUM(F486:G486)</f>
        <v>104.64791021473468</v>
      </c>
      <c r="I486" s="303"/>
      <c r="J486" s="302">
        <v>35.841450340597788</v>
      </c>
      <c r="K486" s="302">
        <v>104.42558944694116</v>
      </c>
      <c r="L486" s="302">
        <f t="shared" ref="L486:L493" si="186">SUM(J486:K486)</f>
        <v>140.26703978753895</v>
      </c>
      <c r="M486" s="236"/>
      <c r="N486" s="236"/>
    </row>
    <row r="487" spans="1:14" x14ac:dyDescent="0.3">
      <c r="A487" s="237" t="str">
        <f>name!E$6</f>
        <v>Associate professional occupations</v>
      </c>
      <c r="B487" s="302">
        <v>13.77553260405297</v>
      </c>
      <c r="C487" s="302">
        <v>27.789151300805525</v>
      </c>
      <c r="D487" s="302">
        <f t="shared" si="184"/>
        <v>41.564683904858498</v>
      </c>
      <c r="E487" s="303"/>
      <c r="F487" s="302">
        <v>19.939271202594867</v>
      </c>
      <c r="G487" s="302">
        <v>41.579321364088088</v>
      </c>
      <c r="H487" s="302">
        <f t="shared" si="185"/>
        <v>61.518592566682955</v>
      </c>
      <c r="I487" s="303"/>
      <c r="J487" s="302">
        <v>25.422358479208409</v>
      </c>
      <c r="K487" s="302">
        <v>43.582280983919681</v>
      </c>
      <c r="L487" s="302">
        <f t="shared" si="186"/>
        <v>69.004639463128086</v>
      </c>
      <c r="M487" s="236"/>
      <c r="N487" s="236"/>
    </row>
    <row r="488" spans="1:14" x14ac:dyDescent="0.3">
      <c r="A488" s="237" t="str">
        <f>name!E$7</f>
        <v>Administrative and secretarial occupations</v>
      </c>
      <c r="B488" s="302">
        <v>53.812153724864004</v>
      </c>
      <c r="C488" s="302">
        <v>9.4017095178420931</v>
      </c>
      <c r="D488" s="302">
        <f t="shared" si="184"/>
        <v>63.213863242706097</v>
      </c>
      <c r="E488" s="303"/>
      <c r="F488" s="302">
        <v>61.837788915364278</v>
      </c>
      <c r="G488" s="302">
        <v>12.493528226455902</v>
      </c>
      <c r="H488" s="302">
        <f t="shared" si="185"/>
        <v>74.331317141820179</v>
      </c>
      <c r="I488" s="303"/>
      <c r="J488" s="302">
        <v>52.796412762666833</v>
      </c>
      <c r="K488" s="302">
        <v>14.54910155479695</v>
      </c>
      <c r="L488" s="302">
        <f t="shared" si="186"/>
        <v>67.345514317463781</v>
      </c>
      <c r="M488" s="236"/>
      <c r="N488" s="236"/>
    </row>
    <row r="489" spans="1:14" x14ac:dyDescent="0.3">
      <c r="A489" s="237" t="str">
        <f>name!E$8</f>
        <v>Skilled trades occupations</v>
      </c>
      <c r="B489" s="302">
        <v>6.1328386482442943</v>
      </c>
      <c r="C489" s="302">
        <v>310.342046603379</v>
      </c>
      <c r="D489" s="302">
        <f t="shared" si="184"/>
        <v>316.47488525162328</v>
      </c>
      <c r="E489" s="303"/>
      <c r="F489" s="302">
        <v>9.4652484951470761</v>
      </c>
      <c r="G489" s="302">
        <v>298.48574196728475</v>
      </c>
      <c r="H489" s="302">
        <f t="shared" si="185"/>
        <v>307.95099046243183</v>
      </c>
      <c r="I489" s="303"/>
      <c r="J489" s="302">
        <v>18.022630252280113</v>
      </c>
      <c r="K489" s="302">
        <v>312.876620340746</v>
      </c>
      <c r="L489" s="302">
        <f t="shared" si="186"/>
        <v>330.89925059302612</v>
      </c>
      <c r="M489" s="236"/>
      <c r="N489" s="236"/>
    </row>
    <row r="490" spans="1:14" x14ac:dyDescent="0.3">
      <c r="A490" s="237" t="str">
        <f>name!E$9</f>
        <v>Caring, leisure and other service occupations</v>
      </c>
      <c r="B490" s="302">
        <v>0.72593859237226122</v>
      </c>
      <c r="C490" s="302">
        <v>1.3020706397983897</v>
      </c>
      <c r="D490" s="302">
        <f t="shared" si="184"/>
        <v>2.0280092321706507</v>
      </c>
      <c r="E490" s="303"/>
      <c r="F490" s="302">
        <v>0.90204145437266015</v>
      </c>
      <c r="G490" s="302">
        <v>1.9884331993037223</v>
      </c>
      <c r="H490" s="302">
        <f t="shared" si="185"/>
        <v>2.8904746536763826</v>
      </c>
      <c r="I490" s="303"/>
      <c r="J490" s="302">
        <v>1.1755962878885671</v>
      </c>
      <c r="K490" s="302">
        <v>2.2641387282800225</v>
      </c>
      <c r="L490" s="302">
        <f t="shared" si="186"/>
        <v>3.4397350161685898</v>
      </c>
      <c r="M490" s="236"/>
      <c r="N490" s="236"/>
    </row>
    <row r="491" spans="1:14" x14ac:dyDescent="0.3">
      <c r="A491" s="237" t="str">
        <f>name!E$10</f>
        <v>Sales and customer service occupations</v>
      </c>
      <c r="B491" s="302">
        <v>7.4662943336920327</v>
      </c>
      <c r="C491" s="302">
        <v>5.4245656029143756</v>
      </c>
      <c r="D491" s="302">
        <f t="shared" si="184"/>
        <v>12.890859936606407</v>
      </c>
      <c r="E491" s="303"/>
      <c r="F491" s="302">
        <v>8.5181755757596349</v>
      </c>
      <c r="G491" s="302">
        <v>6.8532810453510704</v>
      </c>
      <c r="H491" s="302">
        <f t="shared" si="185"/>
        <v>15.371456621110706</v>
      </c>
      <c r="I491" s="303"/>
      <c r="J491" s="302">
        <v>10.254661114025865</v>
      </c>
      <c r="K491" s="302">
        <v>8.7893434582342049</v>
      </c>
      <c r="L491" s="302">
        <f t="shared" si="186"/>
        <v>19.044004572260071</v>
      </c>
      <c r="M491" s="236"/>
      <c r="N491" s="236"/>
    </row>
    <row r="492" spans="1:14" x14ac:dyDescent="0.3">
      <c r="A492" s="237" t="str">
        <f>name!E$11</f>
        <v>Process, plant and machine operatives</v>
      </c>
      <c r="B492" s="302">
        <v>1.0990469038058281</v>
      </c>
      <c r="C492" s="302">
        <v>51.345019540775567</v>
      </c>
      <c r="D492" s="302">
        <f t="shared" si="184"/>
        <v>52.444066444581395</v>
      </c>
      <c r="E492" s="303"/>
      <c r="F492" s="302">
        <v>1.1471015552104711</v>
      </c>
      <c r="G492" s="302">
        <v>54.604375768399592</v>
      </c>
      <c r="H492" s="302">
        <f t="shared" si="185"/>
        <v>55.751477323610061</v>
      </c>
      <c r="I492" s="303"/>
      <c r="J492" s="302">
        <v>1.706885250290713</v>
      </c>
      <c r="K492" s="302">
        <v>69.551211116284776</v>
      </c>
      <c r="L492" s="302">
        <f t="shared" si="186"/>
        <v>71.258096366575487</v>
      </c>
      <c r="M492" s="236"/>
      <c r="N492" s="236"/>
    </row>
    <row r="493" spans="1:14" x14ac:dyDescent="0.3">
      <c r="A493" s="237" t="str">
        <f>name!E$12</f>
        <v>Elementary occupations</v>
      </c>
      <c r="B493" s="302">
        <v>4.650453233640123</v>
      </c>
      <c r="C493" s="302">
        <v>34.434856914325344</v>
      </c>
      <c r="D493" s="302">
        <f t="shared" si="184"/>
        <v>39.085310147965465</v>
      </c>
      <c r="E493" s="303"/>
      <c r="F493" s="302">
        <v>3.7688354001531641</v>
      </c>
      <c r="G493" s="302">
        <v>35.869410869172938</v>
      </c>
      <c r="H493" s="302">
        <f t="shared" si="185"/>
        <v>39.638246269326103</v>
      </c>
      <c r="I493" s="303"/>
      <c r="J493" s="302">
        <v>3.3369344657980795</v>
      </c>
      <c r="K493" s="302">
        <v>37.980886198518981</v>
      </c>
      <c r="L493" s="302">
        <f t="shared" si="186"/>
        <v>41.317820664317061</v>
      </c>
      <c r="M493" s="236"/>
      <c r="N493" s="236"/>
    </row>
    <row r="494" spans="1:14" x14ac:dyDescent="0.3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  <c r="N494" s="236"/>
    </row>
    <row r="495" spans="1:14" x14ac:dyDescent="0.3">
      <c r="A495" s="244" t="s">
        <v>32</v>
      </c>
      <c r="B495" s="311">
        <f>SUM(B485:B493)</f>
        <v>117.02499999996331</v>
      </c>
      <c r="C495" s="311">
        <f t="shared" ref="C495:D495" si="187">SUM(C485:C493)</f>
        <v>538.38299999453329</v>
      </c>
      <c r="D495" s="311">
        <f t="shared" si="187"/>
        <v>655.40799999449655</v>
      </c>
      <c r="E495" s="311"/>
      <c r="F495" s="311">
        <f t="shared" ref="F495:H495" si="188">SUM(F485:F493)</f>
        <v>154.54699999884349</v>
      </c>
      <c r="G495" s="311">
        <f t="shared" si="188"/>
        <v>602.39799999040349</v>
      </c>
      <c r="H495" s="311">
        <f t="shared" si="188"/>
        <v>756.94499998924709</v>
      </c>
      <c r="I495" s="311"/>
      <c r="J495" s="311">
        <f t="shared" ref="J495:L495" si="189">SUM(J485:J493)</f>
        <v>180.82400000023082</v>
      </c>
      <c r="K495" s="311">
        <f t="shared" si="189"/>
        <v>673.50899998271916</v>
      </c>
      <c r="L495" s="311">
        <f t="shared" si="189"/>
        <v>854.33299998295001</v>
      </c>
      <c r="M495" s="236"/>
      <c r="N495" s="236"/>
    </row>
    <row r="496" spans="1:14" x14ac:dyDescent="0.3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  <c r="N496" s="236"/>
    </row>
    <row r="497" spans="1:14" x14ac:dyDescent="0.3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56" t="s">
        <v>35</v>
      </c>
      <c r="M497" s="236"/>
      <c r="N497" s="236"/>
    </row>
    <row r="498" spans="1:14" x14ac:dyDescent="0.3">
      <c r="A498" s="242"/>
      <c r="B498" s="250"/>
      <c r="C498" s="250"/>
      <c r="D498" s="250"/>
      <c r="E498" s="250"/>
      <c r="F498" s="250"/>
      <c r="G498" s="250"/>
      <c r="H498" s="250"/>
      <c r="I498" s="250"/>
      <c r="J498" s="250"/>
      <c r="K498" s="250"/>
      <c r="L498" s="236"/>
      <c r="M498" s="236"/>
      <c r="N498" s="236"/>
    </row>
    <row r="499" spans="1:14" x14ac:dyDescent="0.3">
      <c r="A499" s="241" t="str">
        <f>name!A32</f>
        <v>Civil engineering</v>
      </c>
      <c r="B499" s="373">
        <f>B$6</f>
        <v>2015</v>
      </c>
      <c r="C499" s="373"/>
      <c r="D499" s="373"/>
      <c r="E499" s="253"/>
      <c r="F499" s="373">
        <f>F482</f>
        <v>2020</v>
      </c>
      <c r="G499" s="373"/>
      <c r="H499" s="373"/>
      <c r="I499" s="253"/>
      <c r="J499" s="373">
        <f>J482</f>
        <v>2035</v>
      </c>
      <c r="K499" s="373"/>
      <c r="L499" s="373"/>
      <c r="M499" s="236"/>
      <c r="N499" s="236"/>
    </row>
    <row r="500" spans="1:14" x14ac:dyDescent="0.3">
      <c r="A500" s="254"/>
      <c r="B500" s="255" t="s">
        <v>352</v>
      </c>
      <c r="C500" s="255" t="s">
        <v>353</v>
      </c>
      <c r="D500" s="255" t="s">
        <v>32</v>
      </c>
      <c r="E500" s="255"/>
      <c r="F500" s="255" t="s">
        <v>352</v>
      </c>
      <c r="G500" s="255" t="s">
        <v>353</v>
      </c>
      <c r="H500" s="255" t="s">
        <v>32</v>
      </c>
      <c r="I500" s="255"/>
      <c r="J500" s="255" t="s">
        <v>352</v>
      </c>
      <c r="K500" s="255" t="s">
        <v>353</v>
      </c>
      <c r="L500" s="255" t="s">
        <v>32</v>
      </c>
      <c r="M500" s="236"/>
      <c r="N500" s="236"/>
    </row>
    <row r="501" spans="1:14" x14ac:dyDescent="0.3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  <c r="N501" s="236"/>
    </row>
    <row r="502" spans="1:14" x14ac:dyDescent="0.3">
      <c r="A502" s="237" t="str">
        <f>name!E$4</f>
        <v>Managers, directors and senior officials</v>
      </c>
      <c r="B502" s="302">
        <v>3.2130419592677391</v>
      </c>
      <c r="C502" s="302">
        <v>23.229345448580265</v>
      </c>
      <c r="D502" s="302">
        <f>SUM(B502:C502)</f>
        <v>26.442387407848003</v>
      </c>
      <c r="E502" s="303"/>
      <c r="F502" s="302">
        <v>4.3131547737962066</v>
      </c>
      <c r="G502" s="302">
        <v>32.684705933626134</v>
      </c>
      <c r="H502" s="302">
        <f>SUM(F502:G502)</f>
        <v>36.99786070742234</v>
      </c>
      <c r="I502" s="303"/>
      <c r="J502" s="302">
        <v>5.8428268617950936</v>
      </c>
      <c r="K502" s="302">
        <v>36.205932182469937</v>
      </c>
      <c r="L502" s="302">
        <f>SUM(J502:K502)</f>
        <v>42.048759044265033</v>
      </c>
      <c r="M502" s="236"/>
      <c r="N502" s="236"/>
    </row>
    <row r="503" spans="1:14" x14ac:dyDescent="0.3">
      <c r="A503" s="237" t="str">
        <f>name!E$5</f>
        <v>Professional occupations</v>
      </c>
      <c r="B503" s="302">
        <v>3.0901231083477971</v>
      </c>
      <c r="C503" s="302">
        <v>25.426443036398421</v>
      </c>
      <c r="D503" s="302">
        <f t="shared" ref="D503:D510" si="190">SUM(B503:C503)</f>
        <v>28.516566144746218</v>
      </c>
      <c r="E503" s="303"/>
      <c r="F503" s="302">
        <v>4.3326410544143652</v>
      </c>
      <c r="G503" s="302">
        <v>36.217789634482777</v>
      </c>
      <c r="H503" s="302">
        <f t="shared" ref="H503:H510" si="191">SUM(F503:G503)</f>
        <v>40.550430688897144</v>
      </c>
      <c r="I503" s="303"/>
      <c r="J503" s="302">
        <v>6.1024579945426192</v>
      </c>
      <c r="K503" s="302">
        <v>46.380547936771578</v>
      </c>
      <c r="L503" s="302">
        <f t="shared" ref="L503:L510" si="192">SUM(J503:K503)</f>
        <v>52.483005931314196</v>
      </c>
      <c r="M503" s="236"/>
      <c r="N503" s="236"/>
    </row>
    <row r="504" spans="1:14" x14ac:dyDescent="0.3">
      <c r="A504" s="237" t="str">
        <f>name!E$6</f>
        <v>Associate professional occupations</v>
      </c>
      <c r="B504" s="302">
        <v>3.0450254514483341</v>
      </c>
      <c r="C504" s="302">
        <v>13.830028368757954</v>
      </c>
      <c r="D504" s="302">
        <f t="shared" si="190"/>
        <v>16.87505382020629</v>
      </c>
      <c r="E504" s="303"/>
      <c r="F504" s="302">
        <v>3.7660461413240682</v>
      </c>
      <c r="G504" s="302">
        <v>19.205989950140129</v>
      </c>
      <c r="H504" s="302">
        <f t="shared" si="191"/>
        <v>22.972036091464197</v>
      </c>
      <c r="I504" s="303"/>
      <c r="J504" s="302">
        <v>4.6794688036717149</v>
      </c>
      <c r="K504" s="302">
        <v>19.855552371791912</v>
      </c>
      <c r="L504" s="302">
        <f t="shared" si="192"/>
        <v>24.535021175463626</v>
      </c>
      <c r="M504" s="236"/>
      <c r="N504" s="236"/>
    </row>
    <row r="505" spans="1:14" x14ac:dyDescent="0.3">
      <c r="A505" s="237" t="str">
        <f>name!E$7</f>
        <v>Administrative and secretarial occupations</v>
      </c>
      <c r="B505" s="302">
        <v>12.38178071322511</v>
      </c>
      <c r="C505" s="302">
        <v>4.5777448149501065</v>
      </c>
      <c r="D505" s="302">
        <f t="shared" si="190"/>
        <v>16.959525528175217</v>
      </c>
      <c r="E505" s="303"/>
      <c r="F505" s="302">
        <v>12.11953716932198</v>
      </c>
      <c r="G505" s="302">
        <v>5.720603961056554</v>
      </c>
      <c r="H505" s="302">
        <f t="shared" si="191"/>
        <v>17.840141130378534</v>
      </c>
      <c r="I505" s="303"/>
      <c r="J505" s="302">
        <v>10.687120605552062</v>
      </c>
      <c r="K505" s="302">
        <v>6.674573674107811</v>
      </c>
      <c r="L505" s="302">
        <f t="shared" si="192"/>
        <v>17.361694279659872</v>
      </c>
      <c r="M505" s="236"/>
      <c r="N505" s="236"/>
    </row>
    <row r="506" spans="1:14" x14ac:dyDescent="0.3">
      <c r="A506" s="237" t="str">
        <f>name!E$8</f>
        <v>Skilled trades occupations</v>
      </c>
      <c r="B506" s="302">
        <v>1.3212702189172296</v>
      </c>
      <c r="C506" s="302">
        <v>158.93920443969873</v>
      </c>
      <c r="D506" s="302">
        <f t="shared" si="190"/>
        <v>160.26047465861595</v>
      </c>
      <c r="E506" s="303"/>
      <c r="F506" s="302">
        <v>1.1146718840222223</v>
      </c>
      <c r="G506" s="302">
        <v>141.47039529673239</v>
      </c>
      <c r="H506" s="302">
        <f t="shared" si="191"/>
        <v>142.58506718075461</v>
      </c>
      <c r="I506" s="303"/>
      <c r="J506" s="302">
        <v>2.4286342993880643</v>
      </c>
      <c r="K506" s="302">
        <v>144.77392108888617</v>
      </c>
      <c r="L506" s="302">
        <f t="shared" si="192"/>
        <v>147.20255538827422</v>
      </c>
      <c r="M506" s="236"/>
      <c r="N506" s="236"/>
    </row>
    <row r="507" spans="1:14" x14ac:dyDescent="0.3">
      <c r="A507" s="237" t="str">
        <f>name!E$9</f>
        <v>Caring, leisure and other service occupations</v>
      </c>
      <c r="B507" s="302">
        <v>0.16292008938330552</v>
      </c>
      <c r="C507" s="302">
        <v>0.60216117423703097</v>
      </c>
      <c r="D507" s="302">
        <f t="shared" si="190"/>
        <v>0.76508126362033646</v>
      </c>
      <c r="E507" s="303"/>
      <c r="F507" s="302">
        <v>0.15296927391831033</v>
      </c>
      <c r="G507" s="302">
        <v>0.82834038704987079</v>
      </c>
      <c r="H507" s="302">
        <f t="shared" si="191"/>
        <v>0.98130966096818106</v>
      </c>
      <c r="I507" s="303"/>
      <c r="J507" s="302">
        <v>0.19495180483702546</v>
      </c>
      <c r="K507" s="302">
        <v>0.95594696435262216</v>
      </c>
      <c r="L507" s="302">
        <f t="shared" si="192"/>
        <v>1.1508987691896477</v>
      </c>
      <c r="M507" s="236"/>
      <c r="N507" s="236"/>
    </row>
    <row r="508" spans="1:14" x14ac:dyDescent="0.3">
      <c r="A508" s="237" t="str">
        <f>name!E$10</f>
        <v>Sales and customer service occupations</v>
      </c>
      <c r="B508" s="302">
        <v>1.802116022572652</v>
      </c>
      <c r="C508" s="302">
        <v>2.640607356507541</v>
      </c>
      <c r="D508" s="302">
        <f t="shared" si="190"/>
        <v>4.442723379080193</v>
      </c>
      <c r="E508" s="303"/>
      <c r="F508" s="302">
        <v>1.8506449048179006</v>
      </c>
      <c r="G508" s="302">
        <v>3.2111799379711732</v>
      </c>
      <c r="H508" s="302">
        <f t="shared" si="191"/>
        <v>5.0618248427890737</v>
      </c>
      <c r="I508" s="303"/>
      <c r="J508" s="302">
        <v>2.138044596930738</v>
      </c>
      <c r="K508" s="302">
        <v>4.0261991556985617</v>
      </c>
      <c r="L508" s="302">
        <f t="shared" si="192"/>
        <v>6.1642437526293001</v>
      </c>
      <c r="M508" s="236"/>
      <c r="N508" s="236"/>
    </row>
    <row r="509" spans="1:14" x14ac:dyDescent="0.3">
      <c r="A509" s="237" t="str">
        <f>name!E$11</f>
        <v>Process, plant and machine operatives</v>
      </c>
      <c r="B509" s="302">
        <v>0.25054680180376748</v>
      </c>
      <c r="C509" s="302">
        <v>25.919694145219523</v>
      </c>
      <c r="D509" s="302">
        <f t="shared" si="190"/>
        <v>26.170240947023292</v>
      </c>
      <c r="E509" s="303"/>
      <c r="F509" s="302">
        <v>0.20300549215286934</v>
      </c>
      <c r="G509" s="302">
        <v>25.771877868558672</v>
      </c>
      <c r="H509" s="302">
        <f t="shared" si="191"/>
        <v>25.974883360711541</v>
      </c>
      <c r="I509" s="303"/>
      <c r="J509" s="302">
        <v>0.30769183863616489</v>
      </c>
      <c r="K509" s="302">
        <v>32.445535506312396</v>
      </c>
      <c r="L509" s="302">
        <f t="shared" si="192"/>
        <v>32.753227344948563</v>
      </c>
      <c r="M509" s="236"/>
      <c r="N509" s="236"/>
    </row>
    <row r="510" spans="1:14" x14ac:dyDescent="0.3">
      <c r="A510" s="237" t="str">
        <f>name!E$12</f>
        <v>Elementary occupations</v>
      </c>
      <c r="B510" s="302">
        <v>1.1741756350564065</v>
      </c>
      <c r="C510" s="302">
        <v>16.592771212662868</v>
      </c>
      <c r="D510" s="302">
        <f t="shared" si="190"/>
        <v>17.766946847719275</v>
      </c>
      <c r="E510" s="303"/>
      <c r="F510" s="302">
        <v>0.8803293060811096</v>
      </c>
      <c r="G510" s="302">
        <v>16.197117026385477</v>
      </c>
      <c r="H510" s="302">
        <f t="shared" si="191"/>
        <v>17.077446332466586</v>
      </c>
      <c r="I510" s="303"/>
      <c r="J510" s="302">
        <v>0.81180319472132623</v>
      </c>
      <c r="K510" s="302">
        <v>17.25679111231554</v>
      </c>
      <c r="L510" s="302">
        <f t="shared" si="192"/>
        <v>18.068594307036864</v>
      </c>
      <c r="M510" s="236"/>
      <c r="N510" s="236"/>
    </row>
    <row r="511" spans="1:14" x14ac:dyDescent="0.3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  <c r="N511" s="236"/>
    </row>
    <row r="512" spans="1:14" x14ac:dyDescent="0.3">
      <c r="A512" s="244" t="s">
        <v>32</v>
      </c>
      <c r="B512" s="311">
        <f>SUM(B502:B510)</f>
        <v>26.441000000022346</v>
      </c>
      <c r="C512" s="311">
        <f t="shared" ref="C512:D512" si="193">SUM(C502:C510)</f>
        <v>271.7579999970124</v>
      </c>
      <c r="D512" s="311">
        <f t="shared" si="193"/>
        <v>298.19899999703483</v>
      </c>
      <c r="E512" s="311"/>
      <c r="F512" s="311">
        <f t="shared" ref="F512:H512" si="194">SUM(F502:F510)</f>
        <v>28.732999999849032</v>
      </c>
      <c r="G512" s="311">
        <f t="shared" si="194"/>
        <v>281.30799999600316</v>
      </c>
      <c r="H512" s="311">
        <f t="shared" si="194"/>
        <v>310.04099999585219</v>
      </c>
      <c r="I512" s="311"/>
      <c r="J512" s="311">
        <f t="shared" ref="J512:L512" si="195">SUM(J502:J510)</f>
        <v>33.193000000074818</v>
      </c>
      <c r="K512" s="311">
        <f t="shared" si="195"/>
        <v>308.57499999270658</v>
      </c>
      <c r="L512" s="311">
        <f t="shared" si="195"/>
        <v>341.76799999278137</v>
      </c>
      <c r="M512" s="236"/>
      <c r="N512" s="236"/>
    </row>
    <row r="513" spans="1:14" x14ac:dyDescent="0.3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  <c r="N513" s="236"/>
    </row>
    <row r="514" spans="1:14" x14ac:dyDescent="0.3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56" t="s">
        <v>35</v>
      </c>
      <c r="M514" s="236"/>
      <c r="N514" s="236"/>
    </row>
    <row r="515" spans="1:14" x14ac:dyDescent="0.3">
      <c r="A515" s="242"/>
      <c r="B515" s="250"/>
      <c r="C515" s="250"/>
      <c r="D515" s="250"/>
      <c r="E515" s="250"/>
      <c r="F515" s="250"/>
      <c r="G515" s="250"/>
      <c r="H515" s="250"/>
      <c r="I515" s="250"/>
      <c r="J515" s="250"/>
      <c r="K515" s="250"/>
      <c r="L515" s="236"/>
      <c r="M515" s="236"/>
      <c r="N515" s="236"/>
    </row>
    <row r="516" spans="1:14" x14ac:dyDescent="0.3">
      <c r="A516" s="241" t="str">
        <f>name!A33</f>
        <v>Specialised construction</v>
      </c>
      <c r="B516" s="373">
        <f>B$6</f>
        <v>2015</v>
      </c>
      <c r="C516" s="373"/>
      <c r="D516" s="373"/>
      <c r="E516" s="253"/>
      <c r="F516" s="373">
        <f>F499</f>
        <v>2020</v>
      </c>
      <c r="G516" s="373"/>
      <c r="H516" s="373"/>
      <c r="I516" s="253"/>
      <c r="J516" s="373">
        <f>J499</f>
        <v>2035</v>
      </c>
      <c r="K516" s="373"/>
      <c r="L516" s="373"/>
      <c r="M516" s="236"/>
      <c r="N516" s="236"/>
    </row>
    <row r="517" spans="1:14" x14ac:dyDescent="0.3">
      <c r="A517" s="254"/>
      <c r="B517" s="255" t="s">
        <v>352</v>
      </c>
      <c r="C517" s="255" t="s">
        <v>353</v>
      </c>
      <c r="D517" s="255" t="s">
        <v>32</v>
      </c>
      <c r="E517" s="255"/>
      <c r="F517" s="255" t="s">
        <v>352</v>
      </c>
      <c r="G517" s="255" t="s">
        <v>353</v>
      </c>
      <c r="H517" s="255" t="s">
        <v>32</v>
      </c>
      <c r="I517" s="255"/>
      <c r="J517" s="255" t="s">
        <v>352</v>
      </c>
      <c r="K517" s="255" t="s">
        <v>353</v>
      </c>
      <c r="L517" s="255" t="s">
        <v>32</v>
      </c>
      <c r="M517" s="236"/>
      <c r="N517" s="236"/>
    </row>
    <row r="518" spans="1:14" x14ac:dyDescent="0.3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  <c r="N518" s="236"/>
    </row>
    <row r="519" spans="1:14" x14ac:dyDescent="0.3">
      <c r="A519" s="237" t="str">
        <f>name!E$4</f>
        <v>Managers, directors and senior officials</v>
      </c>
      <c r="B519" s="302">
        <v>17.496636725389674</v>
      </c>
      <c r="C519" s="302">
        <v>88.868539316417198</v>
      </c>
      <c r="D519" s="302">
        <f>SUM(B519:C519)</f>
        <v>106.36517604180688</v>
      </c>
      <c r="E519" s="303"/>
      <c r="F519" s="302">
        <v>25.264346452681227</v>
      </c>
      <c r="G519" s="302">
        <v>123.88822730419598</v>
      </c>
      <c r="H519" s="302">
        <f>SUM(F519:G519)</f>
        <v>149.15257375687722</v>
      </c>
      <c r="I519" s="303"/>
      <c r="J519" s="302">
        <v>32.916079873393009</v>
      </c>
      <c r="K519" s="302">
        <v>137.7495519097142</v>
      </c>
      <c r="L519" s="302">
        <f>SUM(J519:K519)</f>
        <v>170.66563178310722</v>
      </c>
      <c r="M519" s="236"/>
      <c r="N519" s="236"/>
    </row>
    <row r="520" spans="1:14" x14ac:dyDescent="0.3">
      <c r="A520" s="237" t="str">
        <f>name!E$5</f>
        <v>Professional occupations</v>
      </c>
      <c r="B520" s="302">
        <v>16.347532090294873</v>
      </c>
      <c r="C520" s="302">
        <v>97.872936519156625</v>
      </c>
      <c r="D520" s="302">
        <f t="shared" ref="D520:D527" si="196">SUM(B520:C520)</f>
        <v>114.2204686094515</v>
      </c>
      <c r="E520" s="303"/>
      <c r="F520" s="302">
        <v>23.793744807182254</v>
      </c>
      <c r="G520" s="302">
        <v>139.44217840266984</v>
      </c>
      <c r="H520" s="302">
        <f t="shared" ref="H520:H527" si="197">SUM(F520:G520)</f>
        <v>163.2359232098521</v>
      </c>
      <c r="I520" s="303"/>
      <c r="J520" s="302">
        <v>33.236258949639279</v>
      </c>
      <c r="K520" s="302">
        <v>178.19103509043461</v>
      </c>
      <c r="L520" s="302">
        <f t="shared" ref="L520:L527" si="198">SUM(J520:K520)</f>
        <v>211.42729404007389</v>
      </c>
      <c r="M520" s="236"/>
      <c r="N520" s="236"/>
    </row>
    <row r="521" spans="1:14" x14ac:dyDescent="0.3">
      <c r="A521" s="237" t="str">
        <f>name!E$6</f>
        <v>Associate professional occupations</v>
      </c>
      <c r="B521" s="302">
        <v>16.381793825215514</v>
      </c>
      <c r="C521" s="302">
        <v>52.556541906104258</v>
      </c>
      <c r="D521" s="302">
        <f t="shared" si="196"/>
        <v>68.938335731319768</v>
      </c>
      <c r="E521" s="303"/>
      <c r="F521" s="302">
        <v>21.099269834027837</v>
      </c>
      <c r="G521" s="302">
        <v>72.259350208537043</v>
      </c>
      <c r="H521" s="302">
        <f t="shared" si="197"/>
        <v>93.35862004256488</v>
      </c>
      <c r="I521" s="303"/>
      <c r="J521" s="302">
        <v>26.104570847964212</v>
      </c>
      <c r="K521" s="302">
        <v>74.630849735068708</v>
      </c>
      <c r="L521" s="302">
        <f t="shared" si="198"/>
        <v>100.73542058303292</v>
      </c>
      <c r="M521" s="236"/>
      <c r="N521" s="236"/>
    </row>
    <row r="522" spans="1:14" x14ac:dyDescent="0.3">
      <c r="A522" s="237" t="str">
        <f>name!E$7</f>
        <v>Administrative and secretarial occupations</v>
      </c>
      <c r="B522" s="302">
        <v>72.28664359411701</v>
      </c>
      <c r="C522" s="302">
        <v>17.871314283930452</v>
      </c>
      <c r="D522" s="302">
        <f t="shared" si="196"/>
        <v>90.157957878047455</v>
      </c>
      <c r="E522" s="303"/>
      <c r="F522" s="302">
        <v>77.040996341662279</v>
      </c>
      <c r="G522" s="302">
        <v>23.653220083642616</v>
      </c>
      <c r="H522" s="302">
        <f t="shared" si="197"/>
        <v>100.69421642530489</v>
      </c>
      <c r="I522" s="303"/>
      <c r="J522" s="302">
        <v>71.655889453001762</v>
      </c>
      <c r="K522" s="302">
        <v>27.626752435115282</v>
      </c>
      <c r="L522" s="302">
        <f t="shared" si="198"/>
        <v>99.282641888117041</v>
      </c>
      <c r="M522" s="236"/>
      <c r="N522" s="236"/>
    </row>
    <row r="523" spans="1:14" x14ac:dyDescent="0.3">
      <c r="A523" s="237" t="str">
        <f>name!E$8</f>
        <v>Skilled trades occupations</v>
      </c>
      <c r="B523" s="302">
        <v>6.4708706923085266</v>
      </c>
      <c r="C523" s="302">
        <v>586.22555303849549</v>
      </c>
      <c r="D523" s="302">
        <f t="shared" si="196"/>
        <v>592.69642373080399</v>
      </c>
      <c r="E523" s="303"/>
      <c r="F523" s="302">
        <v>7.1599717719960427</v>
      </c>
      <c r="G523" s="302">
        <v>538.14538686784795</v>
      </c>
      <c r="H523" s="302">
        <f t="shared" si="197"/>
        <v>545.30535863984403</v>
      </c>
      <c r="I523" s="303"/>
      <c r="J523" s="302">
        <v>13.845193741127421</v>
      </c>
      <c r="K523" s="302">
        <v>554.1916414054665</v>
      </c>
      <c r="L523" s="302">
        <f t="shared" si="198"/>
        <v>568.03683514659394</v>
      </c>
      <c r="M523" s="236"/>
      <c r="N523" s="236"/>
    </row>
    <row r="524" spans="1:14" x14ac:dyDescent="0.3">
      <c r="A524" s="237" t="str">
        <f>name!E$9</f>
        <v>Caring, leisure and other service occupations</v>
      </c>
      <c r="B524" s="302">
        <v>0.91120226315148567</v>
      </c>
      <c r="C524" s="302">
        <v>2.2619819070875855</v>
      </c>
      <c r="D524" s="302">
        <f t="shared" si="196"/>
        <v>3.1731841702390713</v>
      </c>
      <c r="E524" s="303"/>
      <c r="F524" s="302">
        <v>0.92644144166206432</v>
      </c>
      <c r="G524" s="302">
        <v>3.3601767183793609</v>
      </c>
      <c r="H524" s="302">
        <f t="shared" si="197"/>
        <v>4.2866181600414253</v>
      </c>
      <c r="I524" s="303"/>
      <c r="J524" s="302">
        <v>1.0906038067539106</v>
      </c>
      <c r="K524" s="302">
        <v>3.8383038375652152</v>
      </c>
      <c r="L524" s="302">
        <f t="shared" si="198"/>
        <v>4.9289076443191258</v>
      </c>
      <c r="M524" s="236"/>
      <c r="N524" s="236"/>
    </row>
    <row r="525" spans="1:14" x14ac:dyDescent="0.3">
      <c r="A525" s="237" t="str">
        <f>name!E$10</f>
        <v>Sales and customer service occupations</v>
      </c>
      <c r="B525" s="302">
        <v>10.166846905369241</v>
      </c>
      <c r="C525" s="302">
        <v>10.332723170894246</v>
      </c>
      <c r="D525" s="302">
        <f t="shared" si="196"/>
        <v>20.499570076263488</v>
      </c>
      <c r="E525" s="303"/>
      <c r="F525" s="302">
        <v>11.42201076511755</v>
      </c>
      <c r="G525" s="302">
        <v>12.551481658859354</v>
      </c>
      <c r="H525" s="302">
        <f t="shared" si="197"/>
        <v>23.973492423976904</v>
      </c>
      <c r="I525" s="303"/>
      <c r="J525" s="302">
        <v>13.319886305751089</v>
      </c>
      <c r="K525" s="302">
        <v>15.940303708730729</v>
      </c>
      <c r="L525" s="302">
        <f t="shared" si="198"/>
        <v>29.260190014481818</v>
      </c>
      <c r="M525" s="236"/>
      <c r="N525" s="236"/>
    </row>
    <row r="526" spans="1:14" x14ac:dyDescent="0.3">
      <c r="A526" s="237" t="str">
        <f>name!E$11</f>
        <v>Process, plant and machine operatives</v>
      </c>
      <c r="B526" s="302">
        <v>1.2794702507375695</v>
      </c>
      <c r="C526" s="302">
        <v>99.206090463883271</v>
      </c>
      <c r="D526" s="302">
        <f t="shared" si="196"/>
        <v>100.48556071462085</v>
      </c>
      <c r="E526" s="303"/>
      <c r="F526" s="302">
        <v>1.1267787288491438</v>
      </c>
      <c r="G526" s="302">
        <v>99.355162792649423</v>
      </c>
      <c r="H526" s="302">
        <f t="shared" si="197"/>
        <v>100.48194152149857</v>
      </c>
      <c r="I526" s="303"/>
      <c r="J526" s="302">
        <v>1.7035242079262394</v>
      </c>
      <c r="K526" s="302">
        <v>126.05743136088006</v>
      </c>
      <c r="L526" s="302">
        <f t="shared" si="198"/>
        <v>127.7609555688063</v>
      </c>
      <c r="M526" s="236"/>
      <c r="N526" s="236"/>
    </row>
    <row r="527" spans="1:14" x14ac:dyDescent="0.3">
      <c r="A527" s="237" t="str">
        <f>name!E$12</f>
        <v>Elementary occupations</v>
      </c>
      <c r="B527" s="302">
        <v>7.2310036536319764</v>
      </c>
      <c r="C527" s="302">
        <v>64.535319381921255</v>
      </c>
      <c r="D527" s="302">
        <f t="shared" si="196"/>
        <v>71.766323035553228</v>
      </c>
      <c r="E527" s="303"/>
      <c r="F527" s="302">
        <v>6.0784398561707071</v>
      </c>
      <c r="G527" s="302">
        <v>65.443815946613043</v>
      </c>
      <c r="H527" s="302">
        <f t="shared" si="197"/>
        <v>71.522255802783747</v>
      </c>
      <c r="I527" s="303"/>
      <c r="J527" s="302">
        <v>5.2589928144600577</v>
      </c>
      <c r="K527" s="302">
        <v>69.595130487353629</v>
      </c>
      <c r="L527" s="302">
        <f t="shared" si="198"/>
        <v>74.854123301813686</v>
      </c>
      <c r="M527" s="236"/>
      <c r="N527" s="236"/>
    </row>
    <row r="528" spans="1:14" x14ac:dyDescent="0.3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  <c r="N528" s="236"/>
    </row>
    <row r="529" spans="1:14" x14ac:dyDescent="0.3">
      <c r="A529" s="244" t="s">
        <v>32</v>
      </c>
      <c r="B529" s="311">
        <f>SUM(B519:B527)</f>
        <v>148.57200000021587</v>
      </c>
      <c r="C529" s="311">
        <f t="shared" ref="C529:D529" si="199">SUM(C519:C527)</f>
        <v>1019.7309999878904</v>
      </c>
      <c r="D529" s="311">
        <f t="shared" si="199"/>
        <v>1168.302999988106</v>
      </c>
      <c r="E529" s="311"/>
      <c r="F529" s="311">
        <f t="shared" ref="F529:H529" si="200">SUM(F519:F527)</f>
        <v>173.91199999934912</v>
      </c>
      <c r="G529" s="311">
        <f t="shared" si="200"/>
        <v>1078.0989999833946</v>
      </c>
      <c r="H529" s="311">
        <f t="shared" si="200"/>
        <v>1252.0109999827439</v>
      </c>
      <c r="I529" s="311"/>
      <c r="J529" s="311">
        <f t="shared" ref="J529:L529" si="201">SUM(J519:J527)</f>
        <v>199.13100000001697</v>
      </c>
      <c r="K529" s="311">
        <f t="shared" si="201"/>
        <v>1187.820999970329</v>
      </c>
      <c r="L529" s="311">
        <f t="shared" si="201"/>
        <v>1386.9519999703462</v>
      </c>
      <c r="M529" s="236"/>
      <c r="N529" s="236"/>
    </row>
    <row r="530" spans="1:14" x14ac:dyDescent="0.3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  <c r="N530" s="236"/>
    </row>
    <row r="531" spans="1:14" x14ac:dyDescent="0.3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56" t="s">
        <v>35</v>
      </c>
      <c r="M531" s="236"/>
      <c r="N531" s="236"/>
    </row>
    <row r="532" spans="1:14" x14ac:dyDescent="0.3">
      <c r="A532" s="242"/>
      <c r="B532" s="250"/>
      <c r="C532" s="250"/>
      <c r="D532" s="250"/>
      <c r="E532" s="250"/>
      <c r="F532" s="250"/>
      <c r="G532" s="250"/>
      <c r="H532" s="250"/>
      <c r="I532" s="250"/>
      <c r="J532" s="250"/>
      <c r="K532" s="250"/>
      <c r="L532" s="236"/>
      <c r="M532" s="236"/>
      <c r="N532" s="236"/>
    </row>
    <row r="533" spans="1:14" x14ac:dyDescent="0.3">
      <c r="A533" s="241" t="str">
        <f>name!A34</f>
        <v>Motor vehicle trade</v>
      </c>
      <c r="B533" s="373">
        <f>B$6</f>
        <v>2015</v>
      </c>
      <c r="C533" s="373"/>
      <c r="D533" s="373"/>
      <c r="E533" s="253"/>
      <c r="F533" s="373">
        <f>F516</f>
        <v>2020</v>
      </c>
      <c r="G533" s="373"/>
      <c r="H533" s="373"/>
      <c r="I533" s="253"/>
      <c r="J533" s="373">
        <f>J516</f>
        <v>2035</v>
      </c>
      <c r="K533" s="373"/>
      <c r="L533" s="373"/>
      <c r="M533" s="236"/>
      <c r="N533" s="236"/>
    </row>
    <row r="534" spans="1:14" x14ac:dyDescent="0.3">
      <c r="A534" s="254"/>
      <c r="B534" s="255" t="s">
        <v>352</v>
      </c>
      <c r="C534" s="255" t="s">
        <v>353</v>
      </c>
      <c r="D534" s="255" t="s">
        <v>32</v>
      </c>
      <c r="E534" s="255"/>
      <c r="F534" s="255" t="s">
        <v>352</v>
      </c>
      <c r="G534" s="255" t="s">
        <v>353</v>
      </c>
      <c r="H534" s="255" t="s">
        <v>32</v>
      </c>
      <c r="I534" s="255"/>
      <c r="J534" s="255" t="s">
        <v>352</v>
      </c>
      <c r="K534" s="255" t="s">
        <v>353</v>
      </c>
      <c r="L534" s="255" t="s">
        <v>32</v>
      </c>
      <c r="M534" s="236"/>
      <c r="N534" s="236"/>
    </row>
    <row r="535" spans="1:14" x14ac:dyDescent="0.3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  <c r="N535" s="236"/>
    </row>
    <row r="536" spans="1:14" x14ac:dyDescent="0.3">
      <c r="A536" s="237" t="str">
        <f>name!E$4</f>
        <v>Managers, directors and senior officials</v>
      </c>
      <c r="B536" s="302">
        <v>6.4577454355269621</v>
      </c>
      <c r="C536" s="302">
        <v>56.475194249194345</v>
      </c>
      <c r="D536" s="302">
        <f>SUM(B536:C536)</f>
        <v>62.932939684721305</v>
      </c>
      <c r="E536" s="303"/>
      <c r="F536" s="302">
        <v>9.6082484814082463</v>
      </c>
      <c r="G536" s="302">
        <v>68.537819644116169</v>
      </c>
      <c r="H536" s="302">
        <f>SUM(F536:G536)</f>
        <v>78.146068125524408</v>
      </c>
      <c r="I536" s="303"/>
      <c r="J536" s="302">
        <v>12.443991587490068</v>
      </c>
      <c r="K536" s="302">
        <v>83.516283551983534</v>
      </c>
      <c r="L536" s="302">
        <f>SUM(J536:K536)</f>
        <v>95.960275139473595</v>
      </c>
      <c r="M536" s="236"/>
      <c r="N536" s="236"/>
    </row>
    <row r="537" spans="1:14" x14ac:dyDescent="0.3">
      <c r="A537" s="237" t="str">
        <f>name!E$5</f>
        <v>Professional occupations</v>
      </c>
      <c r="B537" s="302">
        <v>5.2701456769690607</v>
      </c>
      <c r="C537" s="302">
        <v>21.915376348858654</v>
      </c>
      <c r="D537" s="302">
        <f t="shared" ref="D537:D544" si="202">SUM(B537:C537)</f>
        <v>27.185522025827716</v>
      </c>
      <c r="E537" s="303"/>
      <c r="F537" s="302">
        <v>8.2120755890137414</v>
      </c>
      <c r="G537" s="302">
        <v>31.291953779164551</v>
      </c>
      <c r="H537" s="302">
        <f t="shared" ref="H537:H544" si="203">SUM(F537:G537)</f>
        <v>39.504029368178294</v>
      </c>
      <c r="I537" s="303"/>
      <c r="J537" s="302">
        <v>10.828101155559978</v>
      </c>
      <c r="K537" s="302">
        <v>41.407379721949624</v>
      </c>
      <c r="L537" s="302">
        <f t="shared" ref="L537:L544" si="204">SUM(J537:K537)</f>
        <v>52.235480877509602</v>
      </c>
      <c r="M537" s="236"/>
      <c r="N537" s="236"/>
    </row>
    <row r="538" spans="1:14" x14ac:dyDescent="0.3">
      <c r="A538" s="237" t="str">
        <f>name!E$6</f>
        <v>Associate professional occupations</v>
      </c>
      <c r="B538" s="302">
        <v>8.5940606560108961</v>
      </c>
      <c r="C538" s="302">
        <v>28.170543557770195</v>
      </c>
      <c r="D538" s="302">
        <f t="shared" si="202"/>
        <v>36.764604213781091</v>
      </c>
      <c r="E538" s="303"/>
      <c r="F538" s="302">
        <v>11.301533203092859</v>
      </c>
      <c r="G538" s="302">
        <v>35.939104584811524</v>
      </c>
      <c r="H538" s="302">
        <f t="shared" si="203"/>
        <v>47.240637787904383</v>
      </c>
      <c r="I538" s="303"/>
      <c r="J538" s="302">
        <v>13.259434087755407</v>
      </c>
      <c r="K538" s="302">
        <v>38.468486035990026</v>
      </c>
      <c r="L538" s="302">
        <f t="shared" si="204"/>
        <v>51.727920123745434</v>
      </c>
      <c r="M538" s="236"/>
      <c r="N538" s="236"/>
    </row>
    <row r="539" spans="1:14" x14ac:dyDescent="0.3">
      <c r="A539" s="237" t="str">
        <f>name!E$7</f>
        <v>Administrative and secretarial occupations</v>
      </c>
      <c r="B539" s="302">
        <v>35.624587217393646</v>
      </c>
      <c r="C539" s="302">
        <v>30.58723909592986</v>
      </c>
      <c r="D539" s="302">
        <f t="shared" si="202"/>
        <v>66.211826313323513</v>
      </c>
      <c r="E539" s="303"/>
      <c r="F539" s="302">
        <v>39.095344344713098</v>
      </c>
      <c r="G539" s="302">
        <v>36.378180330302655</v>
      </c>
      <c r="H539" s="302">
        <f t="shared" si="203"/>
        <v>75.473524675015753</v>
      </c>
      <c r="I539" s="303"/>
      <c r="J539" s="302">
        <v>30.766096266861844</v>
      </c>
      <c r="K539" s="302">
        <v>46.238905648121481</v>
      </c>
      <c r="L539" s="302">
        <f t="shared" si="204"/>
        <v>77.005001914983325</v>
      </c>
      <c r="M539" s="236"/>
      <c r="N539" s="236"/>
    </row>
    <row r="540" spans="1:14" x14ac:dyDescent="0.3">
      <c r="A540" s="237" t="str">
        <f>name!E$8</f>
        <v>Skilled trades occupations</v>
      </c>
      <c r="B540" s="302">
        <v>2.3784528568569541</v>
      </c>
      <c r="C540" s="302">
        <v>213.44732791041224</v>
      </c>
      <c r="D540" s="302">
        <f t="shared" si="202"/>
        <v>215.82578076726921</v>
      </c>
      <c r="E540" s="303"/>
      <c r="F540" s="302">
        <v>3.0998860921443145</v>
      </c>
      <c r="G540" s="302">
        <v>194.26601540174471</v>
      </c>
      <c r="H540" s="302">
        <f t="shared" si="203"/>
        <v>197.36590149388903</v>
      </c>
      <c r="I540" s="303"/>
      <c r="J540" s="302">
        <v>4.2205259820616439</v>
      </c>
      <c r="K540" s="302">
        <v>183.52799904433073</v>
      </c>
      <c r="L540" s="302">
        <f t="shared" si="204"/>
        <v>187.74852502639237</v>
      </c>
      <c r="M540" s="236"/>
      <c r="N540" s="236"/>
    </row>
    <row r="541" spans="1:14" x14ac:dyDescent="0.3">
      <c r="A541" s="237" t="str">
        <f>name!E$9</f>
        <v>Caring, leisure and other service occupations</v>
      </c>
      <c r="B541" s="302">
        <v>13.933530058141399</v>
      </c>
      <c r="C541" s="302">
        <v>1.7288303703597216</v>
      </c>
      <c r="D541" s="302">
        <f t="shared" si="202"/>
        <v>15.66236042850112</v>
      </c>
      <c r="E541" s="303"/>
      <c r="F541" s="302">
        <v>15.370174176702159</v>
      </c>
      <c r="G541" s="302">
        <v>2.0943920537043228</v>
      </c>
      <c r="H541" s="302">
        <f t="shared" si="203"/>
        <v>17.464566230406483</v>
      </c>
      <c r="I541" s="303"/>
      <c r="J541" s="302">
        <v>22.314799790389692</v>
      </c>
      <c r="K541" s="302">
        <v>2.9613926864224038</v>
      </c>
      <c r="L541" s="302">
        <f t="shared" si="204"/>
        <v>25.276192476812096</v>
      </c>
      <c r="M541" s="236"/>
      <c r="N541" s="236"/>
    </row>
    <row r="542" spans="1:14" x14ac:dyDescent="0.3">
      <c r="A542" s="237" t="str">
        <f>name!E$10</f>
        <v>Sales and customer service occupations</v>
      </c>
      <c r="B542" s="302">
        <v>25.725015744524317</v>
      </c>
      <c r="C542" s="302">
        <v>69.165240635156366</v>
      </c>
      <c r="D542" s="302">
        <f t="shared" si="202"/>
        <v>94.890256379680679</v>
      </c>
      <c r="E542" s="303"/>
      <c r="F542" s="302">
        <v>26.225791134991614</v>
      </c>
      <c r="G542" s="302">
        <v>72.826462558720053</v>
      </c>
      <c r="H542" s="302">
        <f t="shared" si="203"/>
        <v>99.052253693711663</v>
      </c>
      <c r="I542" s="303"/>
      <c r="J542" s="302">
        <v>23.692631930564293</v>
      </c>
      <c r="K542" s="302">
        <v>74.984945626691299</v>
      </c>
      <c r="L542" s="302">
        <f t="shared" si="204"/>
        <v>98.677577557255589</v>
      </c>
      <c r="M542" s="236"/>
      <c r="N542" s="236"/>
    </row>
    <row r="543" spans="1:14" x14ac:dyDescent="0.3">
      <c r="A543" s="237" t="str">
        <f>name!E$11</f>
        <v>Process, plant and machine operatives</v>
      </c>
      <c r="B543" s="302">
        <v>3.8202852434381787</v>
      </c>
      <c r="C543" s="302">
        <v>37.308385136866278</v>
      </c>
      <c r="D543" s="302">
        <f t="shared" si="202"/>
        <v>41.128670380304456</v>
      </c>
      <c r="E543" s="303"/>
      <c r="F543" s="302">
        <v>3.5810547135013868</v>
      </c>
      <c r="G543" s="302">
        <v>34.906366200540575</v>
      </c>
      <c r="H543" s="302">
        <f t="shared" si="203"/>
        <v>38.487420914041962</v>
      </c>
      <c r="I543" s="303"/>
      <c r="J543" s="302">
        <v>6.4146316313843146</v>
      </c>
      <c r="K543" s="302">
        <v>39.604187895437427</v>
      </c>
      <c r="L543" s="302">
        <f t="shared" si="204"/>
        <v>46.018819526821744</v>
      </c>
      <c r="M543" s="236"/>
      <c r="N543" s="236"/>
    </row>
    <row r="544" spans="1:14" x14ac:dyDescent="0.3">
      <c r="A544" s="237" t="str">
        <f>name!E$12</f>
        <v>Elementary occupations</v>
      </c>
      <c r="B544" s="302">
        <v>5.1151771123370651</v>
      </c>
      <c r="C544" s="302">
        <v>23.249862698009427</v>
      </c>
      <c r="D544" s="302">
        <f t="shared" si="202"/>
        <v>28.365039810346492</v>
      </c>
      <c r="E544" s="303"/>
      <c r="F544" s="302">
        <v>5.3738922649028904</v>
      </c>
      <c r="G544" s="302">
        <v>21.891705446426499</v>
      </c>
      <c r="H544" s="302">
        <f t="shared" si="203"/>
        <v>27.265597711329391</v>
      </c>
      <c r="I544" s="303"/>
      <c r="J544" s="302">
        <v>4.7607875667338666</v>
      </c>
      <c r="K544" s="302">
        <v>19.718419791945728</v>
      </c>
      <c r="L544" s="302">
        <f t="shared" si="204"/>
        <v>24.479207358679595</v>
      </c>
      <c r="M544" s="236"/>
      <c r="N544" s="236"/>
    </row>
    <row r="545" spans="1:14" x14ac:dyDescent="0.3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  <c r="N545" s="236"/>
    </row>
    <row r="546" spans="1:14" x14ac:dyDescent="0.3">
      <c r="A546" s="244" t="s">
        <v>32</v>
      </c>
      <c r="B546" s="311">
        <f>SUM(B536:B544)</f>
        <v>106.91900000119847</v>
      </c>
      <c r="C546" s="311">
        <f t="shared" ref="C546:D546" si="205">SUM(C536:C544)</f>
        <v>482.0480000025571</v>
      </c>
      <c r="D546" s="311">
        <f t="shared" si="205"/>
        <v>588.96700000375563</v>
      </c>
      <c r="E546" s="311"/>
      <c r="F546" s="311">
        <f t="shared" ref="F546:H546" si="206">SUM(F536:F544)</f>
        <v>121.86800000047032</v>
      </c>
      <c r="G546" s="311">
        <f t="shared" si="206"/>
        <v>498.13199999953105</v>
      </c>
      <c r="H546" s="311">
        <f t="shared" si="206"/>
        <v>620.00000000000148</v>
      </c>
      <c r="I546" s="311"/>
      <c r="J546" s="311">
        <f t="shared" ref="J546:L546" si="207">SUM(J536:J544)</f>
        <v>128.70099999880108</v>
      </c>
      <c r="K546" s="311">
        <f t="shared" si="207"/>
        <v>530.42800000287218</v>
      </c>
      <c r="L546" s="311">
        <f t="shared" si="207"/>
        <v>659.12900000167326</v>
      </c>
      <c r="M546" s="236"/>
      <c r="N546" s="236"/>
    </row>
    <row r="547" spans="1:14" x14ac:dyDescent="0.3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  <c r="N547" s="236"/>
    </row>
    <row r="548" spans="1:14" x14ac:dyDescent="0.3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56" t="s">
        <v>35</v>
      </c>
      <c r="M548" s="236"/>
      <c r="N548" s="236"/>
    </row>
    <row r="549" spans="1:14" x14ac:dyDescent="0.3">
      <c r="A549" s="242"/>
      <c r="B549" s="250"/>
      <c r="C549" s="250"/>
      <c r="D549" s="250"/>
      <c r="E549" s="250"/>
      <c r="F549" s="250"/>
      <c r="G549" s="250"/>
      <c r="H549" s="250"/>
      <c r="I549" s="250"/>
      <c r="J549" s="250"/>
      <c r="K549" s="250"/>
      <c r="L549" s="236"/>
      <c r="M549" s="236"/>
      <c r="N549" s="236"/>
    </row>
    <row r="550" spans="1:14" x14ac:dyDescent="0.3">
      <c r="A550" s="241" t="str">
        <f>name!A35</f>
        <v>Wholesale trade</v>
      </c>
      <c r="B550" s="373">
        <f>B$6</f>
        <v>2015</v>
      </c>
      <c r="C550" s="373"/>
      <c r="D550" s="373"/>
      <c r="E550" s="253"/>
      <c r="F550" s="373">
        <f>F533</f>
        <v>2020</v>
      </c>
      <c r="G550" s="373"/>
      <c r="H550" s="373"/>
      <c r="I550" s="253"/>
      <c r="J550" s="373">
        <f>J533</f>
        <v>2035</v>
      </c>
      <c r="K550" s="373"/>
      <c r="L550" s="373"/>
      <c r="M550" s="236"/>
      <c r="N550" s="236"/>
    </row>
    <row r="551" spans="1:14" x14ac:dyDescent="0.3">
      <c r="A551" s="254"/>
      <c r="B551" s="255" t="s">
        <v>352</v>
      </c>
      <c r="C551" s="255" t="s">
        <v>353</v>
      </c>
      <c r="D551" s="255" t="s">
        <v>32</v>
      </c>
      <c r="E551" s="255"/>
      <c r="F551" s="255" t="s">
        <v>352</v>
      </c>
      <c r="G551" s="255" t="s">
        <v>353</v>
      </c>
      <c r="H551" s="255" t="s">
        <v>32</v>
      </c>
      <c r="I551" s="255"/>
      <c r="J551" s="255" t="s">
        <v>352</v>
      </c>
      <c r="K551" s="255" t="s">
        <v>353</v>
      </c>
      <c r="L551" s="255" t="s">
        <v>32</v>
      </c>
      <c r="M551" s="236"/>
      <c r="N551" s="236"/>
    </row>
    <row r="552" spans="1:14" x14ac:dyDescent="0.3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  <c r="N552" s="236"/>
    </row>
    <row r="553" spans="1:14" x14ac:dyDescent="0.3">
      <c r="A553" s="237" t="str">
        <f>name!E$4</f>
        <v>Managers, directors and senior officials</v>
      </c>
      <c r="B553" s="302">
        <v>41.892486260787493</v>
      </c>
      <c r="C553" s="302">
        <v>166.47844935919298</v>
      </c>
      <c r="D553" s="302">
        <f>SUM(B553:C553)</f>
        <v>208.37093561998046</v>
      </c>
      <c r="E553" s="303"/>
      <c r="F553" s="302">
        <v>54.97800444792292</v>
      </c>
      <c r="G553" s="302">
        <v>191.1523613946629</v>
      </c>
      <c r="H553" s="302">
        <f>SUM(F553:G553)</f>
        <v>246.13036584258583</v>
      </c>
      <c r="I553" s="303"/>
      <c r="J553" s="302">
        <v>73.094431111652113</v>
      </c>
      <c r="K553" s="302">
        <v>189.22962030046131</v>
      </c>
      <c r="L553" s="302">
        <f>SUM(J553:K553)</f>
        <v>262.32405141211342</v>
      </c>
      <c r="M553" s="236"/>
      <c r="N553" s="236"/>
    </row>
    <row r="554" spans="1:14" x14ac:dyDescent="0.3">
      <c r="A554" s="237" t="str">
        <f>name!E$5</f>
        <v>Professional occupations</v>
      </c>
      <c r="B554" s="302">
        <v>31.755741397709208</v>
      </c>
      <c r="C554" s="302">
        <v>84.919779649706058</v>
      </c>
      <c r="D554" s="302">
        <f t="shared" ref="D554:D561" si="208">SUM(B554:C554)</f>
        <v>116.67552104741526</v>
      </c>
      <c r="E554" s="303"/>
      <c r="F554" s="302">
        <v>49.048623054508099</v>
      </c>
      <c r="G554" s="302">
        <v>108.6135005733195</v>
      </c>
      <c r="H554" s="302">
        <f t="shared" ref="H554:H561" si="209">SUM(F554:G554)</f>
        <v>157.66212362782761</v>
      </c>
      <c r="I554" s="303"/>
      <c r="J554" s="302">
        <v>68.759735552100935</v>
      </c>
      <c r="K554" s="302">
        <v>126.10872120616698</v>
      </c>
      <c r="L554" s="302">
        <f t="shared" ref="L554:L561" si="210">SUM(J554:K554)</f>
        <v>194.86845675826791</v>
      </c>
      <c r="M554" s="236"/>
      <c r="N554" s="236"/>
    </row>
    <row r="555" spans="1:14" x14ac:dyDescent="0.3">
      <c r="A555" s="237" t="str">
        <f>name!E$6</f>
        <v>Associate professional occupations</v>
      </c>
      <c r="B555" s="302">
        <v>55.848020721328588</v>
      </c>
      <c r="C555" s="302">
        <v>101.90683658487875</v>
      </c>
      <c r="D555" s="302">
        <f t="shared" si="208"/>
        <v>157.75485730620733</v>
      </c>
      <c r="E555" s="303"/>
      <c r="F555" s="302">
        <v>69.812696611709526</v>
      </c>
      <c r="G555" s="302">
        <v>116.13329860670908</v>
      </c>
      <c r="H555" s="302">
        <f t="shared" si="209"/>
        <v>185.9459952184186</v>
      </c>
      <c r="I555" s="303"/>
      <c r="J555" s="302">
        <v>79.467864686002528</v>
      </c>
      <c r="K555" s="302">
        <v>109.59714263910399</v>
      </c>
      <c r="L555" s="302">
        <f t="shared" si="210"/>
        <v>189.06500732510654</v>
      </c>
      <c r="M555" s="236"/>
      <c r="N555" s="236"/>
    </row>
    <row r="556" spans="1:14" x14ac:dyDescent="0.3">
      <c r="A556" s="237" t="str">
        <f>name!E$7</f>
        <v>Administrative and secretarial occupations</v>
      </c>
      <c r="B556" s="302">
        <v>126.10111818693331</v>
      </c>
      <c r="C556" s="302">
        <v>57.037514094035615</v>
      </c>
      <c r="D556" s="302">
        <f t="shared" si="208"/>
        <v>183.13863228096892</v>
      </c>
      <c r="E556" s="303"/>
      <c r="F556" s="302">
        <v>127.27437319110163</v>
      </c>
      <c r="G556" s="302">
        <v>63.561926052659864</v>
      </c>
      <c r="H556" s="302">
        <f t="shared" si="209"/>
        <v>190.83629924376149</v>
      </c>
      <c r="I556" s="303"/>
      <c r="J556" s="302">
        <v>106.22602537585416</v>
      </c>
      <c r="K556" s="302">
        <v>66.640928952459731</v>
      </c>
      <c r="L556" s="302">
        <f t="shared" si="210"/>
        <v>172.86695432831391</v>
      </c>
      <c r="M556" s="236"/>
      <c r="N556" s="236"/>
    </row>
    <row r="557" spans="1:14" x14ac:dyDescent="0.3">
      <c r="A557" s="237" t="str">
        <f>name!E$8</f>
        <v>Skilled trades occupations</v>
      </c>
      <c r="B557" s="302">
        <v>5.8685423800472858</v>
      </c>
      <c r="C557" s="302">
        <v>73.151076561913612</v>
      </c>
      <c r="D557" s="302">
        <f t="shared" si="208"/>
        <v>79.0196189419609</v>
      </c>
      <c r="E557" s="303"/>
      <c r="F557" s="302">
        <v>5.5899440268327085</v>
      </c>
      <c r="G557" s="302">
        <v>58.447082855483387</v>
      </c>
      <c r="H557" s="302">
        <f t="shared" si="209"/>
        <v>64.037026882316098</v>
      </c>
      <c r="I557" s="303"/>
      <c r="J557" s="302">
        <v>7.8395241105999354</v>
      </c>
      <c r="K557" s="302">
        <v>54.552950669723025</v>
      </c>
      <c r="L557" s="302">
        <f t="shared" si="210"/>
        <v>62.392474780322956</v>
      </c>
      <c r="M557" s="236"/>
      <c r="N557" s="236"/>
    </row>
    <row r="558" spans="1:14" x14ac:dyDescent="0.3">
      <c r="A558" s="237" t="str">
        <f>name!E$9</f>
        <v>Caring, leisure and other service occupations</v>
      </c>
      <c r="B558" s="302">
        <v>3.7232438870996001</v>
      </c>
      <c r="C558" s="302">
        <v>2.1027714681529215</v>
      </c>
      <c r="D558" s="302">
        <f t="shared" si="208"/>
        <v>5.8260153552525216</v>
      </c>
      <c r="E558" s="303"/>
      <c r="F558" s="302">
        <v>3.501772713037528</v>
      </c>
      <c r="G558" s="302">
        <v>2.2191679994561988</v>
      </c>
      <c r="H558" s="302">
        <f t="shared" si="209"/>
        <v>5.7209407124937268</v>
      </c>
      <c r="I558" s="303"/>
      <c r="J558" s="302">
        <v>4.3436434554967089</v>
      </c>
      <c r="K558" s="302">
        <v>2.3134078758682044</v>
      </c>
      <c r="L558" s="302">
        <f t="shared" si="210"/>
        <v>6.6570513313649133</v>
      </c>
      <c r="M558" s="236"/>
      <c r="N558" s="236"/>
    </row>
    <row r="559" spans="1:14" x14ac:dyDescent="0.3">
      <c r="A559" s="237" t="str">
        <f>name!E$10</f>
        <v>Sales and customer service occupations</v>
      </c>
      <c r="B559" s="302">
        <v>58.749679718252793</v>
      </c>
      <c r="C559" s="302">
        <v>71.080087778800873</v>
      </c>
      <c r="D559" s="302">
        <f t="shared" si="208"/>
        <v>129.82976749705367</v>
      </c>
      <c r="E559" s="303"/>
      <c r="F559" s="302">
        <v>53.984503505917218</v>
      </c>
      <c r="G559" s="302">
        <v>65.684114436902604</v>
      </c>
      <c r="H559" s="302">
        <f t="shared" si="209"/>
        <v>119.66861794281982</v>
      </c>
      <c r="I559" s="303"/>
      <c r="J559" s="302">
        <v>54.309883135390471</v>
      </c>
      <c r="K559" s="302">
        <v>62.807664564076624</v>
      </c>
      <c r="L559" s="302">
        <f t="shared" si="210"/>
        <v>117.1175476994671</v>
      </c>
      <c r="M559" s="236"/>
      <c r="N559" s="236"/>
    </row>
    <row r="560" spans="1:14" x14ac:dyDescent="0.3">
      <c r="A560" s="237" t="str">
        <f>name!E$11</f>
        <v>Process, plant and machine operatives</v>
      </c>
      <c r="B560" s="302">
        <v>34.735296230747252</v>
      </c>
      <c r="C560" s="302">
        <v>159.06210750153201</v>
      </c>
      <c r="D560" s="302">
        <f t="shared" si="208"/>
        <v>193.79740373227926</v>
      </c>
      <c r="E560" s="303"/>
      <c r="F560" s="302">
        <v>30.009546061806549</v>
      </c>
      <c r="G560" s="302">
        <v>132.54494899520367</v>
      </c>
      <c r="H560" s="302">
        <f t="shared" si="209"/>
        <v>162.55449505701023</v>
      </c>
      <c r="I560" s="303"/>
      <c r="J560" s="302">
        <v>42.466821651818016</v>
      </c>
      <c r="K560" s="302">
        <v>135.63027357180576</v>
      </c>
      <c r="L560" s="302">
        <f t="shared" si="210"/>
        <v>178.09709522362377</v>
      </c>
      <c r="M560" s="236"/>
      <c r="N560" s="236"/>
    </row>
    <row r="561" spans="1:14" x14ac:dyDescent="0.3">
      <c r="A561" s="237" t="str">
        <f>name!E$12</f>
        <v>Elementary occupations</v>
      </c>
      <c r="B561" s="302">
        <v>51.299871220346844</v>
      </c>
      <c r="C561" s="302">
        <v>107.20937700714009</v>
      </c>
      <c r="D561" s="302">
        <f t="shared" si="208"/>
        <v>158.50924822748692</v>
      </c>
      <c r="E561" s="303"/>
      <c r="F561" s="302">
        <v>41.010536386279085</v>
      </c>
      <c r="G561" s="302">
        <v>82.427599085681891</v>
      </c>
      <c r="H561" s="302">
        <f t="shared" si="209"/>
        <v>123.43813547196098</v>
      </c>
      <c r="I561" s="303"/>
      <c r="J561" s="302">
        <v>41.317070916230186</v>
      </c>
      <c r="K561" s="302">
        <v>52.740290224350247</v>
      </c>
      <c r="L561" s="302">
        <f t="shared" si="210"/>
        <v>94.05736114058044</v>
      </c>
      <c r="M561" s="236"/>
      <c r="N561" s="236"/>
    </row>
    <row r="562" spans="1:14" x14ac:dyDescent="0.3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  <c r="N562" s="236"/>
    </row>
    <row r="563" spans="1:14" x14ac:dyDescent="0.3">
      <c r="A563" s="244" t="s">
        <v>32</v>
      </c>
      <c r="B563" s="311">
        <f>SUM(B553:B561)</f>
        <v>409.9740000032524</v>
      </c>
      <c r="C563" s="311">
        <f t="shared" ref="C563:D563" si="211">SUM(C553:C561)</f>
        <v>822.94800000535292</v>
      </c>
      <c r="D563" s="311">
        <f t="shared" si="211"/>
        <v>1232.9220000086052</v>
      </c>
      <c r="E563" s="311"/>
      <c r="F563" s="311">
        <f t="shared" ref="F563:H563" si="212">SUM(F553:F561)</f>
        <v>435.20999999911533</v>
      </c>
      <c r="G563" s="311">
        <f t="shared" si="212"/>
        <v>820.78400000007912</v>
      </c>
      <c r="H563" s="311">
        <f t="shared" si="212"/>
        <v>1255.9939999991943</v>
      </c>
      <c r="I563" s="311"/>
      <c r="J563" s="311">
        <f t="shared" ref="J563:L563" si="213">SUM(J553:J561)</f>
        <v>477.82499999514505</v>
      </c>
      <c r="K563" s="311">
        <f t="shared" si="213"/>
        <v>799.62100000401585</v>
      </c>
      <c r="L563" s="311">
        <f t="shared" si="213"/>
        <v>1277.4459999991609</v>
      </c>
      <c r="M563" s="236"/>
      <c r="N563" s="236"/>
    </row>
    <row r="564" spans="1:14" x14ac:dyDescent="0.3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  <c r="N564" s="236"/>
    </row>
    <row r="565" spans="1:14" x14ac:dyDescent="0.3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56" t="s">
        <v>35</v>
      </c>
      <c r="M565" s="236"/>
      <c r="N565" s="236"/>
    </row>
    <row r="566" spans="1:14" x14ac:dyDescent="0.3">
      <c r="A566" s="242"/>
      <c r="B566" s="250"/>
      <c r="C566" s="250"/>
      <c r="D566" s="250"/>
      <c r="E566" s="250"/>
      <c r="F566" s="250"/>
      <c r="G566" s="250"/>
      <c r="H566" s="250"/>
      <c r="I566" s="250"/>
      <c r="J566" s="250"/>
      <c r="K566" s="250"/>
      <c r="L566" s="236"/>
      <c r="M566" s="236"/>
      <c r="N566" s="236"/>
    </row>
    <row r="567" spans="1:14" x14ac:dyDescent="0.3">
      <c r="A567" s="241" t="str">
        <f>name!A36</f>
        <v>Retail trade</v>
      </c>
      <c r="B567" s="373">
        <f>B$6</f>
        <v>2015</v>
      </c>
      <c r="C567" s="373"/>
      <c r="D567" s="373"/>
      <c r="E567" s="253"/>
      <c r="F567" s="373">
        <f>F550</f>
        <v>2020</v>
      </c>
      <c r="G567" s="373"/>
      <c r="H567" s="373"/>
      <c r="I567" s="253"/>
      <c r="J567" s="373">
        <f>J550</f>
        <v>2035</v>
      </c>
      <c r="K567" s="373"/>
      <c r="L567" s="373"/>
      <c r="M567" s="236"/>
      <c r="N567" s="236"/>
    </row>
    <row r="568" spans="1:14" x14ac:dyDescent="0.3">
      <c r="A568" s="254"/>
      <c r="B568" s="255" t="s">
        <v>352</v>
      </c>
      <c r="C568" s="255" t="s">
        <v>353</v>
      </c>
      <c r="D568" s="255" t="s">
        <v>32</v>
      </c>
      <c r="E568" s="255"/>
      <c r="F568" s="255" t="s">
        <v>352</v>
      </c>
      <c r="G568" s="255" t="s">
        <v>353</v>
      </c>
      <c r="H568" s="255" t="s">
        <v>32</v>
      </c>
      <c r="I568" s="255"/>
      <c r="J568" s="255" t="s">
        <v>352</v>
      </c>
      <c r="K568" s="255" t="s">
        <v>353</v>
      </c>
      <c r="L568" s="255" t="s">
        <v>32</v>
      </c>
      <c r="M568" s="236"/>
      <c r="N568" s="236"/>
    </row>
    <row r="569" spans="1:14" x14ac:dyDescent="0.3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  <c r="N569" s="236"/>
    </row>
    <row r="570" spans="1:14" x14ac:dyDescent="0.3">
      <c r="A570" s="237" t="str">
        <f>name!E$4</f>
        <v>Managers, directors and senior officials</v>
      </c>
      <c r="B570" s="302">
        <v>151.2070457049322</v>
      </c>
      <c r="C570" s="302">
        <v>196.32741675252532</v>
      </c>
      <c r="D570" s="302">
        <f>SUM(B570:C570)</f>
        <v>347.53446245745749</v>
      </c>
      <c r="E570" s="303"/>
      <c r="F570" s="302">
        <v>186.08385308090132</v>
      </c>
      <c r="G570" s="302">
        <v>205.69145352750408</v>
      </c>
      <c r="H570" s="302">
        <f>SUM(F570:G570)</f>
        <v>391.7753066084054</v>
      </c>
      <c r="I570" s="303"/>
      <c r="J570" s="302">
        <v>238.25766182686871</v>
      </c>
      <c r="K570" s="302">
        <v>245.09676171511609</v>
      </c>
      <c r="L570" s="302">
        <f>SUM(J570:K570)</f>
        <v>483.35442354198483</v>
      </c>
      <c r="M570" s="236"/>
      <c r="N570" s="236"/>
    </row>
    <row r="571" spans="1:14" x14ac:dyDescent="0.3">
      <c r="A571" s="237" t="str">
        <f>name!E$5</f>
        <v>Professional occupations</v>
      </c>
      <c r="B571" s="302">
        <v>134.91290276053113</v>
      </c>
      <c r="C571" s="302">
        <v>100.94735795459226</v>
      </c>
      <c r="D571" s="302">
        <f t="shared" ref="D571:D578" si="214">SUM(B571:C571)</f>
        <v>235.86026071512339</v>
      </c>
      <c r="E571" s="303"/>
      <c r="F571" s="302">
        <v>172.75338990140347</v>
      </c>
      <c r="G571" s="302">
        <v>125.10608777712181</v>
      </c>
      <c r="H571" s="302">
        <f t="shared" ref="H571:H578" si="215">SUM(F571:G571)</f>
        <v>297.85947767852531</v>
      </c>
      <c r="I571" s="303"/>
      <c r="J571" s="302">
        <v>216.47074802199106</v>
      </c>
      <c r="K571" s="302">
        <v>165.58685014503885</v>
      </c>
      <c r="L571" s="302">
        <f t="shared" ref="L571:L578" si="216">SUM(J571:K571)</f>
        <v>382.05759816702994</v>
      </c>
      <c r="M571" s="236"/>
      <c r="N571" s="236"/>
    </row>
    <row r="572" spans="1:14" x14ac:dyDescent="0.3">
      <c r="A572" s="237" t="str">
        <f>name!E$6</f>
        <v>Associate professional occupations</v>
      </c>
      <c r="B572" s="302">
        <v>120.64320115576069</v>
      </c>
      <c r="C572" s="302">
        <v>83.136329553790802</v>
      </c>
      <c r="D572" s="302">
        <f t="shared" si="214"/>
        <v>203.77953070955149</v>
      </c>
      <c r="E572" s="303"/>
      <c r="F572" s="302">
        <v>139.41270965382546</v>
      </c>
      <c r="G572" s="302">
        <v>95.938380384852124</v>
      </c>
      <c r="H572" s="302">
        <f t="shared" si="215"/>
        <v>235.35109003867757</v>
      </c>
      <c r="I572" s="303"/>
      <c r="J572" s="302">
        <v>155.10068439945209</v>
      </c>
      <c r="K572" s="302">
        <v>101.67649480605922</v>
      </c>
      <c r="L572" s="302">
        <f t="shared" si="216"/>
        <v>256.77717920551129</v>
      </c>
      <c r="M572" s="236"/>
      <c r="N572" s="236"/>
    </row>
    <row r="573" spans="1:14" x14ac:dyDescent="0.3">
      <c r="A573" s="237" t="str">
        <f>name!E$7</f>
        <v>Administrative and secretarial occupations</v>
      </c>
      <c r="B573" s="302">
        <v>150.57345741721758</v>
      </c>
      <c r="C573" s="302">
        <v>57.591186918071443</v>
      </c>
      <c r="D573" s="302">
        <f t="shared" si="214"/>
        <v>208.16464433528904</v>
      </c>
      <c r="E573" s="303"/>
      <c r="F573" s="302">
        <v>151.41971569358938</v>
      </c>
      <c r="G573" s="302">
        <v>67.69249260903868</v>
      </c>
      <c r="H573" s="302">
        <f t="shared" si="215"/>
        <v>219.11220830262806</v>
      </c>
      <c r="I573" s="303"/>
      <c r="J573" s="302">
        <v>148.37506960311416</v>
      </c>
      <c r="K573" s="302">
        <v>82.86870988227389</v>
      </c>
      <c r="L573" s="302">
        <f t="shared" si="216"/>
        <v>231.24377948538805</v>
      </c>
      <c r="M573" s="236"/>
      <c r="N573" s="236"/>
    </row>
    <row r="574" spans="1:14" x14ac:dyDescent="0.3">
      <c r="A574" s="237" t="str">
        <f>name!E$8</f>
        <v>Skilled trades occupations</v>
      </c>
      <c r="B574" s="302">
        <v>46.645426269176312</v>
      </c>
      <c r="C574" s="302">
        <v>105.58984201506685</v>
      </c>
      <c r="D574" s="302">
        <f t="shared" si="214"/>
        <v>152.23526828424315</v>
      </c>
      <c r="E574" s="303"/>
      <c r="F574" s="302">
        <v>42.266893630693374</v>
      </c>
      <c r="G574" s="302">
        <v>77.978483611115919</v>
      </c>
      <c r="H574" s="302">
        <f t="shared" si="215"/>
        <v>120.24537724180929</v>
      </c>
      <c r="I574" s="303"/>
      <c r="J574" s="302">
        <v>46.003059908788678</v>
      </c>
      <c r="K574" s="302">
        <v>84.226652377363862</v>
      </c>
      <c r="L574" s="302">
        <f t="shared" si="216"/>
        <v>130.22971228615253</v>
      </c>
      <c r="M574" s="236"/>
      <c r="N574" s="236"/>
    </row>
    <row r="575" spans="1:14" x14ac:dyDescent="0.3">
      <c r="A575" s="237" t="str">
        <f>name!E$9</f>
        <v>Caring, leisure and other service occupations</v>
      </c>
      <c r="B575" s="302">
        <v>15.374049184976096</v>
      </c>
      <c r="C575" s="302">
        <v>6.4347233263187809</v>
      </c>
      <c r="D575" s="302">
        <f t="shared" si="214"/>
        <v>21.808772511294876</v>
      </c>
      <c r="E575" s="303"/>
      <c r="F575" s="302">
        <v>14.073465836588248</v>
      </c>
      <c r="G575" s="302">
        <v>6.9537028958602276</v>
      </c>
      <c r="H575" s="302">
        <f t="shared" si="215"/>
        <v>21.027168732448477</v>
      </c>
      <c r="I575" s="303"/>
      <c r="J575" s="302">
        <v>16.778296880303326</v>
      </c>
      <c r="K575" s="302">
        <v>8.8410049098746981</v>
      </c>
      <c r="L575" s="302">
        <f t="shared" si="216"/>
        <v>25.619301790178024</v>
      </c>
      <c r="M575" s="236"/>
      <c r="N575" s="236"/>
    </row>
    <row r="576" spans="1:14" x14ac:dyDescent="0.3">
      <c r="A576" s="237" t="str">
        <f>name!E$10</f>
        <v>Sales and customer service occupations</v>
      </c>
      <c r="B576" s="302">
        <v>1035.606987641396</v>
      </c>
      <c r="C576" s="302">
        <v>499.03309108566265</v>
      </c>
      <c r="D576" s="302">
        <f t="shared" si="214"/>
        <v>1534.6400787270586</v>
      </c>
      <c r="E576" s="303"/>
      <c r="F576" s="302">
        <v>950.9537266831469</v>
      </c>
      <c r="G576" s="302">
        <v>488.63759410878225</v>
      </c>
      <c r="H576" s="302">
        <f t="shared" si="215"/>
        <v>1439.5913207919291</v>
      </c>
      <c r="I576" s="303"/>
      <c r="J576" s="302">
        <v>797.66599521016565</v>
      </c>
      <c r="K576" s="302">
        <v>458.24784004183732</v>
      </c>
      <c r="L576" s="302">
        <f t="shared" si="216"/>
        <v>1255.9138352520031</v>
      </c>
      <c r="M576" s="236"/>
      <c r="N576" s="236"/>
    </row>
    <row r="577" spans="1:14" x14ac:dyDescent="0.3">
      <c r="A577" s="237" t="str">
        <f>name!E$11</f>
        <v>Process, plant and machine operatives</v>
      </c>
      <c r="B577" s="302">
        <v>22.330555934379966</v>
      </c>
      <c r="C577" s="302">
        <v>76.95050475772095</v>
      </c>
      <c r="D577" s="302">
        <f t="shared" si="214"/>
        <v>99.281060692100908</v>
      </c>
      <c r="E577" s="303"/>
      <c r="F577" s="302">
        <v>20.665938923387966</v>
      </c>
      <c r="G577" s="302">
        <v>70.500754600361759</v>
      </c>
      <c r="H577" s="302">
        <f t="shared" si="215"/>
        <v>91.166693523749728</v>
      </c>
      <c r="I577" s="303"/>
      <c r="J577" s="302">
        <v>34.8443909379153</v>
      </c>
      <c r="K577" s="302">
        <v>79.196868413580447</v>
      </c>
      <c r="L577" s="302">
        <f t="shared" si="216"/>
        <v>114.04125935149574</v>
      </c>
      <c r="M577" s="236"/>
      <c r="N577" s="236"/>
    </row>
    <row r="578" spans="1:14" x14ac:dyDescent="0.3">
      <c r="A578" s="237" t="str">
        <f>name!E$12</f>
        <v>Elementary occupations</v>
      </c>
      <c r="B578" s="302">
        <v>169.61537399257915</v>
      </c>
      <c r="C578" s="302">
        <v>175.88054765280887</v>
      </c>
      <c r="D578" s="302">
        <f t="shared" si="214"/>
        <v>345.49592164538802</v>
      </c>
      <c r="E578" s="303"/>
      <c r="F578" s="302">
        <v>141.36930663847346</v>
      </c>
      <c r="G578" s="302">
        <v>146.50105048265871</v>
      </c>
      <c r="H578" s="302">
        <f t="shared" si="215"/>
        <v>287.8703571211322</v>
      </c>
      <c r="I578" s="303"/>
      <c r="J578" s="302">
        <v>118.43009319456323</v>
      </c>
      <c r="K578" s="302">
        <v>124.6788177145211</v>
      </c>
      <c r="L578" s="302">
        <f t="shared" si="216"/>
        <v>243.10891090908433</v>
      </c>
      <c r="M578" s="236"/>
      <c r="N578" s="236"/>
    </row>
    <row r="579" spans="1:14" x14ac:dyDescent="0.3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  <c r="N579" s="236"/>
    </row>
    <row r="580" spans="1:14" x14ac:dyDescent="0.3">
      <c r="A580" s="244" t="s">
        <v>32</v>
      </c>
      <c r="B580" s="311">
        <f>SUM(B570:B578)</f>
        <v>1846.9090000609494</v>
      </c>
      <c r="C580" s="311">
        <f t="shared" ref="C580:D580" si="217">SUM(C570:C578)</f>
        <v>1301.8910000165579</v>
      </c>
      <c r="D580" s="311">
        <f t="shared" si="217"/>
        <v>3148.8000000775069</v>
      </c>
      <c r="E580" s="311"/>
      <c r="F580" s="311">
        <f t="shared" ref="F580:H580" si="218">SUM(F570:F578)</f>
        <v>1818.9990000420098</v>
      </c>
      <c r="G580" s="311">
        <f t="shared" si="218"/>
        <v>1284.9999999972956</v>
      </c>
      <c r="H580" s="311">
        <f t="shared" si="218"/>
        <v>3103.999000039305</v>
      </c>
      <c r="I580" s="311"/>
      <c r="J580" s="311">
        <f t="shared" ref="J580:L580" si="219">SUM(J570:J578)</f>
        <v>1771.925999983162</v>
      </c>
      <c r="K580" s="311">
        <f t="shared" si="219"/>
        <v>1350.4200000056655</v>
      </c>
      <c r="L580" s="311">
        <f t="shared" si="219"/>
        <v>3122.3459999888282</v>
      </c>
      <c r="M580" s="236"/>
      <c r="N580" s="236"/>
    </row>
    <row r="581" spans="1:14" x14ac:dyDescent="0.3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  <c r="N581" s="236"/>
    </row>
    <row r="582" spans="1:14" x14ac:dyDescent="0.3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56" t="s">
        <v>35</v>
      </c>
      <c r="M582" s="236"/>
      <c r="N582" s="236"/>
    </row>
    <row r="583" spans="1:14" x14ac:dyDescent="0.3">
      <c r="A583" s="242"/>
      <c r="B583" s="250"/>
      <c r="C583" s="250"/>
      <c r="D583" s="250"/>
      <c r="E583" s="250"/>
      <c r="F583" s="250"/>
      <c r="G583" s="250"/>
      <c r="H583" s="250"/>
      <c r="I583" s="250"/>
      <c r="J583" s="250"/>
      <c r="K583" s="250"/>
      <c r="L583" s="236"/>
      <c r="M583" s="236"/>
      <c r="N583" s="236"/>
    </row>
    <row r="584" spans="1:14" x14ac:dyDescent="0.3">
      <c r="A584" s="241" t="str">
        <f>name!A37</f>
        <v>Land transport, etc</v>
      </c>
      <c r="B584" s="373">
        <f>B$6</f>
        <v>2015</v>
      </c>
      <c r="C584" s="373"/>
      <c r="D584" s="373"/>
      <c r="E584" s="253"/>
      <c r="F584" s="373">
        <f>F567</f>
        <v>2020</v>
      </c>
      <c r="G584" s="373"/>
      <c r="H584" s="373"/>
      <c r="I584" s="253"/>
      <c r="J584" s="373">
        <f>J567</f>
        <v>2035</v>
      </c>
      <c r="K584" s="373"/>
      <c r="L584" s="373"/>
      <c r="M584" s="236"/>
      <c r="N584" s="236"/>
    </row>
    <row r="585" spans="1:14" x14ac:dyDescent="0.3">
      <c r="A585" s="254"/>
      <c r="B585" s="255" t="s">
        <v>352</v>
      </c>
      <c r="C585" s="255" t="s">
        <v>353</v>
      </c>
      <c r="D585" s="255" t="s">
        <v>32</v>
      </c>
      <c r="E585" s="255"/>
      <c r="F585" s="255" t="s">
        <v>352</v>
      </c>
      <c r="G585" s="255" t="s">
        <v>353</v>
      </c>
      <c r="H585" s="255" t="s">
        <v>32</v>
      </c>
      <c r="I585" s="255"/>
      <c r="J585" s="255" t="s">
        <v>352</v>
      </c>
      <c r="K585" s="255" t="s">
        <v>353</v>
      </c>
      <c r="L585" s="255" t="s">
        <v>32</v>
      </c>
      <c r="M585" s="236"/>
      <c r="N585" s="236"/>
    </row>
    <row r="586" spans="1:14" x14ac:dyDescent="0.3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  <c r="N586" s="236"/>
    </row>
    <row r="587" spans="1:14" x14ac:dyDescent="0.3">
      <c r="A587" s="237" t="str">
        <f>name!E$4</f>
        <v>Managers, directors and senior officials</v>
      </c>
      <c r="B587" s="302">
        <v>6.8512625075718336</v>
      </c>
      <c r="C587" s="302">
        <v>37.613151865332227</v>
      </c>
      <c r="D587" s="302">
        <f>SUM(B587:C587)</f>
        <v>44.464414372904059</v>
      </c>
      <c r="E587" s="303"/>
      <c r="F587" s="302">
        <v>12.944411126229069</v>
      </c>
      <c r="G587" s="302">
        <v>42.541374269016828</v>
      </c>
      <c r="H587" s="302">
        <f>SUM(F587:G587)</f>
        <v>55.485785395245898</v>
      </c>
      <c r="I587" s="303"/>
      <c r="J587" s="302">
        <v>16.990440047134033</v>
      </c>
      <c r="K587" s="302">
        <v>48.178803625418212</v>
      </c>
      <c r="L587" s="302">
        <f>SUM(J587:K587)</f>
        <v>65.169243672552241</v>
      </c>
      <c r="M587" s="236"/>
      <c r="N587" s="236"/>
    </row>
    <row r="588" spans="1:14" x14ac:dyDescent="0.3">
      <c r="A588" s="237" t="str">
        <f>name!E$5</f>
        <v>Professional occupations</v>
      </c>
      <c r="B588" s="302">
        <v>8.8153808580082185</v>
      </c>
      <c r="C588" s="302">
        <v>25.380716302354926</v>
      </c>
      <c r="D588" s="302">
        <f t="shared" ref="D588:D595" si="220">SUM(B588:C588)</f>
        <v>34.196097160363145</v>
      </c>
      <c r="E588" s="303"/>
      <c r="F588" s="302">
        <v>16.637576515554017</v>
      </c>
      <c r="G588" s="302">
        <v>37.195926611682602</v>
      </c>
      <c r="H588" s="302">
        <f t="shared" ref="H588:H595" si="221">SUM(F588:G588)</f>
        <v>53.833503127236618</v>
      </c>
      <c r="I588" s="303"/>
      <c r="J588" s="302">
        <v>23.992982520519583</v>
      </c>
      <c r="K588" s="302">
        <v>54.112696744232395</v>
      </c>
      <c r="L588" s="302">
        <f t="shared" ref="L588:L595" si="222">SUM(J588:K588)</f>
        <v>78.105679264751984</v>
      </c>
      <c r="M588" s="236"/>
      <c r="N588" s="236"/>
    </row>
    <row r="589" spans="1:14" x14ac:dyDescent="0.3">
      <c r="A589" s="237" t="str">
        <f>name!E$6</f>
        <v>Associate professional occupations</v>
      </c>
      <c r="B589" s="302">
        <v>8.3006826678501611</v>
      </c>
      <c r="C589" s="302">
        <v>31.562016118238507</v>
      </c>
      <c r="D589" s="302">
        <f t="shared" si="220"/>
        <v>39.862698786088671</v>
      </c>
      <c r="E589" s="303"/>
      <c r="F589" s="302">
        <v>13.383451298550465</v>
      </c>
      <c r="G589" s="302">
        <v>45.15977602974236</v>
      </c>
      <c r="H589" s="302">
        <f t="shared" si="221"/>
        <v>58.543227328292829</v>
      </c>
      <c r="I589" s="303"/>
      <c r="J589" s="302">
        <v>15.992586717569303</v>
      </c>
      <c r="K589" s="302">
        <v>53.915340627762049</v>
      </c>
      <c r="L589" s="302">
        <f t="shared" si="222"/>
        <v>69.907927345331359</v>
      </c>
      <c r="M589" s="236"/>
      <c r="N589" s="236"/>
    </row>
    <row r="590" spans="1:14" x14ac:dyDescent="0.3">
      <c r="A590" s="237" t="str">
        <f>name!E$7</f>
        <v>Administrative and secretarial occupations</v>
      </c>
      <c r="B590" s="302">
        <v>30.733973819426566</v>
      </c>
      <c r="C590" s="302">
        <v>29.099788924800109</v>
      </c>
      <c r="D590" s="302">
        <f t="shared" si="220"/>
        <v>59.833762744226675</v>
      </c>
      <c r="E590" s="303"/>
      <c r="F590" s="302">
        <v>41.233379175737419</v>
      </c>
      <c r="G590" s="302">
        <v>36.400309847752077</v>
      </c>
      <c r="H590" s="302">
        <f t="shared" si="221"/>
        <v>77.633689023489495</v>
      </c>
      <c r="I590" s="303"/>
      <c r="J590" s="302">
        <v>32.466846591002778</v>
      </c>
      <c r="K590" s="302">
        <v>37.414502145049006</v>
      </c>
      <c r="L590" s="302">
        <f t="shared" si="222"/>
        <v>69.881348736051791</v>
      </c>
      <c r="M590" s="236"/>
      <c r="N590" s="236"/>
    </row>
    <row r="591" spans="1:14" x14ac:dyDescent="0.3">
      <c r="A591" s="237" t="str">
        <f>name!E$8</f>
        <v>Skilled trades occupations</v>
      </c>
      <c r="B591" s="302">
        <v>1.0243393664984877</v>
      </c>
      <c r="C591" s="302">
        <v>56.104627543510908</v>
      </c>
      <c r="D591" s="302">
        <f t="shared" si="220"/>
        <v>57.128966910009396</v>
      </c>
      <c r="E591" s="303"/>
      <c r="F591" s="302">
        <v>1.6794532022729474</v>
      </c>
      <c r="G591" s="302">
        <v>44.816087438553446</v>
      </c>
      <c r="H591" s="302">
        <f t="shared" si="221"/>
        <v>46.495540640826391</v>
      </c>
      <c r="I591" s="303"/>
      <c r="J591" s="302">
        <v>3.9397003510242725</v>
      </c>
      <c r="K591" s="302">
        <v>39.25784932493562</v>
      </c>
      <c r="L591" s="302">
        <f t="shared" si="222"/>
        <v>43.197549675959891</v>
      </c>
      <c r="M591" s="236"/>
      <c r="N591" s="236"/>
    </row>
    <row r="592" spans="1:14" x14ac:dyDescent="0.3">
      <c r="A592" s="237" t="str">
        <f>name!E$9</f>
        <v>Caring, leisure and other service occupations</v>
      </c>
      <c r="B592" s="302">
        <v>12.935839322562003</v>
      </c>
      <c r="C592" s="302">
        <v>16.279849041161295</v>
      </c>
      <c r="D592" s="302">
        <f t="shared" si="220"/>
        <v>29.215688363723299</v>
      </c>
      <c r="E592" s="303"/>
      <c r="F592" s="302">
        <v>17.351111513066876</v>
      </c>
      <c r="G592" s="302">
        <v>22.093810237273985</v>
      </c>
      <c r="H592" s="302">
        <f t="shared" si="221"/>
        <v>39.44492175034086</v>
      </c>
      <c r="I592" s="303"/>
      <c r="J592" s="302">
        <v>19.228028366498648</v>
      </c>
      <c r="K592" s="302">
        <v>31.106442570971026</v>
      </c>
      <c r="L592" s="302">
        <f t="shared" si="222"/>
        <v>50.334470937469675</v>
      </c>
      <c r="M592" s="236"/>
      <c r="N592" s="236"/>
    </row>
    <row r="593" spans="1:14" x14ac:dyDescent="0.3">
      <c r="A593" s="237" t="str">
        <f>name!E$10</f>
        <v>Sales and customer service occupations</v>
      </c>
      <c r="B593" s="302">
        <v>4.9288532917899275</v>
      </c>
      <c r="C593" s="302">
        <v>8.3111072080899291</v>
      </c>
      <c r="D593" s="302">
        <f t="shared" si="220"/>
        <v>13.239960499879857</v>
      </c>
      <c r="E593" s="303"/>
      <c r="F593" s="302">
        <v>6.9279260168198453</v>
      </c>
      <c r="G593" s="302">
        <v>9.7589430527756758</v>
      </c>
      <c r="H593" s="302">
        <f t="shared" si="221"/>
        <v>16.68686906959552</v>
      </c>
      <c r="I593" s="303"/>
      <c r="J593" s="302">
        <v>8.2850253654590418</v>
      </c>
      <c r="K593" s="302">
        <v>15.978342575861644</v>
      </c>
      <c r="L593" s="302">
        <f t="shared" si="222"/>
        <v>24.263367941320688</v>
      </c>
      <c r="M593" s="236"/>
      <c r="N593" s="236"/>
    </row>
    <row r="594" spans="1:14" x14ac:dyDescent="0.3">
      <c r="A594" s="237" t="str">
        <f>name!E$11</f>
        <v>Process, plant and machine operatives</v>
      </c>
      <c r="B594" s="302">
        <v>14.997541995682591</v>
      </c>
      <c r="C594" s="302">
        <v>419.94586746111133</v>
      </c>
      <c r="D594" s="302">
        <f t="shared" si="220"/>
        <v>434.94340945679392</v>
      </c>
      <c r="E594" s="303"/>
      <c r="F594" s="302">
        <v>19.140183847213951</v>
      </c>
      <c r="G594" s="302">
        <v>406.93584536582875</v>
      </c>
      <c r="H594" s="302">
        <f t="shared" si="221"/>
        <v>426.07602921304272</v>
      </c>
      <c r="I594" s="303"/>
      <c r="J594" s="302">
        <v>32.046787340445782</v>
      </c>
      <c r="K594" s="302">
        <v>422.38674094502892</v>
      </c>
      <c r="L594" s="302">
        <f t="shared" si="222"/>
        <v>454.43352828547472</v>
      </c>
      <c r="M594" s="236"/>
      <c r="N594" s="236"/>
    </row>
    <row r="595" spans="1:14" x14ac:dyDescent="0.3">
      <c r="A595" s="237" t="str">
        <f>name!E$12</f>
        <v>Elementary occupations</v>
      </c>
      <c r="B595" s="302">
        <v>5.4391261710996242</v>
      </c>
      <c r="C595" s="302">
        <v>27.637875541902218</v>
      </c>
      <c r="D595" s="302">
        <f t="shared" si="220"/>
        <v>33.077001713001842</v>
      </c>
      <c r="E595" s="303"/>
      <c r="F595" s="302">
        <v>6.8175073042675027</v>
      </c>
      <c r="G595" s="302">
        <v>23.579927150010199</v>
      </c>
      <c r="H595" s="302">
        <f t="shared" si="221"/>
        <v>30.3974344542777</v>
      </c>
      <c r="I595" s="303"/>
      <c r="J595" s="302">
        <v>7.2846026995024689</v>
      </c>
      <c r="K595" s="302">
        <v>17.188281453727111</v>
      </c>
      <c r="L595" s="302">
        <f t="shared" si="222"/>
        <v>24.472884153229579</v>
      </c>
      <c r="M595" s="236"/>
      <c r="N595" s="236"/>
    </row>
    <row r="596" spans="1:14" x14ac:dyDescent="0.3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  <c r="N596" s="236"/>
    </row>
    <row r="597" spans="1:14" x14ac:dyDescent="0.3">
      <c r="A597" s="244" t="s">
        <v>32</v>
      </c>
      <c r="B597" s="311">
        <f>SUM(B587:B595)</f>
        <v>94.027000000489409</v>
      </c>
      <c r="C597" s="311">
        <f t="shared" ref="C597:D597" si="223">SUM(C587:C595)</f>
        <v>651.93500000650147</v>
      </c>
      <c r="D597" s="311">
        <f t="shared" si="223"/>
        <v>745.96200000699093</v>
      </c>
      <c r="E597" s="311"/>
      <c r="F597" s="311">
        <f t="shared" ref="F597:H597" si="224">SUM(F587:F595)</f>
        <v>136.11499999971213</v>
      </c>
      <c r="G597" s="311">
        <f t="shared" si="224"/>
        <v>668.48200000263591</v>
      </c>
      <c r="H597" s="311">
        <f t="shared" si="224"/>
        <v>804.59700000234795</v>
      </c>
      <c r="I597" s="311"/>
      <c r="J597" s="311">
        <f t="shared" ref="J597:L597" si="225">SUM(J587:J595)</f>
        <v>160.22699999915591</v>
      </c>
      <c r="K597" s="311">
        <f t="shared" si="225"/>
        <v>719.53900001298598</v>
      </c>
      <c r="L597" s="311">
        <f t="shared" si="225"/>
        <v>879.76600001214194</v>
      </c>
      <c r="M597" s="236"/>
      <c r="N597" s="236"/>
    </row>
    <row r="598" spans="1:14" x14ac:dyDescent="0.3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  <c r="N598" s="236"/>
    </row>
    <row r="599" spans="1:14" x14ac:dyDescent="0.3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56" t="s">
        <v>35</v>
      </c>
      <c r="M599" s="236"/>
      <c r="N599" s="236"/>
    </row>
    <row r="600" spans="1:14" x14ac:dyDescent="0.3">
      <c r="A600" s="242"/>
      <c r="B600" s="250"/>
      <c r="C600" s="250"/>
      <c r="D600" s="250"/>
      <c r="E600" s="250"/>
      <c r="F600" s="250"/>
      <c r="G600" s="250"/>
      <c r="H600" s="250"/>
      <c r="I600" s="250"/>
      <c r="J600" s="250"/>
      <c r="K600" s="250"/>
      <c r="L600" s="236"/>
      <c r="M600" s="236"/>
      <c r="N600" s="236"/>
    </row>
    <row r="601" spans="1:14" x14ac:dyDescent="0.3">
      <c r="A601" s="241" t="str">
        <f>name!A38</f>
        <v>Water transport</v>
      </c>
      <c r="B601" s="373">
        <f>B$6</f>
        <v>2015</v>
      </c>
      <c r="C601" s="373"/>
      <c r="D601" s="373"/>
      <c r="E601" s="253"/>
      <c r="F601" s="373">
        <f>F584</f>
        <v>2020</v>
      </c>
      <c r="G601" s="373"/>
      <c r="H601" s="373"/>
      <c r="I601" s="253"/>
      <c r="J601" s="373">
        <f>J584</f>
        <v>2035</v>
      </c>
      <c r="K601" s="373"/>
      <c r="L601" s="373"/>
      <c r="M601" s="236"/>
      <c r="N601" s="236"/>
    </row>
    <row r="602" spans="1:14" x14ac:dyDescent="0.3">
      <c r="A602" s="254"/>
      <c r="B602" s="255" t="s">
        <v>352</v>
      </c>
      <c r="C602" s="255" t="s">
        <v>353</v>
      </c>
      <c r="D602" s="255" t="s">
        <v>32</v>
      </c>
      <c r="E602" s="255"/>
      <c r="F602" s="255" t="s">
        <v>352</v>
      </c>
      <c r="G602" s="255" t="s">
        <v>353</v>
      </c>
      <c r="H602" s="255" t="s">
        <v>32</v>
      </c>
      <c r="I602" s="255"/>
      <c r="J602" s="255" t="s">
        <v>352</v>
      </c>
      <c r="K602" s="255" t="s">
        <v>353</v>
      </c>
      <c r="L602" s="255" t="s">
        <v>32</v>
      </c>
      <c r="M602" s="236"/>
      <c r="N602" s="236"/>
    </row>
    <row r="603" spans="1:14" x14ac:dyDescent="0.3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  <c r="N603" s="236"/>
    </row>
    <row r="604" spans="1:14" x14ac:dyDescent="0.3">
      <c r="A604" s="237" t="str">
        <f>name!E$4</f>
        <v>Managers, directors and senior officials</v>
      </c>
      <c r="B604" s="302">
        <v>0.55405137671177751</v>
      </c>
      <c r="C604" s="302">
        <v>1.4597285252593419</v>
      </c>
      <c r="D604" s="302">
        <f>SUM(B604:C604)</f>
        <v>2.0137799019711196</v>
      </c>
      <c r="E604" s="303"/>
      <c r="F604" s="302">
        <v>0.59316163846281067</v>
      </c>
      <c r="G604" s="302">
        <v>2.3202447264745842</v>
      </c>
      <c r="H604" s="302">
        <f>SUM(F604:G604)</f>
        <v>2.9134063649373951</v>
      </c>
      <c r="I604" s="303"/>
      <c r="J604" s="302">
        <v>0.56340430714638312</v>
      </c>
      <c r="K604" s="302">
        <v>1.9118947142711897</v>
      </c>
      <c r="L604" s="302">
        <f>SUM(J604:K604)</f>
        <v>2.4752990214175727</v>
      </c>
      <c r="M604" s="236"/>
      <c r="N604" s="236"/>
    </row>
    <row r="605" spans="1:14" x14ac:dyDescent="0.3">
      <c r="A605" s="237" t="str">
        <f>name!E$5</f>
        <v>Professional occupations</v>
      </c>
      <c r="B605" s="302">
        <v>0.86652526262034824</v>
      </c>
      <c r="C605" s="302">
        <v>2.0873010980510629</v>
      </c>
      <c r="D605" s="302">
        <f t="shared" ref="D605:D612" si="226">SUM(B605:C605)</f>
        <v>2.9538263606714112</v>
      </c>
      <c r="E605" s="303"/>
      <c r="F605" s="302">
        <v>0.97885481030378907</v>
      </c>
      <c r="G605" s="302">
        <v>2.6154296578289258</v>
      </c>
      <c r="H605" s="302">
        <f t="shared" ref="H605:H612" si="227">SUM(F605:G605)</f>
        <v>3.5942844681327148</v>
      </c>
      <c r="I605" s="303"/>
      <c r="J605" s="302">
        <v>0.93091787055690045</v>
      </c>
      <c r="K605" s="302">
        <v>2.4859179619686742</v>
      </c>
      <c r="L605" s="302">
        <f t="shared" ref="L605:L612" si="228">SUM(J605:K605)</f>
        <v>3.4168358325255745</v>
      </c>
      <c r="M605" s="236"/>
      <c r="N605" s="236"/>
    </row>
    <row r="606" spans="1:14" x14ac:dyDescent="0.3">
      <c r="A606" s="237" t="str">
        <f>name!E$6</f>
        <v>Associate professional occupations</v>
      </c>
      <c r="B606" s="302">
        <v>0.89983898144282337</v>
      </c>
      <c r="C606" s="302">
        <v>2.8402862154624295</v>
      </c>
      <c r="D606" s="302">
        <f t="shared" si="226"/>
        <v>3.7401251969052529</v>
      </c>
      <c r="E606" s="303"/>
      <c r="F606" s="302">
        <v>0.90176580092827829</v>
      </c>
      <c r="G606" s="302">
        <v>3.1409852960125701</v>
      </c>
      <c r="H606" s="302">
        <f t="shared" si="227"/>
        <v>4.0427510969408482</v>
      </c>
      <c r="I606" s="303"/>
      <c r="J606" s="302">
        <v>0.77916773871276801</v>
      </c>
      <c r="K606" s="302">
        <v>2.3422974195228172</v>
      </c>
      <c r="L606" s="302">
        <f t="shared" si="228"/>
        <v>3.1214651582355852</v>
      </c>
      <c r="M606" s="236"/>
      <c r="N606" s="236"/>
    </row>
    <row r="607" spans="1:14" x14ac:dyDescent="0.3">
      <c r="A607" s="237" t="str">
        <f>name!E$7</f>
        <v>Administrative and secretarial occupations</v>
      </c>
      <c r="B607" s="302">
        <v>2.8310205547703151</v>
      </c>
      <c r="C607" s="302">
        <v>1.2137021708524447</v>
      </c>
      <c r="D607" s="302">
        <f t="shared" si="226"/>
        <v>4.0447227256227603</v>
      </c>
      <c r="E607" s="303"/>
      <c r="F607" s="302">
        <v>2.4749530300209654</v>
      </c>
      <c r="G607" s="302">
        <v>1.1687334074059055</v>
      </c>
      <c r="H607" s="302">
        <f t="shared" si="227"/>
        <v>3.6436864374268709</v>
      </c>
      <c r="I607" s="303"/>
      <c r="J607" s="302">
        <v>1.4468598899741247</v>
      </c>
      <c r="K607" s="302">
        <v>1.0961883168542681</v>
      </c>
      <c r="L607" s="302">
        <f t="shared" si="228"/>
        <v>2.5430482068283928</v>
      </c>
      <c r="M607" s="236"/>
      <c r="N607" s="236"/>
    </row>
    <row r="608" spans="1:14" x14ac:dyDescent="0.3">
      <c r="A608" s="237" t="str">
        <f>name!E$8</f>
        <v>Skilled trades occupations</v>
      </c>
      <c r="B608" s="302">
        <v>0.17875460648320105</v>
      </c>
      <c r="C608" s="302">
        <v>0.4503048524183933</v>
      </c>
      <c r="D608" s="302">
        <f t="shared" si="226"/>
        <v>0.62905945890159431</v>
      </c>
      <c r="E608" s="303"/>
      <c r="F608" s="302">
        <v>0.16852311629475406</v>
      </c>
      <c r="G608" s="302">
        <v>0.5249605983046729</v>
      </c>
      <c r="H608" s="302">
        <f t="shared" si="227"/>
        <v>0.69348371459942693</v>
      </c>
      <c r="I608" s="303"/>
      <c r="J608" s="302">
        <v>0.24104633037886514</v>
      </c>
      <c r="K608" s="302">
        <v>0.26481782341874505</v>
      </c>
      <c r="L608" s="302">
        <f t="shared" si="228"/>
        <v>0.50586415379761018</v>
      </c>
      <c r="M608" s="236"/>
      <c r="N608" s="236"/>
    </row>
    <row r="609" spans="1:14" x14ac:dyDescent="0.3">
      <c r="A609" s="237" t="str">
        <f>name!E$9</f>
        <v>Caring, leisure and other service occupations</v>
      </c>
      <c r="B609" s="302">
        <v>1.01408688001202</v>
      </c>
      <c r="C609" s="302">
        <v>0.28108174607300784</v>
      </c>
      <c r="D609" s="302">
        <f t="shared" si="226"/>
        <v>1.2951686260850277</v>
      </c>
      <c r="E609" s="303"/>
      <c r="F609" s="302">
        <v>0.75721046090167954</v>
      </c>
      <c r="G609" s="302">
        <v>0.27457000560494593</v>
      </c>
      <c r="H609" s="302">
        <f t="shared" si="227"/>
        <v>1.0317804665066255</v>
      </c>
      <c r="I609" s="303"/>
      <c r="J609" s="302">
        <v>0.58309340847627611</v>
      </c>
      <c r="K609" s="302">
        <v>0.24369289168797528</v>
      </c>
      <c r="L609" s="302">
        <f t="shared" si="228"/>
        <v>0.82678630016425136</v>
      </c>
      <c r="M609" s="236"/>
      <c r="N609" s="236"/>
    </row>
    <row r="610" spans="1:14" x14ac:dyDescent="0.3">
      <c r="A610" s="237" t="str">
        <f>name!E$10</f>
        <v>Sales and customer service occupations</v>
      </c>
      <c r="B610" s="302">
        <v>0.61567871740211011</v>
      </c>
      <c r="C610" s="302">
        <v>0.43650122015750764</v>
      </c>
      <c r="D610" s="302">
        <f t="shared" si="226"/>
        <v>1.0521799375596177</v>
      </c>
      <c r="E610" s="303"/>
      <c r="F610" s="302">
        <v>0.52778327766597144</v>
      </c>
      <c r="G610" s="302">
        <v>0.4181468772225303</v>
      </c>
      <c r="H610" s="302">
        <f t="shared" si="227"/>
        <v>0.94593015488850174</v>
      </c>
      <c r="I610" s="303"/>
      <c r="J610" s="302">
        <v>0.41457835275389809</v>
      </c>
      <c r="K610" s="302">
        <v>0.41611321380755273</v>
      </c>
      <c r="L610" s="302">
        <f t="shared" si="228"/>
        <v>0.83069156656145082</v>
      </c>
      <c r="M610" s="236"/>
      <c r="N610" s="236"/>
    </row>
    <row r="611" spans="1:14" x14ac:dyDescent="0.3">
      <c r="A611" s="237" t="str">
        <f>name!E$11</f>
        <v>Process, plant and machine operatives</v>
      </c>
      <c r="B611" s="302">
        <v>0.20701686215336967</v>
      </c>
      <c r="C611" s="302">
        <v>0.80657809133504244</v>
      </c>
      <c r="D611" s="302">
        <f t="shared" si="226"/>
        <v>1.0135949534884121</v>
      </c>
      <c r="E611" s="303"/>
      <c r="F611" s="302">
        <v>0.17569763262825105</v>
      </c>
      <c r="G611" s="302">
        <v>0.91386169921038507</v>
      </c>
      <c r="H611" s="302">
        <f t="shared" si="227"/>
        <v>1.0895593318386361</v>
      </c>
      <c r="I611" s="303"/>
      <c r="J611" s="302">
        <v>0.25110869935440611</v>
      </c>
      <c r="K611" s="302">
        <v>0.46249243813702706</v>
      </c>
      <c r="L611" s="302">
        <f t="shared" si="228"/>
        <v>0.71360113749143317</v>
      </c>
      <c r="M611" s="236"/>
      <c r="N611" s="236"/>
    </row>
    <row r="612" spans="1:14" x14ac:dyDescent="0.3">
      <c r="A612" s="237" t="str">
        <f>name!E$12</f>
        <v>Elementary occupations</v>
      </c>
      <c r="B612" s="302">
        <v>0.33302675842397478</v>
      </c>
      <c r="C612" s="302">
        <v>0.92351608043629396</v>
      </c>
      <c r="D612" s="302">
        <f t="shared" si="226"/>
        <v>1.2565428388602689</v>
      </c>
      <c r="E612" s="303"/>
      <c r="F612" s="302">
        <v>0.25105023280672828</v>
      </c>
      <c r="G612" s="302">
        <v>0.78706773197064783</v>
      </c>
      <c r="H612" s="302">
        <f t="shared" si="227"/>
        <v>1.0381179647773762</v>
      </c>
      <c r="I612" s="303"/>
      <c r="J612" s="302">
        <v>0.18882340263636777</v>
      </c>
      <c r="K612" s="302">
        <v>0.45158522040559135</v>
      </c>
      <c r="L612" s="302">
        <f t="shared" si="228"/>
        <v>0.64040862304195911</v>
      </c>
      <c r="M612" s="236"/>
      <c r="N612" s="236"/>
    </row>
    <row r="613" spans="1:14" x14ac:dyDescent="0.3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  <c r="N613" s="236"/>
    </row>
    <row r="614" spans="1:14" x14ac:dyDescent="0.3">
      <c r="A614" s="244" t="s">
        <v>32</v>
      </c>
      <c r="B614" s="311">
        <f>SUM(B604:B612)</f>
        <v>7.5000000000199387</v>
      </c>
      <c r="C614" s="311">
        <f t="shared" ref="C614:D614" si="229">SUM(C604:C612)</f>
        <v>10.499000000045525</v>
      </c>
      <c r="D614" s="311">
        <f t="shared" si="229"/>
        <v>17.999000000065465</v>
      </c>
      <c r="E614" s="311"/>
      <c r="F614" s="311">
        <f t="shared" ref="F614:H614" si="230">SUM(F604:F612)</f>
        <v>6.8290000000132265</v>
      </c>
      <c r="G614" s="311">
        <f t="shared" si="230"/>
        <v>12.164000000035168</v>
      </c>
      <c r="H614" s="311">
        <f t="shared" si="230"/>
        <v>18.993000000048397</v>
      </c>
      <c r="I614" s="311"/>
      <c r="J614" s="311">
        <f t="shared" ref="J614:L614" si="231">SUM(J604:J612)</f>
        <v>5.3989999999899894</v>
      </c>
      <c r="K614" s="311">
        <f t="shared" si="231"/>
        <v>9.6750000000738403</v>
      </c>
      <c r="L614" s="311">
        <f t="shared" si="231"/>
        <v>15.07400000006383</v>
      </c>
      <c r="M614" s="236"/>
      <c r="N614" s="236"/>
    </row>
    <row r="615" spans="1:14" x14ac:dyDescent="0.3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  <c r="N615" s="236"/>
    </row>
    <row r="616" spans="1:14" x14ac:dyDescent="0.3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56" t="s">
        <v>35</v>
      </c>
      <c r="M616" s="236"/>
      <c r="N616" s="236"/>
    </row>
    <row r="617" spans="1:14" x14ac:dyDescent="0.3">
      <c r="A617" s="242"/>
      <c r="B617" s="250"/>
      <c r="C617" s="250"/>
      <c r="D617" s="250"/>
      <c r="E617" s="250"/>
      <c r="F617" s="250"/>
      <c r="G617" s="250"/>
      <c r="H617" s="250"/>
      <c r="I617" s="250"/>
      <c r="J617" s="250"/>
      <c r="K617" s="250"/>
      <c r="L617" s="236"/>
      <c r="M617" s="236"/>
      <c r="N617" s="236"/>
    </row>
    <row r="618" spans="1:14" x14ac:dyDescent="0.3">
      <c r="A618" s="241" t="str">
        <f>name!A39</f>
        <v>Air transport</v>
      </c>
      <c r="B618" s="373">
        <f>B$6</f>
        <v>2015</v>
      </c>
      <c r="C618" s="373"/>
      <c r="D618" s="373"/>
      <c r="E618" s="253"/>
      <c r="F618" s="373">
        <f>F601</f>
        <v>2020</v>
      </c>
      <c r="G618" s="373"/>
      <c r="H618" s="373"/>
      <c r="I618" s="253"/>
      <c r="J618" s="373">
        <f>J601</f>
        <v>2035</v>
      </c>
      <c r="K618" s="373"/>
      <c r="L618" s="373"/>
      <c r="M618" s="236"/>
      <c r="N618" s="236"/>
    </row>
    <row r="619" spans="1:14" x14ac:dyDescent="0.3">
      <c r="A619" s="254"/>
      <c r="B619" s="255" t="s">
        <v>352</v>
      </c>
      <c r="C619" s="255" t="s">
        <v>353</v>
      </c>
      <c r="D619" s="255" t="s">
        <v>32</v>
      </c>
      <c r="E619" s="255"/>
      <c r="F619" s="255" t="s">
        <v>352</v>
      </c>
      <c r="G619" s="255" t="s">
        <v>353</v>
      </c>
      <c r="H619" s="255" t="s">
        <v>32</v>
      </c>
      <c r="I619" s="255"/>
      <c r="J619" s="255" t="s">
        <v>352</v>
      </c>
      <c r="K619" s="255" t="s">
        <v>353</v>
      </c>
      <c r="L619" s="255" t="s">
        <v>32</v>
      </c>
      <c r="M619" s="236"/>
      <c r="N619" s="236"/>
    </row>
    <row r="620" spans="1:14" x14ac:dyDescent="0.3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  <c r="N620" s="236"/>
    </row>
    <row r="621" spans="1:14" x14ac:dyDescent="0.3">
      <c r="A621" s="237" t="str">
        <f>name!E$4</f>
        <v>Managers, directors and senior officials</v>
      </c>
      <c r="B621" s="302">
        <v>1.0750935178937919</v>
      </c>
      <c r="C621" s="302">
        <v>3.6080431045114438</v>
      </c>
      <c r="D621" s="302">
        <f>SUM(B621:C621)</f>
        <v>4.683136622405236</v>
      </c>
      <c r="E621" s="303"/>
      <c r="F621" s="302">
        <v>1.3964688666390381</v>
      </c>
      <c r="G621" s="302">
        <v>4.2952820702196393</v>
      </c>
      <c r="H621" s="302">
        <f>SUM(F621:G621)</f>
        <v>5.6917509368586776</v>
      </c>
      <c r="I621" s="303"/>
      <c r="J621" s="302">
        <v>1.8467531642713688</v>
      </c>
      <c r="K621" s="302">
        <v>4.5193010098697428</v>
      </c>
      <c r="L621" s="302">
        <f>SUM(J621:K621)</f>
        <v>6.3660541741411114</v>
      </c>
      <c r="M621" s="236"/>
      <c r="N621" s="236"/>
    </row>
    <row r="622" spans="1:14" x14ac:dyDescent="0.3">
      <c r="A622" s="237" t="str">
        <f>name!E$5</f>
        <v>Professional occupations</v>
      </c>
      <c r="B622" s="302">
        <v>2.8369825533040576</v>
      </c>
      <c r="C622" s="302">
        <v>6.3215888622857292</v>
      </c>
      <c r="D622" s="302">
        <f t="shared" ref="D622:D629" si="232">SUM(B622:C622)</f>
        <v>9.1585714155897868</v>
      </c>
      <c r="E622" s="303"/>
      <c r="F622" s="302">
        <v>3.979646613063387</v>
      </c>
      <c r="G622" s="302">
        <v>7.8848626023557244</v>
      </c>
      <c r="H622" s="302">
        <f t="shared" ref="H622:H629" si="233">SUM(F622:G622)</f>
        <v>11.864509215419112</v>
      </c>
      <c r="I622" s="303"/>
      <c r="J622" s="302">
        <v>5.1092065533314992</v>
      </c>
      <c r="K622" s="302">
        <v>9.6728502738428439</v>
      </c>
      <c r="L622" s="302">
        <f t="shared" ref="L622:L629" si="234">SUM(J622:K622)</f>
        <v>14.782056827174344</v>
      </c>
      <c r="M622" s="236"/>
      <c r="N622" s="236"/>
    </row>
    <row r="623" spans="1:14" x14ac:dyDescent="0.3">
      <c r="A623" s="237" t="str">
        <f>name!E$6</f>
        <v>Associate professional occupations</v>
      </c>
      <c r="B623" s="302">
        <v>3.9358430653990895</v>
      </c>
      <c r="C623" s="302">
        <v>10.303300335425094</v>
      </c>
      <c r="D623" s="302">
        <f t="shared" si="232"/>
        <v>14.239143400824183</v>
      </c>
      <c r="E623" s="303"/>
      <c r="F623" s="302">
        <v>4.8853288771349188</v>
      </c>
      <c r="G623" s="302">
        <v>10.740764021923528</v>
      </c>
      <c r="H623" s="302">
        <f t="shared" si="233"/>
        <v>15.626092899058447</v>
      </c>
      <c r="I623" s="303"/>
      <c r="J623" s="302">
        <v>5.8415761882748809</v>
      </c>
      <c r="K623" s="302">
        <v>9.9855346460452594</v>
      </c>
      <c r="L623" s="302">
        <f t="shared" si="234"/>
        <v>15.827110834320141</v>
      </c>
      <c r="M623" s="236"/>
      <c r="N623" s="236"/>
    </row>
    <row r="624" spans="1:14" x14ac:dyDescent="0.3">
      <c r="A624" s="237" t="str">
        <f>name!E$7</f>
        <v>Administrative and secretarial occupations</v>
      </c>
      <c r="B624" s="302">
        <v>4.0695773923013654</v>
      </c>
      <c r="C624" s="302">
        <v>2.620669664156571</v>
      </c>
      <c r="D624" s="302">
        <f t="shared" si="232"/>
        <v>6.6902470564579364</v>
      </c>
      <c r="E624" s="303"/>
      <c r="F624" s="302">
        <v>4.0666586129791522</v>
      </c>
      <c r="G624" s="302">
        <v>2.7621366366621349</v>
      </c>
      <c r="H624" s="302">
        <f t="shared" si="233"/>
        <v>6.8287952496412867</v>
      </c>
      <c r="I624" s="303"/>
      <c r="J624" s="302">
        <v>3.8843954751469045</v>
      </c>
      <c r="K624" s="302">
        <v>3.3662676438023271</v>
      </c>
      <c r="L624" s="302">
        <f t="shared" si="234"/>
        <v>7.2506631189492321</v>
      </c>
      <c r="M624" s="236"/>
      <c r="N624" s="236"/>
    </row>
    <row r="625" spans="1:14" x14ac:dyDescent="0.3">
      <c r="A625" s="237" t="str">
        <f>name!E$8</f>
        <v>Skilled trades occupations</v>
      </c>
      <c r="B625" s="302">
        <v>0.30481735251152703</v>
      </c>
      <c r="C625" s="302">
        <v>5.5356765262935115</v>
      </c>
      <c r="D625" s="302">
        <f t="shared" si="232"/>
        <v>5.8404938788050389</v>
      </c>
      <c r="E625" s="303"/>
      <c r="F625" s="302">
        <v>0.35088156845244506</v>
      </c>
      <c r="G625" s="302">
        <v>4.9028373374292009</v>
      </c>
      <c r="H625" s="302">
        <f t="shared" si="233"/>
        <v>5.2537189058816463</v>
      </c>
      <c r="I625" s="303"/>
      <c r="J625" s="302">
        <v>0.77060455886251344</v>
      </c>
      <c r="K625" s="302">
        <v>4.8938866579096105</v>
      </c>
      <c r="L625" s="302">
        <f t="shared" si="234"/>
        <v>5.6644912167721237</v>
      </c>
      <c r="M625" s="236"/>
      <c r="N625" s="236"/>
    </row>
    <row r="626" spans="1:14" x14ac:dyDescent="0.3">
      <c r="A626" s="237" t="str">
        <f>name!E$9</f>
        <v>Caring, leisure and other service occupations</v>
      </c>
      <c r="B626" s="302">
        <v>18.961557451989613</v>
      </c>
      <c r="C626" s="302">
        <v>3.5863011801628844</v>
      </c>
      <c r="D626" s="302">
        <f t="shared" si="232"/>
        <v>22.547858632152497</v>
      </c>
      <c r="E626" s="303"/>
      <c r="F626" s="302">
        <v>15.417552261431331</v>
      </c>
      <c r="G626" s="302">
        <v>3.0536671879766577</v>
      </c>
      <c r="H626" s="302">
        <f t="shared" si="233"/>
        <v>18.47121944940799</v>
      </c>
      <c r="I626" s="303"/>
      <c r="J626" s="302">
        <v>15.543350916854948</v>
      </c>
      <c r="K626" s="302">
        <v>3.3020304092059494</v>
      </c>
      <c r="L626" s="302">
        <f t="shared" si="234"/>
        <v>18.845381326060895</v>
      </c>
      <c r="M626" s="236"/>
      <c r="N626" s="236"/>
    </row>
    <row r="627" spans="1:14" x14ac:dyDescent="0.3">
      <c r="A627" s="237" t="str">
        <f>name!E$10</f>
        <v>Sales and customer service occupations</v>
      </c>
      <c r="B627" s="302">
        <v>1.9477361020369008</v>
      </c>
      <c r="C627" s="302">
        <v>1.4462544320954887</v>
      </c>
      <c r="D627" s="302">
        <f t="shared" si="232"/>
        <v>3.3939905341323895</v>
      </c>
      <c r="E627" s="303"/>
      <c r="F627" s="302">
        <v>2.1148130803772345</v>
      </c>
      <c r="G627" s="302">
        <v>1.3024225038493296</v>
      </c>
      <c r="H627" s="302">
        <f t="shared" si="233"/>
        <v>3.4172355842265638</v>
      </c>
      <c r="I627" s="303"/>
      <c r="J627" s="302">
        <v>2.9169426781094137</v>
      </c>
      <c r="K627" s="302">
        <v>1.8495849852539221</v>
      </c>
      <c r="L627" s="302">
        <f t="shared" si="234"/>
        <v>4.7665276633633358</v>
      </c>
      <c r="M627" s="236"/>
      <c r="N627" s="236"/>
    </row>
    <row r="628" spans="1:14" x14ac:dyDescent="0.3">
      <c r="A628" s="237" t="str">
        <f>name!E$11</f>
        <v>Process, plant and machine operatives</v>
      </c>
      <c r="B628" s="302">
        <v>1.1852960142375719</v>
      </c>
      <c r="C628" s="302">
        <v>4.7812630098526423</v>
      </c>
      <c r="D628" s="302">
        <f t="shared" si="232"/>
        <v>5.9665590240902144</v>
      </c>
      <c r="E628" s="303"/>
      <c r="F628" s="302">
        <v>0.94331365176085002</v>
      </c>
      <c r="G628" s="302">
        <v>4.1056359227432893</v>
      </c>
      <c r="H628" s="302">
        <f t="shared" si="233"/>
        <v>5.0489495745041388</v>
      </c>
      <c r="I628" s="303"/>
      <c r="J628" s="302">
        <v>1.5929714705743832</v>
      </c>
      <c r="K628" s="302">
        <v>4.1408817793128181</v>
      </c>
      <c r="L628" s="302">
        <f t="shared" si="234"/>
        <v>5.7338532498872015</v>
      </c>
      <c r="M628" s="236"/>
      <c r="N628" s="236"/>
    </row>
    <row r="629" spans="1:14" x14ac:dyDescent="0.3">
      <c r="A629" s="237" t="str">
        <f>name!E$12</f>
        <v>Elementary occupations</v>
      </c>
      <c r="B629" s="302">
        <v>2.5100965505730755</v>
      </c>
      <c r="C629" s="302">
        <v>1.9679028855040215</v>
      </c>
      <c r="D629" s="302">
        <f t="shared" si="232"/>
        <v>4.4779994360770967</v>
      </c>
      <c r="E629" s="303"/>
      <c r="F629" s="302">
        <v>2.2283364680755406</v>
      </c>
      <c r="G629" s="302">
        <v>1.5243917167257228</v>
      </c>
      <c r="H629" s="302">
        <f t="shared" si="233"/>
        <v>3.7527281848012635</v>
      </c>
      <c r="I629" s="303"/>
      <c r="J629" s="302">
        <v>3.1991989943676211</v>
      </c>
      <c r="K629" s="302">
        <v>1.5086625947486658</v>
      </c>
      <c r="L629" s="302">
        <f t="shared" si="234"/>
        <v>4.7078615891162867</v>
      </c>
      <c r="M629" s="236"/>
      <c r="N629" s="236"/>
    </row>
    <row r="630" spans="1:14" x14ac:dyDescent="0.3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  <c r="N630" s="236"/>
    </row>
    <row r="631" spans="1:14" x14ac:dyDescent="0.3">
      <c r="A631" s="244" t="s">
        <v>32</v>
      </c>
      <c r="B631" s="311">
        <f>SUM(B621:B629)</f>
        <v>36.82700000024699</v>
      </c>
      <c r="C631" s="311">
        <f t="shared" ref="C631:D631" si="235">SUM(C621:C629)</f>
        <v>40.171000000287393</v>
      </c>
      <c r="D631" s="311">
        <f t="shared" si="235"/>
        <v>76.99800000053439</v>
      </c>
      <c r="E631" s="311"/>
      <c r="F631" s="311">
        <f t="shared" ref="F631:H631" si="236">SUM(F621:F629)</f>
        <v>35.382999999913899</v>
      </c>
      <c r="G631" s="311">
        <f t="shared" si="236"/>
        <v>40.571999999885229</v>
      </c>
      <c r="H631" s="311">
        <f t="shared" si="236"/>
        <v>75.954999999799128</v>
      </c>
      <c r="I631" s="311"/>
      <c r="J631" s="311">
        <f t="shared" ref="J631:L631" si="237">SUM(J621:J629)</f>
        <v>40.704999999793536</v>
      </c>
      <c r="K631" s="311">
        <f t="shared" si="237"/>
        <v>43.238999999991137</v>
      </c>
      <c r="L631" s="311">
        <f t="shared" si="237"/>
        <v>83.943999999784666</v>
      </c>
      <c r="M631" s="236"/>
      <c r="N631" s="236"/>
    </row>
    <row r="632" spans="1:14" x14ac:dyDescent="0.3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  <c r="N632" s="236"/>
    </row>
    <row r="633" spans="1:14" x14ac:dyDescent="0.3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56" t="s">
        <v>35</v>
      </c>
      <c r="M633" s="236"/>
      <c r="N633" s="236"/>
    </row>
    <row r="634" spans="1:14" x14ac:dyDescent="0.3">
      <c r="A634" s="242"/>
      <c r="B634" s="250"/>
      <c r="C634" s="250"/>
      <c r="D634" s="250"/>
      <c r="E634" s="250"/>
      <c r="F634" s="250"/>
      <c r="G634" s="250"/>
      <c r="H634" s="250"/>
      <c r="I634" s="250"/>
      <c r="J634" s="250"/>
      <c r="K634" s="250"/>
      <c r="L634" s="236"/>
      <c r="M634" s="236"/>
      <c r="N634" s="236"/>
    </row>
    <row r="635" spans="1:14" x14ac:dyDescent="0.3">
      <c r="A635" s="241" t="str">
        <f>name!A40</f>
        <v>Warehousing, etc</v>
      </c>
      <c r="B635" s="373">
        <f>B$6</f>
        <v>2015</v>
      </c>
      <c r="C635" s="373"/>
      <c r="D635" s="373"/>
      <c r="E635" s="253"/>
      <c r="F635" s="373">
        <f>F618</f>
        <v>2020</v>
      </c>
      <c r="G635" s="373"/>
      <c r="H635" s="373"/>
      <c r="I635" s="253"/>
      <c r="J635" s="373">
        <f>J618</f>
        <v>2035</v>
      </c>
      <c r="K635" s="373"/>
      <c r="L635" s="373"/>
      <c r="M635" s="236"/>
      <c r="N635" s="236"/>
    </row>
    <row r="636" spans="1:14" x14ac:dyDescent="0.3">
      <c r="A636" s="254"/>
      <c r="B636" s="255" t="s">
        <v>352</v>
      </c>
      <c r="C636" s="255" t="s">
        <v>353</v>
      </c>
      <c r="D636" s="255" t="s">
        <v>32</v>
      </c>
      <c r="E636" s="255"/>
      <c r="F636" s="255" t="s">
        <v>352</v>
      </c>
      <c r="G636" s="255" t="s">
        <v>353</v>
      </c>
      <c r="H636" s="255" t="s">
        <v>32</v>
      </c>
      <c r="I636" s="255"/>
      <c r="J636" s="255" t="s">
        <v>352</v>
      </c>
      <c r="K636" s="255" t="s">
        <v>353</v>
      </c>
      <c r="L636" s="255" t="s">
        <v>32</v>
      </c>
      <c r="M636" s="236"/>
      <c r="N636" s="236"/>
    </row>
    <row r="637" spans="1:14" x14ac:dyDescent="0.3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  <c r="N637" s="236"/>
    </row>
    <row r="638" spans="1:14" x14ac:dyDescent="0.3">
      <c r="A638" s="237" t="str">
        <f>name!E$4</f>
        <v>Managers, directors and senior officials</v>
      </c>
      <c r="B638" s="302">
        <v>4.4709284706167001</v>
      </c>
      <c r="C638" s="302">
        <v>49.934882553145179</v>
      </c>
      <c r="D638" s="302">
        <f>SUM(B638:C638)</f>
        <v>54.405811023761878</v>
      </c>
      <c r="E638" s="303"/>
      <c r="F638" s="302">
        <v>7.4009394790326244</v>
      </c>
      <c r="G638" s="302">
        <v>64.75285648632439</v>
      </c>
      <c r="H638" s="302">
        <f>SUM(F638:G638)</f>
        <v>72.15379596535702</v>
      </c>
      <c r="I638" s="303"/>
      <c r="J638" s="302">
        <v>10.457270211348339</v>
      </c>
      <c r="K638" s="302">
        <v>68.924812701320477</v>
      </c>
      <c r="L638" s="302">
        <f>SUM(J638:K638)</f>
        <v>79.382082912668821</v>
      </c>
      <c r="M638" s="236"/>
      <c r="N638" s="236"/>
    </row>
    <row r="639" spans="1:14" x14ac:dyDescent="0.3">
      <c r="A639" s="237" t="str">
        <f>name!E$5</f>
        <v>Professional occupations</v>
      </c>
      <c r="B639" s="302">
        <v>4.2120848249621732</v>
      </c>
      <c r="C639" s="302">
        <v>34.235804557862068</v>
      </c>
      <c r="D639" s="302">
        <f t="shared" ref="D639:D646" si="238">SUM(B639:C639)</f>
        <v>38.447889382824243</v>
      </c>
      <c r="E639" s="303"/>
      <c r="F639" s="302">
        <v>8.0736517597833135</v>
      </c>
      <c r="G639" s="302">
        <v>49.899008222318606</v>
      </c>
      <c r="H639" s="302">
        <f t="shared" ref="H639:H646" si="239">SUM(F639:G639)</f>
        <v>57.972659982101916</v>
      </c>
      <c r="I639" s="303"/>
      <c r="J639" s="302">
        <v>12.062541527979622</v>
      </c>
      <c r="K639" s="302">
        <v>66.338654418721561</v>
      </c>
      <c r="L639" s="302">
        <f t="shared" ref="L639:L646" si="240">SUM(J639:K639)</f>
        <v>78.401195946701179</v>
      </c>
      <c r="M639" s="236"/>
      <c r="N639" s="236"/>
    </row>
    <row r="640" spans="1:14" x14ac:dyDescent="0.3">
      <c r="A640" s="237" t="str">
        <f>name!E$6</f>
        <v>Associate professional occupations</v>
      </c>
      <c r="B640" s="302">
        <v>4.4807904920603097</v>
      </c>
      <c r="C640" s="302">
        <v>31.57486694567886</v>
      </c>
      <c r="D640" s="302">
        <f t="shared" si="238"/>
        <v>36.055657437739171</v>
      </c>
      <c r="E640" s="303"/>
      <c r="F640" s="302">
        <v>7.3024282651522698</v>
      </c>
      <c r="G640" s="302">
        <v>43.609549621904293</v>
      </c>
      <c r="H640" s="302">
        <f t="shared" si="239"/>
        <v>50.911977887056565</v>
      </c>
      <c r="I640" s="303"/>
      <c r="J640" s="302">
        <v>9.4659745183447779</v>
      </c>
      <c r="K640" s="302">
        <v>48.316278319804972</v>
      </c>
      <c r="L640" s="302">
        <f t="shared" si="240"/>
        <v>57.782252838149752</v>
      </c>
      <c r="M640" s="236"/>
      <c r="N640" s="236"/>
    </row>
    <row r="641" spans="1:14" x14ac:dyDescent="0.3">
      <c r="A641" s="237" t="str">
        <f>name!E$7</f>
        <v>Administrative and secretarial occupations</v>
      </c>
      <c r="B641" s="302">
        <v>18.54775635328614</v>
      </c>
      <c r="C641" s="302">
        <v>31.700256140073083</v>
      </c>
      <c r="D641" s="302">
        <f t="shared" si="238"/>
        <v>50.248012493359226</v>
      </c>
      <c r="E641" s="303"/>
      <c r="F641" s="302">
        <v>25.042708444235124</v>
      </c>
      <c r="G641" s="302">
        <v>42.823855585358949</v>
      </c>
      <c r="H641" s="302">
        <f t="shared" si="239"/>
        <v>67.866564029594073</v>
      </c>
      <c r="I641" s="303"/>
      <c r="J641" s="302">
        <v>21.723637610070746</v>
      </c>
      <c r="K641" s="302">
        <v>47.394162718753442</v>
      </c>
      <c r="L641" s="302">
        <f t="shared" si="240"/>
        <v>69.117800328824188</v>
      </c>
      <c r="M641" s="236"/>
      <c r="N641" s="236"/>
    </row>
    <row r="642" spans="1:14" x14ac:dyDescent="0.3">
      <c r="A642" s="237" t="str">
        <f>name!E$8</f>
        <v>Skilled trades occupations</v>
      </c>
      <c r="B642" s="302">
        <v>0.53760460644910879</v>
      </c>
      <c r="C642" s="302">
        <v>17.952876716093538</v>
      </c>
      <c r="D642" s="302">
        <f t="shared" si="238"/>
        <v>18.490481322542646</v>
      </c>
      <c r="E642" s="303"/>
      <c r="F642" s="302">
        <v>0.75382806963743998</v>
      </c>
      <c r="G642" s="302">
        <v>17.279558693428235</v>
      </c>
      <c r="H642" s="302">
        <f t="shared" si="239"/>
        <v>18.033386763065675</v>
      </c>
      <c r="I642" s="303"/>
      <c r="J642" s="302">
        <v>1.9278632135860643</v>
      </c>
      <c r="K642" s="302">
        <v>18.981313128701011</v>
      </c>
      <c r="L642" s="302">
        <f t="shared" si="240"/>
        <v>20.909176342287076</v>
      </c>
      <c r="M642" s="236"/>
      <c r="N642" s="236"/>
    </row>
    <row r="643" spans="1:14" x14ac:dyDescent="0.3">
      <c r="A643" s="237" t="str">
        <f>name!E$9</f>
        <v>Caring, leisure and other service occupations</v>
      </c>
      <c r="B643" s="302">
        <v>27.103056644147777</v>
      </c>
      <c r="C643" s="302">
        <v>23.021443721696688</v>
      </c>
      <c r="D643" s="302">
        <f t="shared" si="238"/>
        <v>50.124500365844469</v>
      </c>
      <c r="E643" s="303"/>
      <c r="F643" s="302">
        <v>28.182395706983343</v>
      </c>
      <c r="G643" s="302">
        <v>29.740001840770073</v>
      </c>
      <c r="H643" s="302">
        <f t="shared" si="239"/>
        <v>57.92239754775342</v>
      </c>
      <c r="I643" s="303"/>
      <c r="J643" s="302">
        <v>29.306581608293438</v>
      </c>
      <c r="K643" s="302">
        <v>35.123758006746002</v>
      </c>
      <c r="L643" s="302">
        <f t="shared" si="240"/>
        <v>64.430339615039443</v>
      </c>
      <c r="M643" s="236"/>
      <c r="N643" s="236"/>
    </row>
    <row r="644" spans="1:14" x14ac:dyDescent="0.3">
      <c r="A644" s="237" t="str">
        <f>name!E$10</f>
        <v>Sales and customer service occupations</v>
      </c>
      <c r="B644" s="302">
        <v>6.3255421889417249</v>
      </c>
      <c r="C644" s="302">
        <v>20.144881289735626</v>
      </c>
      <c r="D644" s="302">
        <f t="shared" si="238"/>
        <v>26.47042347867735</v>
      </c>
      <c r="E644" s="303"/>
      <c r="F644" s="302">
        <v>8.7136855048886019</v>
      </c>
      <c r="G644" s="302">
        <v>24.879904919874264</v>
      </c>
      <c r="H644" s="302">
        <f t="shared" si="239"/>
        <v>33.593590424762866</v>
      </c>
      <c r="I644" s="303"/>
      <c r="J644" s="302">
        <v>10.109622994559537</v>
      </c>
      <c r="K644" s="302">
        <v>31.418159023812223</v>
      </c>
      <c r="L644" s="302">
        <f t="shared" si="240"/>
        <v>41.527782018371759</v>
      </c>
      <c r="M644" s="236"/>
      <c r="N644" s="236"/>
    </row>
    <row r="645" spans="1:14" x14ac:dyDescent="0.3">
      <c r="A645" s="237" t="str">
        <f>name!E$11</f>
        <v>Process, plant and machine operatives</v>
      </c>
      <c r="B645" s="302">
        <v>2.8874684037822846</v>
      </c>
      <c r="C645" s="302">
        <v>98.844236688668957</v>
      </c>
      <c r="D645" s="302">
        <f t="shared" si="238"/>
        <v>101.73170509245124</v>
      </c>
      <c r="E645" s="303"/>
      <c r="F645" s="302">
        <v>3.4309771184613953</v>
      </c>
      <c r="G645" s="302">
        <v>104.36164645188481</v>
      </c>
      <c r="H645" s="302">
        <f t="shared" si="239"/>
        <v>107.79262357034621</v>
      </c>
      <c r="I645" s="303"/>
      <c r="J645" s="302">
        <v>8.2810555265705474</v>
      </c>
      <c r="K645" s="302">
        <v>114.15009305242225</v>
      </c>
      <c r="L645" s="302">
        <f t="shared" si="240"/>
        <v>122.4311485789928</v>
      </c>
      <c r="M645" s="236"/>
      <c r="N645" s="236"/>
    </row>
    <row r="646" spans="1:14" x14ac:dyDescent="0.3">
      <c r="A646" s="237" t="str">
        <f>name!E$12</f>
        <v>Elementary occupations</v>
      </c>
      <c r="B646" s="302">
        <v>10.620768016160968</v>
      </c>
      <c r="C646" s="302">
        <v>96.963751389790772</v>
      </c>
      <c r="D646" s="302">
        <f t="shared" si="238"/>
        <v>107.58451940595174</v>
      </c>
      <c r="E646" s="303"/>
      <c r="F646" s="302">
        <v>12.796385651837504</v>
      </c>
      <c r="G646" s="302">
        <v>88.337618178031562</v>
      </c>
      <c r="H646" s="302">
        <f t="shared" si="239"/>
        <v>101.13400382986907</v>
      </c>
      <c r="I646" s="303"/>
      <c r="J646" s="302">
        <v>15.708452788096189</v>
      </c>
      <c r="K646" s="302">
        <v>60.955768631818678</v>
      </c>
      <c r="L646" s="302">
        <f t="shared" si="240"/>
        <v>76.664221419914867</v>
      </c>
      <c r="M646" s="236"/>
      <c r="N646" s="236"/>
    </row>
    <row r="647" spans="1:14" x14ac:dyDescent="0.3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  <c r="N647" s="236"/>
    </row>
    <row r="648" spans="1:14" x14ac:dyDescent="0.3">
      <c r="A648" s="244" t="s">
        <v>32</v>
      </c>
      <c r="B648" s="311">
        <f>SUM(B638:B646)</f>
        <v>79.186000000407176</v>
      </c>
      <c r="C648" s="311">
        <f t="shared" ref="C648:D648" si="241">SUM(C638:C646)</f>
        <v>404.37300000274479</v>
      </c>
      <c r="D648" s="311">
        <f t="shared" si="241"/>
        <v>483.55900000315194</v>
      </c>
      <c r="E648" s="311"/>
      <c r="F648" s="311">
        <f t="shared" ref="F648:H648" si="242">SUM(F638:F646)</f>
        <v>101.69700000001163</v>
      </c>
      <c r="G648" s="311">
        <f t="shared" si="242"/>
        <v>465.68399999989515</v>
      </c>
      <c r="H648" s="311">
        <f t="shared" si="242"/>
        <v>567.38099999990686</v>
      </c>
      <c r="I648" s="311"/>
      <c r="J648" s="311">
        <f t="shared" ref="J648:L648" si="243">SUM(J638:J646)</f>
        <v>119.04299999884927</v>
      </c>
      <c r="K648" s="311">
        <f t="shared" si="243"/>
        <v>491.6030000021006</v>
      </c>
      <c r="L648" s="311">
        <f t="shared" si="243"/>
        <v>610.64600000094981</v>
      </c>
      <c r="M648" s="236"/>
      <c r="N648" s="236"/>
    </row>
    <row r="649" spans="1:14" x14ac:dyDescent="0.3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  <c r="N649" s="236"/>
    </row>
    <row r="650" spans="1:14" x14ac:dyDescent="0.3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56" t="s">
        <v>35</v>
      </c>
      <c r="M650" s="236"/>
      <c r="N650" s="236"/>
    </row>
    <row r="651" spans="1:14" x14ac:dyDescent="0.3">
      <c r="A651" s="242"/>
      <c r="B651" s="250"/>
      <c r="C651" s="250"/>
      <c r="D651" s="250"/>
      <c r="E651" s="250"/>
      <c r="F651" s="250"/>
      <c r="G651" s="250"/>
      <c r="H651" s="250"/>
      <c r="I651" s="250"/>
      <c r="J651" s="250"/>
      <c r="K651" s="250"/>
      <c r="L651" s="236"/>
      <c r="M651" s="236"/>
      <c r="N651" s="236"/>
    </row>
    <row r="652" spans="1:14" x14ac:dyDescent="0.3">
      <c r="A652" s="241" t="str">
        <f>name!A41</f>
        <v>Postal and courier</v>
      </c>
      <c r="B652" s="373">
        <f>B$6</f>
        <v>2015</v>
      </c>
      <c r="C652" s="373"/>
      <c r="D652" s="373"/>
      <c r="E652" s="253"/>
      <c r="F652" s="373">
        <f>F635</f>
        <v>2020</v>
      </c>
      <c r="G652" s="373"/>
      <c r="H652" s="373"/>
      <c r="I652" s="253"/>
      <c r="J652" s="373">
        <f>J635</f>
        <v>2035</v>
      </c>
      <c r="K652" s="373"/>
      <c r="L652" s="373"/>
      <c r="M652" s="236"/>
      <c r="N652" s="236"/>
    </row>
    <row r="653" spans="1:14" x14ac:dyDescent="0.3">
      <c r="A653" s="254"/>
      <c r="B653" s="255" t="s">
        <v>352</v>
      </c>
      <c r="C653" s="255" t="s">
        <v>353</v>
      </c>
      <c r="D653" s="255" t="s">
        <v>32</v>
      </c>
      <c r="E653" s="255"/>
      <c r="F653" s="255" t="s">
        <v>352</v>
      </c>
      <c r="G653" s="255" t="s">
        <v>353</v>
      </c>
      <c r="H653" s="255" t="s">
        <v>32</v>
      </c>
      <c r="I653" s="255"/>
      <c r="J653" s="255" t="s">
        <v>352</v>
      </c>
      <c r="K653" s="255" t="s">
        <v>353</v>
      </c>
      <c r="L653" s="255" t="s">
        <v>32</v>
      </c>
      <c r="M653" s="236"/>
      <c r="N653" s="236"/>
    </row>
    <row r="654" spans="1:14" x14ac:dyDescent="0.3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  <c r="N654" s="236"/>
    </row>
    <row r="655" spans="1:14" x14ac:dyDescent="0.3">
      <c r="A655" s="237" t="str">
        <f>name!E$4</f>
        <v>Managers, directors and senior officials</v>
      </c>
      <c r="B655" s="302">
        <v>9.9000135789553916</v>
      </c>
      <c r="C655" s="302">
        <v>12.217387082586235</v>
      </c>
      <c r="D655" s="302">
        <f>SUM(B655:C655)</f>
        <v>22.117400661541627</v>
      </c>
      <c r="E655" s="303"/>
      <c r="F655" s="302">
        <v>15.344456985549359</v>
      </c>
      <c r="G655" s="302">
        <v>14.817560650527009</v>
      </c>
      <c r="H655" s="302">
        <f>SUM(F655:G655)</f>
        <v>30.162017636076367</v>
      </c>
      <c r="I655" s="303"/>
      <c r="J655" s="302">
        <v>20.576904658522405</v>
      </c>
      <c r="K655" s="302">
        <v>15.159542494765974</v>
      </c>
      <c r="L655" s="302">
        <f>SUM(J655:K655)</f>
        <v>35.736447153288381</v>
      </c>
      <c r="M655" s="236"/>
      <c r="N655" s="236"/>
    </row>
    <row r="656" spans="1:14" x14ac:dyDescent="0.3">
      <c r="A656" s="237" t="str">
        <f>name!E$5</f>
        <v>Professional occupations</v>
      </c>
      <c r="B656" s="302">
        <v>6.7248359636842086</v>
      </c>
      <c r="C656" s="302">
        <v>6.5293642806711913</v>
      </c>
      <c r="D656" s="302">
        <f t="shared" ref="D656:D663" si="244">SUM(B656:C656)</f>
        <v>13.254200244355399</v>
      </c>
      <c r="E656" s="303"/>
      <c r="F656" s="302">
        <v>11.280653574020763</v>
      </c>
      <c r="G656" s="302">
        <v>8.8803908667811964</v>
      </c>
      <c r="H656" s="302">
        <f t="shared" ref="H656:H663" si="245">SUM(F656:G656)</f>
        <v>20.161044440801959</v>
      </c>
      <c r="I656" s="303"/>
      <c r="J656" s="302">
        <v>15.134767952763504</v>
      </c>
      <c r="K656" s="302">
        <v>10.834583236646624</v>
      </c>
      <c r="L656" s="302">
        <f t="shared" ref="L656:L663" si="246">SUM(J656:K656)</f>
        <v>25.969351189410126</v>
      </c>
      <c r="M656" s="236"/>
      <c r="N656" s="236"/>
    </row>
    <row r="657" spans="1:14" x14ac:dyDescent="0.3">
      <c r="A657" s="237" t="str">
        <f>name!E$6</f>
        <v>Associate professional occupations</v>
      </c>
      <c r="B657" s="302">
        <v>7.4895186661803619</v>
      </c>
      <c r="C657" s="302">
        <v>8.0646156194848881</v>
      </c>
      <c r="D657" s="302">
        <f t="shared" si="244"/>
        <v>15.554134285665249</v>
      </c>
      <c r="E657" s="303"/>
      <c r="F657" s="302">
        <v>10.660342979473599</v>
      </c>
      <c r="G657" s="302">
        <v>9.8727509813455825</v>
      </c>
      <c r="H657" s="302">
        <f t="shared" si="245"/>
        <v>20.53309396081918</v>
      </c>
      <c r="I657" s="303"/>
      <c r="J657" s="302">
        <v>12.713957795824818</v>
      </c>
      <c r="K657" s="302">
        <v>10.321403802687982</v>
      </c>
      <c r="L657" s="302">
        <f t="shared" si="246"/>
        <v>23.0353615985128</v>
      </c>
      <c r="M657" s="236"/>
      <c r="N657" s="236"/>
    </row>
    <row r="658" spans="1:14" x14ac:dyDescent="0.3">
      <c r="A658" s="237" t="str">
        <f>name!E$7</f>
        <v>Administrative and secretarial occupations</v>
      </c>
      <c r="B658" s="302">
        <v>37.611091782908737</v>
      </c>
      <c r="C658" s="302">
        <v>9.0859644253020466</v>
      </c>
      <c r="D658" s="302">
        <f t="shared" si="244"/>
        <v>46.697056208210782</v>
      </c>
      <c r="E658" s="303"/>
      <c r="F658" s="302">
        <v>45.243396607250872</v>
      </c>
      <c r="G658" s="302">
        <v>11.478621411190385</v>
      </c>
      <c r="H658" s="302">
        <f t="shared" si="245"/>
        <v>56.722018018441261</v>
      </c>
      <c r="I658" s="303"/>
      <c r="J658" s="302">
        <v>44.944797577810249</v>
      </c>
      <c r="K658" s="302">
        <v>12.14177618733204</v>
      </c>
      <c r="L658" s="302">
        <f t="shared" si="246"/>
        <v>57.08657376514229</v>
      </c>
      <c r="M658" s="236"/>
      <c r="N658" s="236"/>
    </row>
    <row r="659" spans="1:14" x14ac:dyDescent="0.3">
      <c r="A659" s="237" t="str">
        <f>name!E$8</f>
        <v>Skilled trades occupations</v>
      </c>
      <c r="B659" s="302">
        <v>0.95374575392628491</v>
      </c>
      <c r="C659" s="302">
        <v>13.555066428473005</v>
      </c>
      <c r="D659" s="302">
        <f t="shared" si="244"/>
        <v>14.508812182399289</v>
      </c>
      <c r="E659" s="303"/>
      <c r="F659" s="302">
        <v>1.2024975084292611</v>
      </c>
      <c r="G659" s="302">
        <v>13.524570482167023</v>
      </c>
      <c r="H659" s="302">
        <f t="shared" si="245"/>
        <v>14.727067990596284</v>
      </c>
      <c r="I659" s="303"/>
      <c r="J659" s="302">
        <v>2.7571542431305684</v>
      </c>
      <c r="K659" s="302">
        <v>13.868754578216686</v>
      </c>
      <c r="L659" s="302">
        <f t="shared" si="246"/>
        <v>16.625908821347256</v>
      </c>
      <c r="M659" s="236"/>
      <c r="N659" s="236"/>
    </row>
    <row r="660" spans="1:14" x14ac:dyDescent="0.3">
      <c r="A660" s="237" t="str">
        <f>name!E$9</f>
        <v>Caring, leisure and other service occupations</v>
      </c>
      <c r="B660" s="302">
        <v>3.5280728616561667</v>
      </c>
      <c r="C660" s="302">
        <v>4.7347236460062758</v>
      </c>
      <c r="D660" s="302">
        <f t="shared" si="244"/>
        <v>8.2627965076624434</v>
      </c>
      <c r="E660" s="303"/>
      <c r="F660" s="302">
        <v>4.0494770464889545</v>
      </c>
      <c r="G660" s="302">
        <v>5.9009891434760684</v>
      </c>
      <c r="H660" s="302">
        <f t="shared" si="245"/>
        <v>9.9504661899650237</v>
      </c>
      <c r="I660" s="303"/>
      <c r="J660" s="302">
        <v>4.4682078877896849</v>
      </c>
      <c r="K660" s="302">
        <v>8.0746205283087384</v>
      </c>
      <c r="L660" s="302">
        <f t="shared" si="246"/>
        <v>12.542828416098423</v>
      </c>
      <c r="M660" s="236"/>
      <c r="N660" s="236"/>
    </row>
    <row r="661" spans="1:14" x14ac:dyDescent="0.3">
      <c r="A661" s="237" t="str">
        <f>name!E$10</f>
        <v>Sales and customer service occupations</v>
      </c>
      <c r="B661" s="302">
        <v>11.924541097664722</v>
      </c>
      <c r="C661" s="302">
        <v>4.7489240656612379</v>
      </c>
      <c r="D661" s="302">
        <f t="shared" si="244"/>
        <v>16.673465163325961</v>
      </c>
      <c r="E661" s="303"/>
      <c r="F661" s="302">
        <v>14.415242926907325</v>
      </c>
      <c r="G661" s="302">
        <v>5.3056864588870898</v>
      </c>
      <c r="H661" s="302">
        <f t="shared" si="245"/>
        <v>19.720929385794413</v>
      </c>
      <c r="I661" s="303"/>
      <c r="J661" s="302">
        <v>18.429556893136485</v>
      </c>
      <c r="K661" s="302">
        <v>7.4119431614974163</v>
      </c>
      <c r="L661" s="302">
        <f t="shared" si="246"/>
        <v>25.841500054633901</v>
      </c>
      <c r="M661" s="236"/>
      <c r="N661" s="236"/>
    </row>
    <row r="662" spans="1:14" x14ac:dyDescent="0.3">
      <c r="A662" s="237" t="str">
        <f>name!E$11</f>
        <v>Process, plant and machine operatives</v>
      </c>
      <c r="B662" s="302">
        <v>3.6663279373673316</v>
      </c>
      <c r="C662" s="302">
        <v>33.27149515289242</v>
      </c>
      <c r="D662" s="302">
        <f t="shared" si="244"/>
        <v>36.937823090259755</v>
      </c>
      <c r="E662" s="303"/>
      <c r="F662" s="302">
        <v>3.8245754888776173</v>
      </c>
      <c r="G662" s="302">
        <v>33.906890204711743</v>
      </c>
      <c r="H662" s="302">
        <f t="shared" si="245"/>
        <v>37.731465693589364</v>
      </c>
      <c r="I662" s="303"/>
      <c r="J662" s="302">
        <v>7.2540341215143105</v>
      </c>
      <c r="K662" s="302">
        <v>35.574232512818298</v>
      </c>
      <c r="L662" s="302">
        <f t="shared" si="246"/>
        <v>42.828266634332607</v>
      </c>
      <c r="M662" s="236"/>
      <c r="N662" s="236"/>
    </row>
    <row r="663" spans="1:14" x14ac:dyDescent="0.3">
      <c r="A663" s="237" t="str">
        <f>name!E$12</f>
        <v>Elementary occupations</v>
      </c>
      <c r="B663" s="302">
        <v>34.205852358656273</v>
      </c>
      <c r="C663" s="302">
        <v>76.178459300679066</v>
      </c>
      <c r="D663" s="302">
        <f t="shared" si="244"/>
        <v>110.38431165933534</v>
      </c>
      <c r="E663" s="303"/>
      <c r="F663" s="302">
        <v>36.775356883623246</v>
      </c>
      <c r="G663" s="302">
        <v>74.592539800624039</v>
      </c>
      <c r="H663" s="302">
        <f t="shared" si="245"/>
        <v>111.36789668424728</v>
      </c>
      <c r="I663" s="303"/>
      <c r="J663" s="302">
        <v>38.157618867997982</v>
      </c>
      <c r="K663" s="302">
        <v>73.294143498482882</v>
      </c>
      <c r="L663" s="302">
        <f t="shared" si="246"/>
        <v>111.45176236648086</v>
      </c>
      <c r="M663" s="236"/>
      <c r="N663" s="236"/>
    </row>
    <row r="664" spans="1:14" x14ac:dyDescent="0.3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  <c r="N664" s="236"/>
    </row>
    <row r="665" spans="1:14" x14ac:dyDescent="0.3">
      <c r="A665" s="244" t="s">
        <v>32</v>
      </c>
      <c r="B665" s="311">
        <f>SUM(B655:B663)</f>
        <v>116.00400000099947</v>
      </c>
      <c r="C665" s="311">
        <f t="shared" ref="C665:D665" si="247">SUM(C655:C663)</f>
        <v>168.38600000175637</v>
      </c>
      <c r="D665" s="311">
        <f t="shared" si="247"/>
        <v>284.39000000275587</v>
      </c>
      <c r="E665" s="311"/>
      <c r="F665" s="311">
        <f t="shared" ref="F665:H665" si="248">SUM(F655:F663)</f>
        <v>142.79600000062101</v>
      </c>
      <c r="G665" s="311">
        <f t="shared" si="248"/>
        <v>178.27999999971013</v>
      </c>
      <c r="H665" s="311">
        <f t="shared" si="248"/>
        <v>321.07600000033119</v>
      </c>
      <c r="I665" s="311"/>
      <c r="J665" s="311">
        <f t="shared" ref="J665:L665" si="249">SUM(J655:J663)</f>
        <v>164.43699999849002</v>
      </c>
      <c r="K665" s="311">
        <f t="shared" si="249"/>
        <v>186.68100000075663</v>
      </c>
      <c r="L665" s="311">
        <f t="shared" si="249"/>
        <v>351.11799999924665</v>
      </c>
      <c r="M665" s="236"/>
      <c r="N665" s="236"/>
    </row>
    <row r="666" spans="1:14" x14ac:dyDescent="0.3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  <c r="N666" s="236"/>
    </row>
    <row r="667" spans="1:14" x14ac:dyDescent="0.3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56" t="s">
        <v>35</v>
      </c>
      <c r="M667" s="236"/>
      <c r="N667" s="236"/>
    </row>
    <row r="668" spans="1:14" x14ac:dyDescent="0.3">
      <c r="A668" s="242"/>
      <c r="B668" s="250"/>
      <c r="C668" s="250"/>
      <c r="D668" s="250"/>
      <c r="E668" s="250"/>
      <c r="F668" s="250"/>
      <c r="G668" s="250"/>
      <c r="H668" s="250"/>
      <c r="I668" s="250"/>
      <c r="J668" s="250"/>
      <c r="K668" s="250"/>
      <c r="L668" s="236"/>
      <c r="M668" s="236"/>
      <c r="N668" s="236"/>
    </row>
    <row r="669" spans="1:14" x14ac:dyDescent="0.3">
      <c r="A669" s="241" t="str">
        <f>name!A42</f>
        <v>Accommodation</v>
      </c>
      <c r="B669" s="373">
        <f>B$6</f>
        <v>2015</v>
      </c>
      <c r="C669" s="373"/>
      <c r="D669" s="373"/>
      <c r="E669" s="253"/>
      <c r="F669" s="373">
        <f>F652</f>
        <v>2020</v>
      </c>
      <c r="G669" s="373"/>
      <c r="H669" s="373"/>
      <c r="I669" s="253"/>
      <c r="J669" s="373">
        <f>J652</f>
        <v>2035</v>
      </c>
      <c r="K669" s="373"/>
      <c r="L669" s="373"/>
      <c r="M669" s="236"/>
      <c r="N669" s="236"/>
    </row>
    <row r="670" spans="1:14" x14ac:dyDescent="0.3">
      <c r="A670" s="254"/>
      <c r="B670" s="255" t="s">
        <v>352</v>
      </c>
      <c r="C670" s="255" t="s">
        <v>353</v>
      </c>
      <c r="D670" s="255" t="s">
        <v>32</v>
      </c>
      <c r="E670" s="255"/>
      <c r="F670" s="255" t="s">
        <v>352</v>
      </c>
      <c r="G670" s="255" t="s">
        <v>353</v>
      </c>
      <c r="H670" s="255" t="s">
        <v>32</v>
      </c>
      <c r="I670" s="255"/>
      <c r="J670" s="255" t="s">
        <v>352</v>
      </c>
      <c r="K670" s="255" t="s">
        <v>353</v>
      </c>
      <c r="L670" s="255" t="s">
        <v>32</v>
      </c>
      <c r="M670" s="236"/>
      <c r="N670" s="236"/>
    </row>
    <row r="671" spans="1:14" x14ac:dyDescent="0.3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  <c r="N671" s="236"/>
    </row>
    <row r="672" spans="1:14" x14ac:dyDescent="0.3">
      <c r="A672" s="237" t="str">
        <f>name!E$4</f>
        <v>Managers, directors and senior officials</v>
      </c>
      <c r="B672" s="302">
        <v>31.78307735151358</v>
      </c>
      <c r="C672" s="302">
        <v>34.439755424039042</v>
      </c>
      <c r="D672" s="302">
        <f>SUM(B672:C672)</f>
        <v>66.222832775552618</v>
      </c>
      <c r="E672" s="303"/>
      <c r="F672" s="302">
        <v>37.028610411891151</v>
      </c>
      <c r="G672" s="302">
        <v>38.162957329491178</v>
      </c>
      <c r="H672" s="302">
        <f>SUM(F672:G672)</f>
        <v>75.191567741382329</v>
      </c>
      <c r="I672" s="303"/>
      <c r="J672" s="302">
        <v>50.628385829778502</v>
      </c>
      <c r="K672" s="302">
        <v>52.779524629592011</v>
      </c>
      <c r="L672" s="302">
        <f>SUM(J672:K672)</f>
        <v>103.40791045937051</v>
      </c>
      <c r="M672" s="236"/>
      <c r="N672" s="236"/>
    </row>
    <row r="673" spans="1:14" x14ac:dyDescent="0.3">
      <c r="A673" s="237" t="str">
        <f>name!E$5</f>
        <v>Professional occupations</v>
      </c>
      <c r="B673" s="302">
        <v>8.9683939903581749</v>
      </c>
      <c r="C673" s="302">
        <v>7.1562699001965813</v>
      </c>
      <c r="D673" s="302">
        <f t="shared" ref="D673:D680" si="250">SUM(B673:C673)</f>
        <v>16.124663890554757</v>
      </c>
      <c r="E673" s="303"/>
      <c r="F673" s="302">
        <v>11.83018556466461</v>
      </c>
      <c r="G673" s="302">
        <v>9.3436192259359121</v>
      </c>
      <c r="H673" s="302">
        <f t="shared" ref="H673:H680" si="251">SUM(F673:G673)</f>
        <v>21.173804790600521</v>
      </c>
      <c r="I673" s="303"/>
      <c r="J673" s="302">
        <v>14.906748003965685</v>
      </c>
      <c r="K673" s="302">
        <v>11.207736464644659</v>
      </c>
      <c r="L673" s="302">
        <f t="shared" ref="L673:L680" si="252">SUM(J673:K673)</f>
        <v>26.114484468610343</v>
      </c>
      <c r="M673" s="236"/>
      <c r="N673" s="236"/>
    </row>
    <row r="674" spans="1:14" x14ac:dyDescent="0.3">
      <c r="A674" s="237" t="str">
        <f>name!E$6</f>
        <v>Associate professional occupations</v>
      </c>
      <c r="B674" s="302">
        <v>9.8391906335410386</v>
      </c>
      <c r="C674" s="302">
        <v>6.170818788131327</v>
      </c>
      <c r="D674" s="302">
        <f t="shared" si="250"/>
        <v>16.010009421672365</v>
      </c>
      <c r="E674" s="303"/>
      <c r="F674" s="302">
        <v>12.304543238487772</v>
      </c>
      <c r="G674" s="302">
        <v>7.4351007885641431</v>
      </c>
      <c r="H674" s="302">
        <f t="shared" si="251"/>
        <v>19.739644027051916</v>
      </c>
      <c r="I674" s="303"/>
      <c r="J674" s="302">
        <v>16.54002583826902</v>
      </c>
      <c r="K674" s="302">
        <v>7.9596243494838488</v>
      </c>
      <c r="L674" s="302">
        <f t="shared" si="252"/>
        <v>24.49965018775287</v>
      </c>
      <c r="M674" s="236"/>
      <c r="N674" s="236"/>
    </row>
    <row r="675" spans="1:14" x14ac:dyDescent="0.3">
      <c r="A675" s="237" t="str">
        <f>name!E$7</f>
        <v>Administrative and secretarial occupations</v>
      </c>
      <c r="B675" s="302">
        <v>20.35833528924023</v>
      </c>
      <c r="C675" s="302">
        <v>6.3359470267903184</v>
      </c>
      <c r="D675" s="302">
        <f t="shared" si="250"/>
        <v>26.694282316030549</v>
      </c>
      <c r="E675" s="303"/>
      <c r="F675" s="302">
        <v>20.804520065535193</v>
      </c>
      <c r="G675" s="302">
        <v>7.0665268375644139</v>
      </c>
      <c r="H675" s="302">
        <f t="shared" si="251"/>
        <v>27.871046903099607</v>
      </c>
      <c r="I675" s="303"/>
      <c r="J675" s="302">
        <v>26.136721775732898</v>
      </c>
      <c r="K675" s="302">
        <v>9.6521080040701062</v>
      </c>
      <c r="L675" s="302">
        <f t="shared" si="252"/>
        <v>35.788829779803002</v>
      </c>
      <c r="M675" s="236"/>
      <c r="N675" s="236"/>
    </row>
    <row r="676" spans="1:14" x14ac:dyDescent="0.3">
      <c r="A676" s="237" t="str">
        <f>name!E$8</f>
        <v>Skilled trades occupations</v>
      </c>
      <c r="B676" s="302">
        <v>25.069736104097583</v>
      </c>
      <c r="C676" s="302">
        <v>57.212383961295203</v>
      </c>
      <c r="D676" s="302">
        <f t="shared" si="250"/>
        <v>82.282120065392789</v>
      </c>
      <c r="E676" s="303"/>
      <c r="F676" s="302">
        <v>24.16566422755611</v>
      </c>
      <c r="G676" s="302">
        <v>45.69457187161062</v>
      </c>
      <c r="H676" s="302">
        <f t="shared" si="251"/>
        <v>69.860236099166727</v>
      </c>
      <c r="I676" s="303"/>
      <c r="J676" s="302">
        <v>24.674588057892183</v>
      </c>
      <c r="K676" s="302">
        <v>45.921622292302864</v>
      </c>
      <c r="L676" s="302">
        <f t="shared" si="252"/>
        <v>70.596210350195051</v>
      </c>
      <c r="M676" s="236"/>
      <c r="N676" s="236"/>
    </row>
    <row r="677" spans="1:14" x14ac:dyDescent="0.3">
      <c r="A677" s="237" t="str">
        <f>name!E$9</f>
        <v>Caring, leisure and other service occupations</v>
      </c>
      <c r="B677" s="302">
        <v>20.493601287385495</v>
      </c>
      <c r="C677" s="302">
        <v>3.7297573743654042</v>
      </c>
      <c r="D677" s="302">
        <f t="shared" si="250"/>
        <v>24.2233586617509</v>
      </c>
      <c r="E677" s="303"/>
      <c r="F677" s="302">
        <v>19.841365263803507</v>
      </c>
      <c r="G677" s="302">
        <v>4.5194372064182531</v>
      </c>
      <c r="H677" s="302">
        <f t="shared" si="251"/>
        <v>24.36080247022176</v>
      </c>
      <c r="I677" s="303"/>
      <c r="J677" s="302">
        <v>25.130147263739403</v>
      </c>
      <c r="K677" s="302">
        <v>5.3909629363357157</v>
      </c>
      <c r="L677" s="302">
        <f t="shared" si="252"/>
        <v>30.521110200075118</v>
      </c>
      <c r="M677" s="236"/>
      <c r="N677" s="236"/>
    </row>
    <row r="678" spans="1:14" x14ac:dyDescent="0.3">
      <c r="A678" s="237" t="str">
        <f>name!E$10</f>
        <v>Sales and customer service occupations</v>
      </c>
      <c r="B678" s="302">
        <v>23.364724059830728</v>
      </c>
      <c r="C678" s="302">
        <v>13.997941647269993</v>
      </c>
      <c r="D678" s="302">
        <f t="shared" si="250"/>
        <v>37.362665707100717</v>
      </c>
      <c r="E678" s="303"/>
      <c r="F678" s="302">
        <v>25.346699344878775</v>
      </c>
      <c r="G678" s="302">
        <v>16.184264409305325</v>
      </c>
      <c r="H678" s="302">
        <f t="shared" si="251"/>
        <v>41.5309637541841</v>
      </c>
      <c r="I678" s="303"/>
      <c r="J678" s="302">
        <v>34.771725676003477</v>
      </c>
      <c r="K678" s="302">
        <v>20.059036914170903</v>
      </c>
      <c r="L678" s="302">
        <f t="shared" si="252"/>
        <v>54.83076259017438</v>
      </c>
      <c r="M678" s="236"/>
      <c r="N678" s="236"/>
    </row>
    <row r="679" spans="1:14" x14ac:dyDescent="0.3">
      <c r="A679" s="237" t="str">
        <f>name!E$11</f>
        <v>Process, plant and machine operatives</v>
      </c>
      <c r="B679" s="302">
        <v>2.8581349572842849</v>
      </c>
      <c r="C679" s="302">
        <v>10.028992419207318</v>
      </c>
      <c r="D679" s="302">
        <f t="shared" si="250"/>
        <v>12.887127376491604</v>
      </c>
      <c r="E679" s="303"/>
      <c r="F679" s="302">
        <v>2.5737923355799235</v>
      </c>
      <c r="G679" s="302">
        <v>11.144363206786601</v>
      </c>
      <c r="H679" s="302">
        <f t="shared" si="251"/>
        <v>13.718155542366524</v>
      </c>
      <c r="I679" s="303"/>
      <c r="J679" s="302">
        <v>6.4692773845008968</v>
      </c>
      <c r="K679" s="302">
        <v>14.802837095264662</v>
      </c>
      <c r="L679" s="302">
        <f t="shared" si="252"/>
        <v>21.272114479765559</v>
      </c>
      <c r="M679" s="236"/>
      <c r="N679" s="236"/>
    </row>
    <row r="680" spans="1:14" x14ac:dyDescent="0.3">
      <c r="A680" s="237" t="str">
        <f>name!E$12</f>
        <v>Elementary occupations</v>
      </c>
      <c r="B680" s="302">
        <v>132.24680633138706</v>
      </c>
      <c r="C680" s="302">
        <v>77.913133460784579</v>
      </c>
      <c r="D680" s="302">
        <f t="shared" si="250"/>
        <v>210.15993979217166</v>
      </c>
      <c r="E680" s="303"/>
      <c r="F680" s="302">
        <v>140.34561955048792</v>
      </c>
      <c r="G680" s="302">
        <v>80.583159123437483</v>
      </c>
      <c r="H680" s="302">
        <f t="shared" si="251"/>
        <v>220.92877867392542</v>
      </c>
      <c r="I680" s="303"/>
      <c r="J680" s="302">
        <v>164.73338016714794</v>
      </c>
      <c r="K680" s="302">
        <v>92.24354731452901</v>
      </c>
      <c r="L680" s="302">
        <f t="shared" si="252"/>
        <v>256.97692748167697</v>
      </c>
      <c r="M680" s="236"/>
      <c r="N680" s="236"/>
    </row>
    <row r="681" spans="1:14" x14ac:dyDescent="0.3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  <c r="N681" s="236"/>
    </row>
    <row r="682" spans="1:14" x14ac:dyDescent="0.3">
      <c r="A682" s="244" t="s">
        <v>32</v>
      </c>
      <c r="B682" s="311">
        <f>SUM(B672:B680)</f>
        <v>274.98200000463817</v>
      </c>
      <c r="C682" s="311">
        <f t="shared" ref="C682:D682" si="253">SUM(C672:C680)</f>
        <v>216.9850000020798</v>
      </c>
      <c r="D682" s="311">
        <f t="shared" si="253"/>
        <v>491.96700000671797</v>
      </c>
      <c r="E682" s="311"/>
      <c r="F682" s="311">
        <f t="shared" ref="F682:H682" si="254">SUM(F672:F680)</f>
        <v>294.24100000288496</v>
      </c>
      <c r="G682" s="311">
        <f t="shared" si="254"/>
        <v>220.13399999911394</v>
      </c>
      <c r="H682" s="311">
        <f t="shared" si="254"/>
        <v>514.37500000199884</v>
      </c>
      <c r="I682" s="311"/>
      <c r="J682" s="311">
        <f t="shared" ref="J682:L682" si="255">SUM(J672:J680)</f>
        <v>363.99099999702997</v>
      </c>
      <c r="K682" s="311">
        <f t="shared" si="255"/>
        <v>260.01700000039381</v>
      </c>
      <c r="L682" s="311">
        <f t="shared" si="255"/>
        <v>624.00799999742378</v>
      </c>
      <c r="M682" s="236"/>
      <c r="N682" s="236"/>
    </row>
    <row r="683" spans="1:14" x14ac:dyDescent="0.3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  <c r="N683" s="236"/>
    </row>
    <row r="684" spans="1:14" x14ac:dyDescent="0.3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56" t="s">
        <v>35</v>
      </c>
      <c r="M684" s="236"/>
      <c r="N684" s="236"/>
    </row>
    <row r="685" spans="1:14" x14ac:dyDescent="0.3">
      <c r="A685" s="242"/>
      <c r="B685" s="250"/>
      <c r="C685" s="250"/>
      <c r="D685" s="250"/>
      <c r="E685" s="250"/>
      <c r="F685" s="250"/>
      <c r="G685" s="250"/>
      <c r="H685" s="250"/>
      <c r="I685" s="250"/>
      <c r="J685" s="250"/>
      <c r="K685" s="250"/>
      <c r="L685" s="236"/>
      <c r="M685" s="236"/>
      <c r="N685" s="236"/>
    </row>
    <row r="686" spans="1:14" x14ac:dyDescent="0.3">
      <c r="A686" s="241" t="str">
        <f>name!A43</f>
        <v>Food and beverage services</v>
      </c>
      <c r="B686" s="373">
        <f>B$6</f>
        <v>2015</v>
      </c>
      <c r="C686" s="373"/>
      <c r="D686" s="373"/>
      <c r="E686" s="253"/>
      <c r="F686" s="373">
        <f>F669</f>
        <v>2020</v>
      </c>
      <c r="G686" s="373"/>
      <c r="H686" s="373"/>
      <c r="I686" s="253"/>
      <c r="J686" s="373">
        <f>J669</f>
        <v>2035</v>
      </c>
      <c r="K686" s="373"/>
      <c r="L686" s="373"/>
      <c r="M686" s="236"/>
      <c r="N686" s="236"/>
    </row>
    <row r="687" spans="1:14" x14ac:dyDescent="0.3">
      <c r="A687" s="254"/>
      <c r="B687" s="255" t="s">
        <v>352</v>
      </c>
      <c r="C687" s="255" t="s">
        <v>353</v>
      </c>
      <c r="D687" s="255" t="s">
        <v>32</v>
      </c>
      <c r="E687" s="255"/>
      <c r="F687" s="255" t="s">
        <v>352</v>
      </c>
      <c r="G687" s="255" t="s">
        <v>353</v>
      </c>
      <c r="H687" s="255" t="s">
        <v>32</v>
      </c>
      <c r="I687" s="255"/>
      <c r="J687" s="255" t="s">
        <v>352</v>
      </c>
      <c r="K687" s="255" t="s">
        <v>353</v>
      </c>
      <c r="L687" s="255" t="s">
        <v>32</v>
      </c>
      <c r="M687" s="236"/>
      <c r="N687" s="236"/>
    </row>
    <row r="688" spans="1:14" x14ac:dyDescent="0.3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  <c r="N688" s="236"/>
    </row>
    <row r="689" spans="1:14" x14ac:dyDescent="0.3">
      <c r="A689" s="237" t="str">
        <f>name!E$4</f>
        <v>Managers, directors and senior officials</v>
      </c>
      <c r="B689" s="302">
        <v>69.883038096080583</v>
      </c>
      <c r="C689" s="302">
        <v>105.17368223639544</v>
      </c>
      <c r="D689" s="302">
        <f>SUM(B689:C689)</f>
        <v>175.056720332476</v>
      </c>
      <c r="E689" s="303"/>
      <c r="F689" s="302">
        <v>93.835577828718939</v>
      </c>
      <c r="G689" s="302">
        <v>118.09593211350763</v>
      </c>
      <c r="H689" s="302">
        <f>SUM(F689:G689)</f>
        <v>211.93150994222657</v>
      </c>
      <c r="I689" s="303"/>
      <c r="J689" s="302">
        <v>127.29399363403141</v>
      </c>
      <c r="K689" s="302">
        <v>172.29975682462592</v>
      </c>
      <c r="L689" s="302">
        <f>SUM(J689:K689)</f>
        <v>299.59375045865733</v>
      </c>
      <c r="M689" s="236"/>
      <c r="N689" s="236"/>
    </row>
    <row r="690" spans="1:14" x14ac:dyDescent="0.3">
      <c r="A690" s="237" t="str">
        <f>name!E$5</f>
        <v>Professional occupations</v>
      </c>
      <c r="B690" s="302">
        <v>22.80838117975458</v>
      </c>
      <c r="C690" s="302">
        <v>21.698259287382221</v>
      </c>
      <c r="D690" s="302">
        <f t="shared" ref="D690:D697" si="256">SUM(B690:C690)</f>
        <v>44.506640467136805</v>
      </c>
      <c r="E690" s="303"/>
      <c r="F690" s="302">
        <v>36.333831587797363</v>
      </c>
      <c r="G690" s="302">
        <v>31.370943877629998</v>
      </c>
      <c r="H690" s="302">
        <f t="shared" ref="H690:H697" si="257">SUM(F690:G690)</f>
        <v>67.70477546542736</v>
      </c>
      <c r="I690" s="303"/>
      <c r="J690" s="302">
        <v>46.896375796867368</v>
      </c>
      <c r="K690" s="302">
        <v>40.712758793003147</v>
      </c>
      <c r="L690" s="302">
        <f t="shared" ref="L690:L697" si="258">SUM(J690:K690)</f>
        <v>87.609134589870507</v>
      </c>
      <c r="M690" s="236"/>
      <c r="N690" s="236"/>
    </row>
    <row r="691" spans="1:14" x14ac:dyDescent="0.3">
      <c r="A691" s="237" t="str">
        <f>name!E$6</f>
        <v>Associate professional occupations</v>
      </c>
      <c r="B691" s="302">
        <v>28.569982341302136</v>
      </c>
      <c r="C691" s="302">
        <v>21.297266797378605</v>
      </c>
      <c r="D691" s="302">
        <f t="shared" si="256"/>
        <v>49.867249138680741</v>
      </c>
      <c r="E691" s="303"/>
      <c r="F691" s="302">
        <v>40.564688330898719</v>
      </c>
      <c r="G691" s="302">
        <v>27.939711742633513</v>
      </c>
      <c r="H691" s="302">
        <f t="shared" si="257"/>
        <v>68.504400073532224</v>
      </c>
      <c r="I691" s="303"/>
      <c r="J691" s="302">
        <v>53.778360838729007</v>
      </c>
      <c r="K691" s="302">
        <v>32.762277411159786</v>
      </c>
      <c r="L691" s="302">
        <f t="shared" si="258"/>
        <v>86.540638249888787</v>
      </c>
      <c r="M691" s="236"/>
      <c r="N691" s="236"/>
    </row>
    <row r="692" spans="1:14" x14ac:dyDescent="0.3">
      <c r="A692" s="237" t="str">
        <f>name!E$7</f>
        <v>Administrative and secretarial occupations</v>
      </c>
      <c r="B692" s="302">
        <v>57.002931522784245</v>
      </c>
      <c r="C692" s="302">
        <v>21.028699051984827</v>
      </c>
      <c r="D692" s="302">
        <f t="shared" si="256"/>
        <v>78.031630574769068</v>
      </c>
      <c r="E692" s="303"/>
      <c r="F692" s="302">
        <v>67.627977734946143</v>
      </c>
      <c r="G692" s="302">
        <v>26.031472798060186</v>
      </c>
      <c r="H692" s="302">
        <f t="shared" si="257"/>
        <v>93.659450533006321</v>
      </c>
      <c r="I692" s="303"/>
      <c r="J692" s="302">
        <v>83.398779593517901</v>
      </c>
      <c r="K692" s="302">
        <v>35.426848897333166</v>
      </c>
      <c r="L692" s="302">
        <f t="shared" si="258"/>
        <v>118.82562849085107</v>
      </c>
      <c r="M692" s="236"/>
      <c r="N692" s="236"/>
    </row>
    <row r="693" spans="1:14" x14ac:dyDescent="0.3">
      <c r="A693" s="237" t="str">
        <f>name!E$8</f>
        <v>Skilled trades occupations</v>
      </c>
      <c r="B693" s="302">
        <v>68.229865863646225</v>
      </c>
      <c r="C693" s="302">
        <v>198.19874237387819</v>
      </c>
      <c r="D693" s="302">
        <f t="shared" si="256"/>
        <v>266.42860823752443</v>
      </c>
      <c r="E693" s="303"/>
      <c r="F693" s="302">
        <v>73.3766508918184</v>
      </c>
      <c r="G693" s="302">
        <v>159.63337130193278</v>
      </c>
      <c r="H693" s="302">
        <f t="shared" si="257"/>
        <v>233.01002219375118</v>
      </c>
      <c r="I693" s="303"/>
      <c r="J693" s="302">
        <v>69.929181816438614</v>
      </c>
      <c r="K693" s="302">
        <v>162.9632611277419</v>
      </c>
      <c r="L693" s="302">
        <f t="shared" si="258"/>
        <v>232.89244294418052</v>
      </c>
      <c r="M693" s="236"/>
      <c r="N693" s="236"/>
    </row>
    <row r="694" spans="1:14" x14ac:dyDescent="0.3">
      <c r="A694" s="237" t="str">
        <f>name!E$9</f>
        <v>Caring, leisure and other service occupations</v>
      </c>
      <c r="B694" s="302">
        <v>61.696784609311358</v>
      </c>
      <c r="C694" s="302">
        <v>14.68744514795368</v>
      </c>
      <c r="D694" s="302">
        <f t="shared" si="256"/>
        <v>76.384229757265032</v>
      </c>
      <c r="E694" s="303"/>
      <c r="F694" s="302">
        <v>65.817865396053435</v>
      </c>
      <c r="G694" s="302">
        <v>18.658771488920792</v>
      </c>
      <c r="H694" s="302">
        <f t="shared" si="257"/>
        <v>84.476636884974226</v>
      </c>
      <c r="I694" s="303"/>
      <c r="J694" s="302">
        <v>78.877337310617278</v>
      </c>
      <c r="K694" s="302">
        <v>21.898971002059152</v>
      </c>
      <c r="L694" s="302">
        <f t="shared" si="258"/>
        <v>100.77630831267643</v>
      </c>
      <c r="M694" s="236"/>
      <c r="N694" s="236"/>
    </row>
    <row r="695" spans="1:14" x14ac:dyDescent="0.3">
      <c r="A695" s="237" t="str">
        <f>name!E$10</f>
        <v>Sales and customer service occupations</v>
      </c>
      <c r="B695" s="302">
        <v>73.829197663850692</v>
      </c>
      <c r="C695" s="302">
        <v>61.702614120415411</v>
      </c>
      <c r="D695" s="302">
        <f t="shared" si="256"/>
        <v>135.5318117842661</v>
      </c>
      <c r="E695" s="303"/>
      <c r="F695" s="302">
        <v>85.474155100344703</v>
      </c>
      <c r="G695" s="302">
        <v>69.016591807878456</v>
      </c>
      <c r="H695" s="302">
        <f t="shared" si="257"/>
        <v>154.49074690822317</v>
      </c>
      <c r="I695" s="303"/>
      <c r="J695" s="302">
        <v>111.42188532603315</v>
      </c>
      <c r="K695" s="302">
        <v>83.987996822318067</v>
      </c>
      <c r="L695" s="302">
        <f t="shared" si="258"/>
        <v>195.40988214835122</v>
      </c>
      <c r="M695" s="236"/>
      <c r="N695" s="236"/>
    </row>
    <row r="696" spans="1:14" x14ac:dyDescent="0.3">
      <c r="A696" s="237" t="str">
        <f>name!E$11</f>
        <v>Process, plant and machine operatives</v>
      </c>
      <c r="B696" s="302">
        <v>8.6105447794762728</v>
      </c>
      <c r="C696" s="302">
        <v>44.652085265074554</v>
      </c>
      <c r="D696" s="302">
        <f t="shared" si="256"/>
        <v>53.262630044550825</v>
      </c>
      <c r="E696" s="303"/>
      <c r="F696" s="302">
        <v>8.6035638704923763</v>
      </c>
      <c r="G696" s="302">
        <v>51.884603237264031</v>
      </c>
      <c r="H696" s="302">
        <f t="shared" si="257"/>
        <v>60.488167107756411</v>
      </c>
      <c r="I696" s="303"/>
      <c r="J696" s="302">
        <v>21.155097818652628</v>
      </c>
      <c r="K696" s="302">
        <v>70.386700024594703</v>
      </c>
      <c r="L696" s="302">
        <f t="shared" si="258"/>
        <v>91.541797843247338</v>
      </c>
      <c r="M696" s="236"/>
      <c r="N696" s="236"/>
    </row>
    <row r="697" spans="1:14" x14ac:dyDescent="0.3">
      <c r="A697" s="237" t="str">
        <f>name!E$12</f>
        <v>Elementary occupations</v>
      </c>
      <c r="B697" s="302">
        <v>506.31227396322453</v>
      </c>
      <c r="C697" s="302">
        <v>366.50520573051472</v>
      </c>
      <c r="D697" s="302">
        <f t="shared" si="256"/>
        <v>872.81747969373919</v>
      </c>
      <c r="E697" s="303"/>
      <c r="F697" s="302">
        <v>542.27168927156515</v>
      </c>
      <c r="G697" s="302">
        <v>385.0836016280162</v>
      </c>
      <c r="H697" s="302">
        <f t="shared" si="257"/>
        <v>927.35529089958141</v>
      </c>
      <c r="I697" s="303"/>
      <c r="J697" s="302">
        <v>586.59098785492972</v>
      </c>
      <c r="K697" s="302">
        <v>435.64042909814776</v>
      </c>
      <c r="L697" s="302">
        <f t="shared" si="258"/>
        <v>1022.2314169530775</v>
      </c>
      <c r="M697" s="236"/>
      <c r="N697" s="236"/>
    </row>
    <row r="698" spans="1:14" x14ac:dyDescent="0.3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  <c r="N698" s="236"/>
    </row>
    <row r="699" spans="1:14" x14ac:dyDescent="0.3">
      <c r="A699" s="244" t="s">
        <v>32</v>
      </c>
      <c r="B699" s="311">
        <f>SUM(B689:B697)</f>
        <v>896.94300001943066</v>
      </c>
      <c r="C699" s="311">
        <f t="shared" ref="C699:D699" si="259">SUM(C689:C697)</f>
        <v>854.94400001097767</v>
      </c>
      <c r="D699" s="311">
        <f t="shared" si="259"/>
        <v>1751.8870000304082</v>
      </c>
      <c r="E699" s="311"/>
      <c r="F699" s="311">
        <f t="shared" ref="F699:H699" si="260">SUM(F689:F697)</f>
        <v>1013.9060000126353</v>
      </c>
      <c r="G699" s="311">
        <f t="shared" si="260"/>
        <v>887.71499999584353</v>
      </c>
      <c r="H699" s="311">
        <f t="shared" si="260"/>
        <v>1901.6210000084789</v>
      </c>
      <c r="I699" s="311"/>
      <c r="J699" s="311">
        <f t="shared" ref="J699:L699" si="261">SUM(J689:J697)</f>
        <v>1179.3419999898172</v>
      </c>
      <c r="K699" s="311">
        <f t="shared" si="261"/>
        <v>1056.0790000009836</v>
      </c>
      <c r="L699" s="311">
        <f t="shared" si="261"/>
        <v>2235.4209999908007</v>
      </c>
      <c r="M699" s="236"/>
      <c r="N699" s="236"/>
    </row>
    <row r="700" spans="1:14" x14ac:dyDescent="0.3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  <c r="N700" s="236"/>
    </row>
    <row r="701" spans="1:14" x14ac:dyDescent="0.3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56" t="s">
        <v>35</v>
      </c>
      <c r="M701" s="236"/>
      <c r="N701" s="236"/>
    </row>
    <row r="702" spans="1:14" x14ac:dyDescent="0.3">
      <c r="A702" s="242"/>
      <c r="B702" s="250"/>
      <c r="C702" s="250"/>
      <c r="D702" s="250"/>
      <c r="E702" s="250"/>
      <c r="F702" s="250"/>
      <c r="G702" s="250"/>
      <c r="H702" s="250"/>
      <c r="I702" s="250"/>
      <c r="J702" s="250"/>
      <c r="K702" s="250"/>
      <c r="L702" s="236"/>
      <c r="M702" s="236"/>
      <c r="N702" s="236"/>
    </row>
    <row r="703" spans="1:14" x14ac:dyDescent="0.3">
      <c r="A703" s="241" t="str">
        <f>name!A44</f>
        <v>Publishing activities</v>
      </c>
      <c r="B703" s="373">
        <f>B$6</f>
        <v>2015</v>
      </c>
      <c r="C703" s="373"/>
      <c r="D703" s="373"/>
      <c r="E703" s="253"/>
      <c r="F703" s="373">
        <f>F686</f>
        <v>2020</v>
      </c>
      <c r="G703" s="373"/>
      <c r="H703" s="373"/>
      <c r="I703" s="253"/>
      <c r="J703" s="373">
        <f>J686</f>
        <v>2035</v>
      </c>
      <c r="K703" s="373"/>
      <c r="L703" s="373"/>
      <c r="M703" s="236"/>
      <c r="N703" s="236"/>
    </row>
    <row r="704" spans="1:14" x14ac:dyDescent="0.3">
      <c r="A704" s="254"/>
      <c r="B704" s="255" t="s">
        <v>352</v>
      </c>
      <c r="C704" s="255" t="s">
        <v>353</v>
      </c>
      <c r="D704" s="255" t="s">
        <v>32</v>
      </c>
      <c r="E704" s="255"/>
      <c r="F704" s="255" t="s">
        <v>352</v>
      </c>
      <c r="G704" s="255" t="s">
        <v>353</v>
      </c>
      <c r="H704" s="255" t="s">
        <v>32</v>
      </c>
      <c r="I704" s="255"/>
      <c r="J704" s="255" t="s">
        <v>352</v>
      </c>
      <c r="K704" s="255" t="s">
        <v>353</v>
      </c>
      <c r="L704" s="255" t="s">
        <v>32</v>
      </c>
      <c r="M704" s="236"/>
      <c r="N704" s="236"/>
    </row>
    <row r="705" spans="1:14" x14ac:dyDescent="0.3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  <c r="N705" s="236"/>
    </row>
    <row r="706" spans="1:14" x14ac:dyDescent="0.3">
      <c r="A706" s="237" t="str">
        <f>name!E$4</f>
        <v>Managers, directors and senior officials</v>
      </c>
      <c r="B706" s="302">
        <v>7.9873593260209663</v>
      </c>
      <c r="C706" s="302">
        <v>20.90195825478364</v>
      </c>
      <c r="D706" s="302">
        <f>SUM(B706:C706)</f>
        <v>28.889317580804608</v>
      </c>
      <c r="E706" s="303"/>
      <c r="F706" s="302">
        <v>8.9377247571734681</v>
      </c>
      <c r="G706" s="302">
        <v>18.872670829984383</v>
      </c>
      <c r="H706" s="302">
        <f>SUM(F706:G706)</f>
        <v>27.810395587157849</v>
      </c>
      <c r="I706" s="303"/>
      <c r="J706" s="302">
        <v>9.367690590193213</v>
      </c>
      <c r="K706" s="302">
        <v>20.075295429622258</v>
      </c>
      <c r="L706" s="302">
        <f>SUM(J706:K706)</f>
        <v>29.442986019815471</v>
      </c>
      <c r="M706" s="236"/>
      <c r="N706" s="236"/>
    </row>
    <row r="707" spans="1:14" x14ac:dyDescent="0.3">
      <c r="A707" s="237" t="str">
        <f>name!E$5</f>
        <v>Professional occupations</v>
      </c>
      <c r="B707" s="302">
        <v>13.227838087114424</v>
      </c>
      <c r="C707" s="302">
        <v>31.078775292945263</v>
      </c>
      <c r="D707" s="302">
        <f t="shared" ref="D707:D714" si="262">SUM(B707:C707)</f>
        <v>44.306613380059687</v>
      </c>
      <c r="E707" s="303"/>
      <c r="F707" s="302">
        <v>15.191239176194131</v>
      </c>
      <c r="G707" s="302">
        <v>31.289794962072598</v>
      </c>
      <c r="H707" s="302">
        <f t="shared" ref="H707:H714" si="263">SUM(F707:G707)</f>
        <v>46.481034138266729</v>
      </c>
      <c r="I707" s="303"/>
      <c r="J707" s="302">
        <v>17.22014166626272</v>
      </c>
      <c r="K707" s="302">
        <v>34.425918711333125</v>
      </c>
      <c r="L707" s="302">
        <f t="shared" ref="L707:L714" si="264">SUM(J707:K707)</f>
        <v>51.646060377595845</v>
      </c>
      <c r="M707" s="236"/>
      <c r="N707" s="236"/>
    </row>
    <row r="708" spans="1:14" x14ac:dyDescent="0.3">
      <c r="A708" s="237" t="str">
        <f>name!E$6</f>
        <v>Associate professional occupations</v>
      </c>
      <c r="B708" s="302">
        <v>22.7452556019282</v>
      </c>
      <c r="C708" s="302">
        <v>24.207039161203081</v>
      </c>
      <c r="D708" s="302">
        <f t="shared" si="262"/>
        <v>46.952294763131277</v>
      </c>
      <c r="E708" s="303"/>
      <c r="F708" s="302">
        <v>24.163955908241668</v>
      </c>
      <c r="G708" s="302">
        <v>22.133755158972011</v>
      </c>
      <c r="H708" s="302">
        <f t="shared" si="263"/>
        <v>46.297711067213683</v>
      </c>
      <c r="I708" s="303"/>
      <c r="J708" s="302">
        <v>24.577365021031977</v>
      </c>
      <c r="K708" s="302">
        <v>21.911997529262621</v>
      </c>
      <c r="L708" s="302">
        <f t="shared" si="264"/>
        <v>46.489362550294601</v>
      </c>
      <c r="M708" s="236"/>
      <c r="N708" s="236"/>
    </row>
    <row r="709" spans="1:14" x14ac:dyDescent="0.3">
      <c r="A709" s="237" t="str">
        <f>name!E$7</f>
        <v>Administrative and secretarial occupations</v>
      </c>
      <c r="B709" s="302">
        <v>10.925579697112267</v>
      </c>
      <c r="C709" s="302">
        <v>2.8676171238004944</v>
      </c>
      <c r="D709" s="302">
        <f t="shared" si="262"/>
        <v>13.793196820912762</v>
      </c>
      <c r="E709" s="303"/>
      <c r="F709" s="302">
        <v>8.1908352137124218</v>
      </c>
      <c r="G709" s="302">
        <v>2.4801965452689054</v>
      </c>
      <c r="H709" s="302">
        <f t="shared" si="263"/>
        <v>10.671031758981327</v>
      </c>
      <c r="I709" s="303"/>
      <c r="J709" s="302">
        <v>5.4900568645384391</v>
      </c>
      <c r="K709" s="302">
        <v>2.1056340745926172</v>
      </c>
      <c r="L709" s="302">
        <f t="shared" si="264"/>
        <v>7.5956909391310568</v>
      </c>
      <c r="M709" s="236"/>
      <c r="N709" s="236"/>
    </row>
    <row r="710" spans="1:14" x14ac:dyDescent="0.3">
      <c r="A710" s="237" t="str">
        <f>name!E$8</f>
        <v>Skilled trades occupations</v>
      </c>
      <c r="B710" s="302">
        <v>2.2592821845161941</v>
      </c>
      <c r="C710" s="302">
        <v>12.802693653882997</v>
      </c>
      <c r="D710" s="302">
        <f t="shared" si="262"/>
        <v>15.061975838399192</v>
      </c>
      <c r="E710" s="303"/>
      <c r="F710" s="302">
        <v>1.9848952802946334</v>
      </c>
      <c r="G710" s="302">
        <v>8.2741942507630597</v>
      </c>
      <c r="H710" s="302">
        <f t="shared" si="263"/>
        <v>10.259089531057693</v>
      </c>
      <c r="I710" s="303"/>
      <c r="J710" s="302">
        <v>2.0329406045314782</v>
      </c>
      <c r="K710" s="302">
        <v>6.5697526628430811</v>
      </c>
      <c r="L710" s="302">
        <f t="shared" si="264"/>
        <v>8.6026932673745584</v>
      </c>
      <c r="M710" s="236"/>
      <c r="N710" s="236"/>
    </row>
    <row r="711" spans="1:14" x14ac:dyDescent="0.3">
      <c r="A711" s="237" t="str">
        <f>name!E$9</f>
        <v>Caring, leisure and other service occupations</v>
      </c>
      <c r="B711" s="302">
        <v>0.93992744070308365</v>
      </c>
      <c r="C711" s="302">
        <v>0.87855554579481343</v>
      </c>
      <c r="D711" s="302">
        <f t="shared" si="262"/>
        <v>1.8184829864978971</v>
      </c>
      <c r="E711" s="303"/>
      <c r="F711" s="302">
        <v>0.96997156757415959</v>
      </c>
      <c r="G711" s="302">
        <v>0.73632752705292503</v>
      </c>
      <c r="H711" s="302">
        <f t="shared" si="263"/>
        <v>1.7062990946270846</v>
      </c>
      <c r="I711" s="303"/>
      <c r="J711" s="302">
        <v>0.93600936308289695</v>
      </c>
      <c r="K711" s="302">
        <v>1.0323393751282779</v>
      </c>
      <c r="L711" s="302">
        <f t="shared" si="264"/>
        <v>1.9683487382111748</v>
      </c>
      <c r="M711" s="236"/>
      <c r="N711" s="236"/>
    </row>
    <row r="712" spans="1:14" x14ac:dyDescent="0.3">
      <c r="A712" s="237" t="str">
        <f>name!E$10</f>
        <v>Sales and customer service occupations</v>
      </c>
      <c r="B712" s="302">
        <v>4.4543093349618754</v>
      </c>
      <c r="C712" s="302">
        <v>2.9319881399903092</v>
      </c>
      <c r="D712" s="302">
        <f t="shared" si="262"/>
        <v>7.386297474952185</v>
      </c>
      <c r="E712" s="303"/>
      <c r="F712" s="302">
        <v>3.4172922075177583</v>
      </c>
      <c r="G712" s="302">
        <v>2.0572783752178214</v>
      </c>
      <c r="H712" s="302">
        <f t="shared" si="263"/>
        <v>5.4745705827355797</v>
      </c>
      <c r="I712" s="303"/>
      <c r="J712" s="302">
        <v>3.1499326805571735</v>
      </c>
      <c r="K712" s="302">
        <v>2.239204775738378</v>
      </c>
      <c r="L712" s="302">
        <f t="shared" si="264"/>
        <v>5.3891374562955514</v>
      </c>
      <c r="M712" s="236"/>
      <c r="N712" s="236"/>
    </row>
    <row r="713" spans="1:14" x14ac:dyDescent="0.3">
      <c r="A713" s="237" t="str">
        <f>name!E$11</f>
        <v>Process, plant and machine operatives</v>
      </c>
      <c r="B713" s="302">
        <v>1.0784827089824902</v>
      </c>
      <c r="C713" s="302">
        <v>3.5960665392534672</v>
      </c>
      <c r="D713" s="302">
        <f t="shared" si="262"/>
        <v>4.674549248235957</v>
      </c>
      <c r="E713" s="303"/>
      <c r="F713" s="302">
        <v>1.0338094421799235</v>
      </c>
      <c r="G713" s="302">
        <v>2.4928663676840546</v>
      </c>
      <c r="H713" s="302">
        <f t="shared" si="263"/>
        <v>3.5266758098639781</v>
      </c>
      <c r="I713" s="303"/>
      <c r="J713" s="302">
        <v>1.0661545014475149</v>
      </c>
      <c r="K713" s="302">
        <v>2.5096054068231877</v>
      </c>
      <c r="L713" s="302">
        <f t="shared" si="264"/>
        <v>3.5757599082707028</v>
      </c>
      <c r="M713" s="236"/>
      <c r="N713" s="236"/>
    </row>
    <row r="714" spans="1:14" x14ac:dyDescent="0.3">
      <c r="A714" s="237" t="str">
        <f>name!E$12</f>
        <v>Elementary occupations</v>
      </c>
      <c r="B714" s="302">
        <v>4.4569656183451807</v>
      </c>
      <c r="C714" s="302">
        <v>5.5613062880290869</v>
      </c>
      <c r="D714" s="302">
        <f t="shared" si="262"/>
        <v>10.018271906374267</v>
      </c>
      <c r="E714" s="303"/>
      <c r="F714" s="302">
        <v>3.3882764464875472</v>
      </c>
      <c r="G714" s="302">
        <v>3.1339159834842225</v>
      </c>
      <c r="H714" s="302">
        <f t="shared" si="263"/>
        <v>6.5221924299717697</v>
      </c>
      <c r="I714" s="303"/>
      <c r="J714" s="302">
        <v>3.1017087084288848</v>
      </c>
      <c r="K714" s="302">
        <v>1.953252035560733</v>
      </c>
      <c r="L714" s="302">
        <f t="shared" si="264"/>
        <v>5.0549607439896178</v>
      </c>
      <c r="M714" s="236"/>
      <c r="N714" s="236"/>
    </row>
    <row r="715" spans="1:14" x14ac:dyDescent="0.3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  <c r="N715" s="236"/>
    </row>
    <row r="716" spans="1:14" x14ac:dyDescent="0.3">
      <c r="A716" s="244" t="s">
        <v>32</v>
      </c>
      <c r="B716" s="311">
        <f>SUM(B706:B714)</f>
        <v>68.074999999684692</v>
      </c>
      <c r="C716" s="311">
        <f t="shared" ref="C716:D716" si="265">SUM(C706:C714)</f>
        <v>104.82599999968316</v>
      </c>
      <c r="D716" s="311">
        <f t="shared" si="265"/>
        <v>172.9009999993678</v>
      </c>
      <c r="E716" s="311"/>
      <c r="F716" s="311">
        <f t="shared" ref="F716:H716" si="266">SUM(F706:F714)</f>
        <v>67.277999999375723</v>
      </c>
      <c r="G716" s="311">
        <f t="shared" si="266"/>
        <v>91.471000000499984</v>
      </c>
      <c r="H716" s="311">
        <f t="shared" si="266"/>
        <v>158.74899999987568</v>
      </c>
      <c r="I716" s="311"/>
      <c r="J716" s="311">
        <f t="shared" ref="J716:L716" si="267">SUM(J706:J714)</f>
        <v>66.942000000074287</v>
      </c>
      <c r="K716" s="311">
        <f t="shared" si="267"/>
        <v>92.823000000904273</v>
      </c>
      <c r="L716" s="311">
        <f t="shared" si="267"/>
        <v>159.76500000097857</v>
      </c>
      <c r="M716" s="236"/>
      <c r="N716" s="236"/>
    </row>
    <row r="717" spans="1:14" x14ac:dyDescent="0.3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  <c r="N717" s="236"/>
    </row>
    <row r="718" spans="1:14" x14ac:dyDescent="0.3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56" t="s">
        <v>35</v>
      </c>
      <c r="M718" s="236"/>
      <c r="N718" s="236"/>
    </row>
    <row r="719" spans="1:14" x14ac:dyDescent="0.3">
      <c r="A719" s="242"/>
      <c r="B719" s="250"/>
      <c r="C719" s="250"/>
      <c r="D719" s="250"/>
      <c r="E719" s="250"/>
      <c r="F719" s="250"/>
      <c r="G719" s="250"/>
      <c r="H719" s="250"/>
      <c r="I719" s="250"/>
      <c r="J719" s="250"/>
      <c r="K719" s="250"/>
      <c r="L719" s="236"/>
      <c r="M719" s="236"/>
      <c r="N719" s="236"/>
    </row>
    <row r="720" spans="1:14" x14ac:dyDescent="0.3">
      <c r="A720" s="241" t="str">
        <f>name!A45</f>
        <v>Film and music</v>
      </c>
      <c r="B720" s="373">
        <f>B$6</f>
        <v>2015</v>
      </c>
      <c r="C720" s="373"/>
      <c r="D720" s="373"/>
      <c r="E720" s="253"/>
      <c r="F720" s="373">
        <f>F703</f>
        <v>2020</v>
      </c>
      <c r="G720" s="373"/>
      <c r="H720" s="373"/>
      <c r="I720" s="253"/>
      <c r="J720" s="373">
        <f>J703</f>
        <v>2035</v>
      </c>
      <c r="K720" s="373"/>
      <c r="L720" s="373"/>
      <c r="M720" s="236"/>
      <c r="N720" s="236"/>
    </row>
    <row r="721" spans="1:14" x14ac:dyDescent="0.3">
      <c r="A721" s="254"/>
      <c r="B721" s="255" t="s">
        <v>352</v>
      </c>
      <c r="C721" s="255" t="s">
        <v>353</v>
      </c>
      <c r="D721" s="255" t="s">
        <v>32</v>
      </c>
      <c r="E721" s="255"/>
      <c r="F721" s="255" t="s">
        <v>352</v>
      </c>
      <c r="G721" s="255" t="s">
        <v>353</v>
      </c>
      <c r="H721" s="255" t="s">
        <v>32</v>
      </c>
      <c r="I721" s="255"/>
      <c r="J721" s="255" t="s">
        <v>352</v>
      </c>
      <c r="K721" s="255" t="s">
        <v>353</v>
      </c>
      <c r="L721" s="255" t="s">
        <v>32</v>
      </c>
      <c r="M721" s="236"/>
      <c r="N721" s="236"/>
    </row>
    <row r="722" spans="1:14" x14ac:dyDescent="0.3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  <c r="N722" s="236"/>
    </row>
    <row r="723" spans="1:14" x14ac:dyDescent="0.3">
      <c r="A723" s="237" t="str">
        <f>name!E$4</f>
        <v>Managers, directors and senior officials</v>
      </c>
      <c r="B723" s="302">
        <v>9.1322568094235841</v>
      </c>
      <c r="C723" s="302">
        <v>8.3098252265286909</v>
      </c>
      <c r="D723" s="302">
        <f>SUM(B723:C723)</f>
        <v>17.442082035952275</v>
      </c>
      <c r="E723" s="303"/>
      <c r="F723" s="302">
        <v>10.415987943083273</v>
      </c>
      <c r="G723" s="302">
        <v>8.993875984310181</v>
      </c>
      <c r="H723" s="302">
        <f>SUM(F723:G723)</f>
        <v>19.409863927393452</v>
      </c>
      <c r="I723" s="303"/>
      <c r="J723" s="302">
        <v>12.204788619480114</v>
      </c>
      <c r="K723" s="302">
        <v>10.020949466231341</v>
      </c>
      <c r="L723" s="302">
        <f>SUM(J723:K723)</f>
        <v>22.225738085711455</v>
      </c>
      <c r="M723" s="236"/>
      <c r="N723" s="236"/>
    </row>
    <row r="724" spans="1:14" x14ac:dyDescent="0.3">
      <c r="A724" s="237" t="str">
        <f>name!E$5</f>
        <v>Professional occupations</v>
      </c>
      <c r="B724" s="302">
        <v>14.801412287416039</v>
      </c>
      <c r="C724" s="302">
        <v>12.440142049116362</v>
      </c>
      <c r="D724" s="302">
        <f t="shared" ref="D724:D731" si="268">SUM(B724:C724)</f>
        <v>27.241554336532403</v>
      </c>
      <c r="E724" s="303"/>
      <c r="F724" s="302">
        <v>20.164741444133664</v>
      </c>
      <c r="G724" s="302">
        <v>14.810134039388297</v>
      </c>
      <c r="H724" s="302">
        <f t="shared" ref="H724:H731" si="269">SUM(F724:G724)</f>
        <v>34.974875483521963</v>
      </c>
      <c r="I724" s="303"/>
      <c r="J724" s="302">
        <v>23.686392278768594</v>
      </c>
      <c r="K724" s="302">
        <v>16.402658978577985</v>
      </c>
      <c r="L724" s="302">
        <f t="shared" ref="L724:L731" si="270">SUM(J724:K724)</f>
        <v>40.089051257346583</v>
      </c>
      <c r="M724" s="236"/>
      <c r="N724" s="236"/>
    </row>
    <row r="725" spans="1:14" x14ac:dyDescent="0.3">
      <c r="A725" s="237" t="str">
        <f>name!E$6</f>
        <v>Associate professional occupations</v>
      </c>
      <c r="B725" s="302">
        <v>18.062852201302185</v>
      </c>
      <c r="C725" s="302">
        <v>25.528353255267959</v>
      </c>
      <c r="D725" s="302">
        <f t="shared" si="268"/>
        <v>43.591205456570144</v>
      </c>
      <c r="E725" s="303"/>
      <c r="F725" s="302">
        <v>21.13709083824871</v>
      </c>
      <c r="G725" s="302">
        <v>27.814844488124479</v>
      </c>
      <c r="H725" s="302">
        <f t="shared" si="269"/>
        <v>48.951935326373189</v>
      </c>
      <c r="I725" s="303"/>
      <c r="J725" s="302">
        <v>21.767144748510905</v>
      </c>
      <c r="K725" s="302">
        <v>27.979341903940465</v>
      </c>
      <c r="L725" s="302">
        <f t="shared" si="270"/>
        <v>49.746486652451367</v>
      </c>
      <c r="M725" s="236"/>
      <c r="N725" s="236"/>
    </row>
    <row r="726" spans="1:14" x14ac:dyDescent="0.3">
      <c r="A726" s="237" t="str">
        <f>name!E$7</f>
        <v>Administrative and secretarial occupations</v>
      </c>
      <c r="B726" s="302">
        <v>13.407651375943765</v>
      </c>
      <c r="C726" s="302">
        <v>2.8486791797947419</v>
      </c>
      <c r="D726" s="302">
        <f t="shared" si="268"/>
        <v>16.256330555738508</v>
      </c>
      <c r="E726" s="303"/>
      <c r="F726" s="302">
        <v>14.737589746054621</v>
      </c>
      <c r="G726" s="302">
        <v>4.1699942476792025</v>
      </c>
      <c r="H726" s="302">
        <f t="shared" si="269"/>
        <v>18.907583993733823</v>
      </c>
      <c r="I726" s="303"/>
      <c r="J726" s="302">
        <v>12.09127625038966</v>
      </c>
      <c r="K726" s="302">
        <v>3.7350792347883339</v>
      </c>
      <c r="L726" s="302">
        <f t="shared" si="270"/>
        <v>15.826355485177993</v>
      </c>
      <c r="M726" s="236"/>
      <c r="N726" s="236"/>
    </row>
    <row r="727" spans="1:14" x14ac:dyDescent="0.3">
      <c r="A727" s="237" t="str">
        <f>name!E$8</f>
        <v>Skilled trades occupations</v>
      </c>
      <c r="B727" s="302">
        <v>2.4211526764965638</v>
      </c>
      <c r="C727" s="302">
        <v>6.6850854759409373</v>
      </c>
      <c r="D727" s="302">
        <f t="shared" si="268"/>
        <v>9.106238152437502</v>
      </c>
      <c r="E727" s="303"/>
      <c r="F727" s="302">
        <v>2.5967656198072322</v>
      </c>
      <c r="G727" s="302">
        <v>5.9128560863821908</v>
      </c>
      <c r="H727" s="302">
        <f t="shared" si="269"/>
        <v>8.5096217061894226</v>
      </c>
      <c r="I727" s="303"/>
      <c r="J727" s="302">
        <v>3.5219804265066021</v>
      </c>
      <c r="K727" s="302">
        <v>4.7875929251644473</v>
      </c>
      <c r="L727" s="302">
        <f t="shared" si="270"/>
        <v>8.3095733516710499</v>
      </c>
      <c r="M727" s="236"/>
      <c r="N727" s="236"/>
    </row>
    <row r="728" spans="1:14" x14ac:dyDescent="0.3">
      <c r="A728" s="237" t="str">
        <f>name!E$9</f>
        <v>Caring, leisure and other service occupations</v>
      </c>
      <c r="B728" s="302">
        <v>6.1666783828960297</v>
      </c>
      <c r="C728" s="302">
        <v>2.923620745761609</v>
      </c>
      <c r="D728" s="302">
        <f t="shared" si="268"/>
        <v>9.0902991286576391</v>
      </c>
      <c r="E728" s="303"/>
      <c r="F728" s="302">
        <v>6.2870409958919478</v>
      </c>
      <c r="G728" s="302">
        <v>3.4528703828232485</v>
      </c>
      <c r="H728" s="302">
        <f t="shared" si="269"/>
        <v>9.7399113787151954</v>
      </c>
      <c r="I728" s="303"/>
      <c r="J728" s="302">
        <v>6.1508059956290593</v>
      </c>
      <c r="K728" s="302">
        <v>3.6158834807749214</v>
      </c>
      <c r="L728" s="302">
        <f t="shared" si="270"/>
        <v>9.7666894764039807</v>
      </c>
      <c r="M728" s="236"/>
      <c r="N728" s="236"/>
    </row>
    <row r="729" spans="1:14" x14ac:dyDescent="0.3">
      <c r="A729" s="237" t="str">
        <f>name!E$10</f>
        <v>Sales and customer service occupations</v>
      </c>
      <c r="B729" s="302">
        <v>4.6958802956129597</v>
      </c>
      <c r="C729" s="302">
        <v>3.0483561720442758</v>
      </c>
      <c r="D729" s="302">
        <f t="shared" si="268"/>
        <v>7.7442364676572355</v>
      </c>
      <c r="E729" s="303"/>
      <c r="F729" s="302">
        <v>4.9175476782534986</v>
      </c>
      <c r="G729" s="302">
        <v>3.7244585259389176</v>
      </c>
      <c r="H729" s="302">
        <f t="shared" si="269"/>
        <v>8.6420062041924162</v>
      </c>
      <c r="I729" s="303"/>
      <c r="J729" s="302">
        <v>4.8432303038556652</v>
      </c>
      <c r="K729" s="302">
        <v>4.5852404992563081</v>
      </c>
      <c r="L729" s="302">
        <f t="shared" si="270"/>
        <v>9.4284708031119742</v>
      </c>
      <c r="M729" s="236"/>
      <c r="N729" s="236"/>
    </row>
    <row r="730" spans="1:14" x14ac:dyDescent="0.3">
      <c r="A730" s="237" t="str">
        <f>name!E$11</f>
        <v>Process, plant and machine operatives</v>
      </c>
      <c r="B730" s="302">
        <v>0.34292184079047022</v>
      </c>
      <c r="C730" s="302">
        <v>1.2707289465378695</v>
      </c>
      <c r="D730" s="302">
        <f t="shared" si="268"/>
        <v>1.6136507873283397</v>
      </c>
      <c r="E730" s="303"/>
      <c r="F730" s="302">
        <v>0.29936994046720533</v>
      </c>
      <c r="G730" s="302">
        <v>1.5726003596232849</v>
      </c>
      <c r="H730" s="302">
        <f t="shared" si="269"/>
        <v>1.8719703000904904</v>
      </c>
      <c r="I730" s="303"/>
      <c r="J730" s="302">
        <v>0.31352103287233068</v>
      </c>
      <c r="K730" s="302">
        <v>1.8267167322800608</v>
      </c>
      <c r="L730" s="302">
        <f t="shared" si="270"/>
        <v>2.1402377651523916</v>
      </c>
      <c r="M730" s="236"/>
      <c r="N730" s="236"/>
    </row>
    <row r="731" spans="1:14" x14ac:dyDescent="0.3">
      <c r="A731" s="237" t="str">
        <f>name!E$12</f>
        <v>Elementary occupations</v>
      </c>
      <c r="B731" s="302">
        <v>9.2991941300280399</v>
      </c>
      <c r="C731" s="302">
        <v>9.6342089495240568</v>
      </c>
      <c r="D731" s="302">
        <f t="shared" si="268"/>
        <v>18.933403079552097</v>
      </c>
      <c r="E731" s="303"/>
      <c r="F731" s="302">
        <v>8.5528657938724084</v>
      </c>
      <c r="G731" s="302">
        <v>10.763365886627215</v>
      </c>
      <c r="H731" s="302">
        <f t="shared" si="269"/>
        <v>19.316231680499623</v>
      </c>
      <c r="I731" s="303"/>
      <c r="J731" s="302">
        <v>7.36186034419827</v>
      </c>
      <c r="K731" s="302">
        <v>11.586536780613423</v>
      </c>
      <c r="L731" s="302">
        <f t="shared" si="270"/>
        <v>18.948397124811692</v>
      </c>
      <c r="M731" s="236"/>
      <c r="N731" s="236"/>
    </row>
    <row r="732" spans="1:14" x14ac:dyDescent="0.3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  <c r="N732" s="236"/>
    </row>
    <row r="733" spans="1:14" x14ac:dyDescent="0.3">
      <c r="A733" s="244" t="s">
        <v>32</v>
      </c>
      <c r="B733" s="311">
        <f>SUM(B723:B731)</f>
        <v>78.329999999909631</v>
      </c>
      <c r="C733" s="311">
        <f t="shared" ref="C733:D733" si="271">SUM(C723:C731)</f>
        <v>72.689000000516501</v>
      </c>
      <c r="D733" s="311">
        <f t="shared" si="271"/>
        <v>151.01900000042616</v>
      </c>
      <c r="E733" s="311"/>
      <c r="F733" s="311">
        <f t="shared" ref="F733:H733" si="272">SUM(F723:F731)</f>
        <v>89.108999999812553</v>
      </c>
      <c r="G733" s="311">
        <f t="shared" si="272"/>
        <v>81.215000000897007</v>
      </c>
      <c r="H733" s="311">
        <f t="shared" si="272"/>
        <v>170.32400000070956</v>
      </c>
      <c r="I733" s="311"/>
      <c r="J733" s="311">
        <f t="shared" ref="J733:L733" si="273">SUM(J723:J731)</f>
        <v>91.941000000211176</v>
      </c>
      <c r="K733" s="311">
        <f t="shared" si="273"/>
        <v>84.540000001627291</v>
      </c>
      <c r="L733" s="311">
        <f t="shared" si="273"/>
        <v>176.48100000183848</v>
      </c>
      <c r="M733" s="236"/>
      <c r="N733" s="236"/>
    </row>
    <row r="734" spans="1:14" x14ac:dyDescent="0.3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  <c r="N734" s="236"/>
    </row>
    <row r="735" spans="1:14" x14ac:dyDescent="0.3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56" t="s">
        <v>35</v>
      </c>
      <c r="M735" s="236"/>
      <c r="N735" s="236"/>
    </row>
    <row r="736" spans="1:14" x14ac:dyDescent="0.3">
      <c r="A736" s="242"/>
      <c r="B736" s="250"/>
      <c r="C736" s="250"/>
      <c r="D736" s="250"/>
      <c r="E736" s="250"/>
      <c r="F736" s="250"/>
      <c r="G736" s="250"/>
      <c r="H736" s="250"/>
      <c r="I736" s="250"/>
      <c r="J736" s="250"/>
      <c r="K736" s="250"/>
      <c r="L736" s="236"/>
      <c r="M736" s="236"/>
      <c r="N736" s="236"/>
    </row>
    <row r="737" spans="1:14" x14ac:dyDescent="0.3">
      <c r="A737" s="241" t="str">
        <f>name!A46</f>
        <v>Broadcasting</v>
      </c>
      <c r="B737" s="373">
        <f>B$6</f>
        <v>2015</v>
      </c>
      <c r="C737" s="373"/>
      <c r="D737" s="373"/>
      <c r="E737" s="253"/>
      <c r="F737" s="373">
        <f>F720</f>
        <v>2020</v>
      </c>
      <c r="G737" s="373"/>
      <c r="H737" s="373"/>
      <c r="I737" s="253"/>
      <c r="J737" s="373">
        <f>J720</f>
        <v>2035</v>
      </c>
      <c r="K737" s="373"/>
      <c r="L737" s="373"/>
      <c r="M737" s="236"/>
      <c r="N737" s="236"/>
    </row>
    <row r="738" spans="1:14" x14ac:dyDescent="0.3">
      <c r="A738" s="254"/>
      <c r="B738" s="255" t="s">
        <v>352</v>
      </c>
      <c r="C738" s="255" t="s">
        <v>353</v>
      </c>
      <c r="D738" s="255" t="s">
        <v>32</v>
      </c>
      <c r="E738" s="255"/>
      <c r="F738" s="255" t="s">
        <v>352</v>
      </c>
      <c r="G738" s="255" t="s">
        <v>353</v>
      </c>
      <c r="H738" s="255" t="s">
        <v>32</v>
      </c>
      <c r="I738" s="255"/>
      <c r="J738" s="255" t="s">
        <v>352</v>
      </c>
      <c r="K738" s="255" t="s">
        <v>353</v>
      </c>
      <c r="L738" s="255" t="s">
        <v>32</v>
      </c>
      <c r="M738" s="236"/>
      <c r="N738" s="236"/>
    </row>
    <row r="739" spans="1:14" x14ac:dyDescent="0.3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  <c r="N739" s="236"/>
    </row>
    <row r="740" spans="1:14" x14ac:dyDescent="0.3">
      <c r="A740" s="237" t="str">
        <f>name!E$4</f>
        <v>Managers, directors and senior officials</v>
      </c>
      <c r="B740" s="302">
        <v>1.3053871332661804</v>
      </c>
      <c r="C740" s="302">
        <v>4.1809744481643323</v>
      </c>
      <c r="D740" s="302">
        <f>SUM(B740:C740)</f>
        <v>5.4863615814305131</v>
      </c>
      <c r="E740" s="303"/>
      <c r="F740" s="302">
        <v>1.8098094353041487</v>
      </c>
      <c r="G740" s="302">
        <v>4.5359214926820268</v>
      </c>
      <c r="H740" s="302">
        <f>SUM(F740:G740)</f>
        <v>6.3457309279861756</v>
      </c>
      <c r="I740" s="303"/>
      <c r="J740" s="302">
        <v>1.9223578028518291</v>
      </c>
      <c r="K740" s="302">
        <v>4.8305885482730613</v>
      </c>
      <c r="L740" s="302">
        <f>SUM(J740:K740)</f>
        <v>6.7529463511248906</v>
      </c>
      <c r="M740" s="236"/>
      <c r="N740" s="236"/>
    </row>
    <row r="741" spans="1:14" x14ac:dyDescent="0.3">
      <c r="A741" s="237" t="str">
        <f>name!E$5</f>
        <v>Professional occupations</v>
      </c>
      <c r="B741" s="302">
        <v>2.9166010424165925</v>
      </c>
      <c r="C741" s="302">
        <v>6.7251659034684206</v>
      </c>
      <c r="D741" s="302">
        <f t="shared" ref="D741:D748" si="274">SUM(B741:C741)</f>
        <v>9.6417669458850135</v>
      </c>
      <c r="E741" s="303"/>
      <c r="F741" s="302">
        <v>4.1041630139176588</v>
      </c>
      <c r="G741" s="302">
        <v>8.0271492199549801</v>
      </c>
      <c r="H741" s="302">
        <f t="shared" ref="H741:H748" si="275">SUM(F741:G741)</f>
        <v>12.131312233872638</v>
      </c>
      <c r="I741" s="303"/>
      <c r="J741" s="302">
        <v>4.5346595204730837</v>
      </c>
      <c r="K741" s="302">
        <v>9.0425974738830881</v>
      </c>
      <c r="L741" s="302">
        <f t="shared" ref="L741:L748" si="276">SUM(J741:K741)</f>
        <v>13.577256994356173</v>
      </c>
      <c r="M741" s="236"/>
      <c r="N741" s="236"/>
    </row>
    <row r="742" spans="1:14" x14ac:dyDescent="0.3">
      <c r="A742" s="237" t="str">
        <f>name!E$6</f>
        <v>Associate professional occupations</v>
      </c>
      <c r="B742" s="302">
        <v>3.5974699955965179</v>
      </c>
      <c r="C742" s="302">
        <v>9.8285455527424777</v>
      </c>
      <c r="D742" s="302">
        <f t="shared" si="274"/>
        <v>13.426015548338995</v>
      </c>
      <c r="E742" s="303"/>
      <c r="F742" s="302">
        <v>6.5190026896221136</v>
      </c>
      <c r="G742" s="302">
        <v>9.9931919927173407</v>
      </c>
      <c r="H742" s="302">
        <f t="shared" si="275"/>
        <v>16.512194682339455</v>
      </c>
      <c r="I742" s="303"/>
      <c r="J742" s="302">
        <v>6.413391769955763</v>
      </c>
      <c r="K742" s="302">
        <v>9.6843983460521006</v>
      </c>
      <c r="L742" s="302">
        <f t="shared" si="276"/>
        <v>16.097790116007864</v>
      </c>
      <c r="M742" s="236"/>
      <c r="N742" s="236"/>
    </row>
    <row r="743" spans="1:14" x14ac:dyDescent="0.3">
      <c r="A743" s="237" t="str">
        <f>name!E$7</f>
        <v>Administrative and secretarial occupations</v>
      </c>
      <c r="B743" s="302">
        <v>1.7861965279079108</v>
      </c>
      <c r="C743" s="302">
        <v>1.1403622266160049</v>
      </c>
      <c r="D743" s="302">
        <f t="shared" si="274"/>
        <v>2.9265587545239158</v>
      </c>
      <c r="E743" s="303"/>
      <c r="F743" s="302">
        <v>1.8081896734297351</v>
      </c>
      <c r="G743" s="302">
        <v>1.5578761953512932</v>
      </c>
      <c r="H743" s="302">
        <f t="shared" si="275"/>
        <v>3.3660658687810283</v>
      </c>
      <c r="I743" s="303"/>
      <c r="J743" s="302">
        <v>1.418825869483441</v>
      </c>
      <c r="K743" s="302">
        <v>1.4857878350091047</v>
      </c>
      <c r="L743" s="302">
        <f t="shared" si="276"/>
        <v>2.9046137044925455</v>
      </c>
      <c r="M743" s="236"/>
      <c r="N743" s="236"/>
    </row>
    <row r="744" spans="1:14" x14ac:dyDescent="0.3">
      <c r="A744" s="237" t="str">
        <f>name!E$8</f>
        <v>Skilled trades occupations</v>
      </c>
      <c r="B744" s="302">
        <v>0.38090442529670349</v>
      </c>
      <c r="C744" s="302">
        <v>3.5036008171802249</v>
      </c>
      <c r="D744" s="302">
        <f t="shared" si="274"/>
        <v>3.8845052424769282</v>
      </c>
      <c r="E744" s="303"/>
      <c r="F744" s="302">
        <v>0.90231874566182491</v>
      </c>
      <c r="G744" s="302">
        <v>3.0411393479625475</v>
      </c>
      <c r="H744" s="302">
        <f t="shared" si="275"/>
        <v>3.9434580936243724</v>
      </c>
      <c r="I744" s="303"/>
      <c r="J744" s="302">
        <v>1.0181344902295342</v>
      </c>
      <c r="K744" s="302">
        <v>2.665401921994333</v>
      </c>
      <c r="L744" s="302">
        <f t="shared" si="276"/>
        <v>3.6835364122238672</v>
      </c>
      <c r="M744" s="236"/>
      <c r="N744" s="236"/>
    </row>
    <row r="745" spans="1:14" x14ac:dyDescent="0.3">
      <c r="A745" s="237" t="str">
        <f>name!E$9</f>
        <v>Caring, leisure and other service occupations</v>
      </c>
      <c r="B745" s="302">
        <v>0.58626170051615178</v>
      </c>
      <c r="C745" s="302">
        <v>1.1382482473587745</v>
      </c>
      <c r="D745" s="302">
        <f t="shared" si="274"/>
        <v>1.7245099478749264</v>
      </c>
      <c r="E745" s="303"/>
      <c r="F745" s="302">
        <v>0.72465792790231776</v>
      </c>
      <c r="G745" s="302">
        <v>1.2956765911498733</v>
      </c>
      <c r="H745" s="302">
        <f t="shared" si="275"/>
        <v>2.0203345190521911</v>
      </c>
      <c r="I745" s="303"/>
      <c r="J745" s="302">
        <v>0.70317303795606345</v>
      </c>
      <c r="K745" s="302">
        <v>1.5658982535260695</v>
      </c>
      <c r="L745" s="302">
        <f t="shared" si="276"/>
        <v>2.2690712914821329</v>
      </c>
      <c r="M745" s="236"/>
      <c r="N745" s="236"/>
    </row>
    <row r="746" spans="1:14" x14ac:dyDescent="0.3">
      <c r="A746" s="237" t="str">
        <f>name!E$10</f>
        <v>Sales and customer service occupations</v>
      </c>
      <c r="B746" s="302">
        <v>0.80617792521415776</v>
      </c>
      <c r="C746" s="302">
        <v>1.2702812650551072</v>
      </c>
      <c r="D746" s="302">
        <f t="shared" si="274"/>
        <v>2.0764591902692651</v>
      </c>
      <c r="E746" s="303"/>
      <c r="F746" s="302">
        <v>0.77930160644322466</v>
      </c>
      <c r="G746" s="302">
        <v>1.4551156481436904</v>
      </c>
      <c r="H746" s="302">
        <f t="shared" si="275"/>
        <v>2.2344172545869152</v>
      </c>
      <c r="I746" s="303"/>
      <c r="J746" s="302">
        <v>0.71701620066105975</v>
      </c>
      <c r="K746" s="302">
        <v>1.8634171656203358</v>
      </c>
      <c r="L746" s="302">
        <f t="shared" si="276"/>
        <v>2.5804333662813956</v>
      </c>
      <c r="M746" s="236"/>
      <c r="N746" s="236"/>
    </row>
    <row r="747" spans="1:14" x14ac:dyDescent="0.3">
      <c r="A747" s="237" t="str">
        <f>name!E$11</f>
        <v>Process, plant and machine operatives</v>
      </c>
      <c r="B747" s="302">
        <v>2.5998580756079862E-2</v>
      </c>
      <c r="C747" s="302">
        <v>0.26497829226110436</v>
      </c>
      <c r="D747" s="302">
        <f t="shared" si="274"/>
        <v>0.29097687301718422</v>
      </c>
      <c r="E747" s="303"/>
      <c r="F747" s="302">
        <v>4.0298514709687878E-2</v>
      </c>
      <c r="G747" s="302">
        <v>0.2898127167361107</v>
      </c>
      <c r="H747" s="302">
        <f t="shared" si="275"/>
        <v>0.33011123144579857</v>
      </c>
      <c r="I747" s="303"/>
      <c r="J747" s="302">
        <v>4.4438080622022494E-2</v>
      </c>
      <c r="K747" s="302">
        <v>0.29823216572678063</v>
      </c>
      <c r="L747" s="302">
        <f t="shared" si="276"/>
        <v>0.34267024634880311</v>
      </c>
      <c r="M747" s="236"/>
      <c r="N747" s="236"/>
    </row>
    <row r="748" spans="1:14" x14ac:dyDescent="0.3">
      <c r="A748" s="237" t="str">
        <f>name!E$12</f>
        <v>Elementary occupations</v>
      </c>
      <c r="B748" s="302">
        <v>0.35100266895440496</v>
      </c>
      <c r="C748" s="302">
        <v>1.0068432471792907</v>
      </c>
      <c r="D748" s="302">
        <f t="shared" si="274"/>
        <v>1.3578459161336958</v>
      </c>
      <c r="E748" s="303"/>
      <c r="F748" s="302">
        <v>0.43825839290287433</v>
      </c>
      <c r="G748" s="302">
        <v>1.128116795613479</v>
      </c>
      <c r="H748" s="302">
        <f t="shared" si="275"/>
        <v>1.5663751885163533</v>
      </c>
      <c r="I748" s="303"/>
      <c r="J748" s="302">
        <v>0.32300322784445362</v>
      </c>
      <c r="K748" s="302">
        <v>0.95567829051412678</v>
      </c>
      <c r="L748" s="302">
        <f t="shared" si="276"/>
        <v>1.2786815183585805</v>
      </c>
      <c r="M748" s="236"/>
      <c r="N748" s="236"/>
    </row>
    <row r="749" spans="1:14" x14ac:dyDescent="0.3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  <c r="N749" s="236"/>
    </row>
    <row r="750" spans="1:14" x14ac:dyDescent="0.3">
      <c r="A750" s="244" t="s">
        <v>32</v>
      </c>
      <c r="B750" s="311">
        <f>SUM(B740:B748)</f>
        <v>11.755999999924699</v>
      </c>
      <c r="C750" s="311">
        <f t="shared" ref="C750:D750" si="277">SUM(C740:C748)</f>
        <v>29.05900000002574</v>
      </c>
      <c r="D750" s="311">
        <f t="shared" si="277"/>
        <v>40.814999999950444</v>
      </c>
      <c r="E750" s="311"/>
      <c r="F750" s="311">
        <f t="shared" ref="F750:H750" si="278">SUM(F740:F748)</f>
        <v>17.125999999893583</v>
      </c>
      <c r="G750" s="311">
        <f t="shared" si="278"/>
        <v>31.324000000311347</v>
      </c>
      <c r="H750" s="311">
        <f t="shared" si="278"/>
        <v>48.45000000020493</v>
      </c>
      <c r="I750" s="311"/>
      <c r="J750" s="311">
        <f t="shared" ref="J750:L750" si="279">SUM(J740:J748)</f>
        <v>17.095000000077249</v>
      </c>
      <c r="K750" s="311">
        <f t="shared" si="279"/>
        <v>32.392000000599005</v>
      </c>
      <c r="L750" s="311">
        <f t="shared" si="279"/>
        <v>49.487000000676254</v>
      </c>
      <c r="M750" s="236"/>
      <c r="N750" s="236"/>
    </row>
    <row r="751" spans="1:14" x14ac:dyDescent="0.3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  <c r="N751" s="236"/>
    </row>
    <row r="752" spans="1:14" x14ac:dyDescent="0.3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56" t="s">
        <v>35</v>
      </c>
      <c r="M752" s="236"/>
      <c r="N752" s="236"/>
    </row>
    <row r="753" spans="1:14" x14ac:dyDescent="0.3">
      <c r="A753" s="242"/>
      <c r="B753" s="250"/>
      <c r="C753" s="250"/>
      <c r="D753" s="250"/>
      <c r="E753" s="250"/>
      <c r="F753" s="250"/>
      <c r="G753" s="250"/>
      <c r="H753" s="250"/>
      <c r="I753" s="250"/>
      <c r="J753" s="250"/>
      <c r="K753" s="250"/>
      <c r="L753" s="236"/>
      <c r="M753" s="236"/>
      <c r="N753" s="236"/>
    </row>
    <row r="754" spans="1:14" x14ac:dyDescent="0.3">
      <c r="A754" s="241" t="str">
        <f>name!A47</f>
        <v>Telecommunications</v>
      </c>
      <c r="B754" s="373">
        <f>B$6</f>
        <v>2015</v>
      </c>
      <c r="C754" s="373"/>
      <c r="D754" s="373"/>
      <c r="E754" s="253"/>
      <c r="F754" s="373">
        <f>F737</f>
        <v>2020</v>
      </c>
      <c r="G754" s="373"/>
      <c r="H754" s="373"/>
      <c r="I754" s="253"/>
      <c r="J754" s="373">
        <f>J737</f>
        <v>2035</v>
      </c>
      <c r="K754" s="373"/>
      <c r="L754" s="373"/>
      <c r="M754" s="236"/>
      <c r="N754" s="236"/>
    </row>
    <row r="755" spans="1:14" x14ac:dyDescent="0.3">
      <c r="A755" s="254"/>
      <c r="B755" s="255" t="s">
        <v>352</v>
      </c>
      <c r="C755" s="255" t="s">
        <v>353</v>
      </c>
      <c r="D755" s="255" t="s">
        <v>32</v>
      </c>
      <c r="E755" s="255"/>
      <c r="F755" s="255" t="s">
        <v>352</v>
      </c>
      <c r="G755" s="255" t="s">
        <v>353</v>
      </c>
      <c r="H755" s="255" t="s">
        <v>32</v>
      </c>
      <c r="I755" s="255"/>
      <c r="J755" s="255" t="s">
        <v>352</v>
      </c>
      <c r="K755" s="255" t="s">
        <v>353</v>
      </c>
      <c r="L755" s="255" t="s">
        <v>32</v>
      </c>
      <c r="M755" s="236"/>
      <c r="N755" s="236"/>
    </row>
    <row r="756" spans="1:14" x14ac:dyDescent="0.3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  <c r="N756" s="236"/>
    </row>
    <row r="757" spans="1:14" x14ac:dyDescent="0.3">
      <c r="A757" s="237" t="str">
        <f>name!E$4</f>
        <v>Managers, directors and senior officials</v>
      </c>
      <c r="B757" s="302">
        <v>7.0408256358941221</v>
      </c>
      <c r="C757" s="302">
        <v>34.004039756263964</v>
      </c>
      <c r="D757" s="302">
        <f>SUM(B757:C757)</f>
        <v>41.044865392158087</v>
      </c>
      <c r="E757" s="303"/>
      <c r="F757" s="302">
        <v>7.0742545870919251</v>
      </c>
      <c r="G757" s="302">
        <v>33.550510490160775</v>
      </c>
      <c r="H757" s="302">
        <f>SUM(F757:G757)</f>
        <v>40.624765077252704</v>
      </c>
      <c r="I757" s="303"/>
      <c r="J757" s="302">
        <v>9.1478559742448038</v>
      </c>
      <c r="K757" s="302">
        <v>36.472905600529629</v>
      </c>
      <c r="L757" s="302">
        <f>SUM(J757:K757)</f>
        <v>45.620761574774434</v>
      </c>
      <c r="M757" s="236"/>
      <c r="N757" s="236"/>
    </row>
    <row r="758" spans="1:14" x14ac:dyDescent="0.3">
      <c r="A758" s="237" t="str">
        <f>name!E$5</f>
        <v>Professional occupations</v>
      </c>
      <c r="B758" s="302">
        <v>7.158454300763764</v>
      </c>
      <c r="C758" s="302">
        <v>59.037579354734305</v>
      </c>
      <c r="D758" s="302">
        <f t="shared" ref="D758:D765" si="280">SUM(B758:C758)</f>
        <v>66.19603365549807</v>
      </c>
      <c r="E758" s="303"/>
      <c r="F758" s="302">
        <v>8.2041912905761851</v>
      </c>
      <c r="G758" s="302">
        <v>63.108451447888449</v>
      </c>
      <c r="H758" s="302">
        <f t="shared" ref="H758:H765" si="281">SUM(F758:G758)</f>
        <v>71.312642738464632</v>
      </c>
      <c r="I758" s="303"/>
      <c r="J758" s="302">
        <v>11.03687740858677</v>
      </c>
      <c r="K758" s="302">
        <v>77.343342375032137</v>
      </c>
      <c r="L758" s="302">
        <f t="shared" ref="L758:L765" si="282">SUM(J758:K758)</f>
        <v>88.380219783618912</v>
      </c>
      <c r="M758" s="236"/>
      <c r="N758" s="236"/>
    </row>
    <row r="759" spans="1:14" x14ac:dyDescent="0.3">
      <c r="A759" s="237" t="str">
        <f>name!E$6</f>
        <v>Associate professional occupations</v>
      </c>
      <c r="B759" s="302">
        <v>7.6457226769141711</v>
      </c>
      <c r="C759" s="302">
        <v>23.103719871082138</v>
      </c>
      <c r="D759" s="302">
        <f t="shared" si="280"/>
        <v>30.74944254799631</v>
      </c>
      <c r="E759" s="303"/>
      <c r="F759" s="302">
        <v>7.4919640349043295</v>
      </c>
      <c r="G759" s="302">
        <v>23.288680247292714</v>
      </c>
      <c r="H759" s="302">
        <f t="shared" si="281"/>
        <v>30.780644282197045</v>
      </c>
      <c r="I759" s="303"/>
      <c r="J759" s="302">
        <v>8.7751792504640527</v>
      </c>
      <c r="K759" s="302">
        <v>24.787496698581926</v>
      </c>
      <c r="L759" s="302">
        <f t="shared" si="282"/>
        <v>33.562675949045982</v>
      </c>
      <c r="M759" s="236"/>
      <c r="N759" s="236"/>
    </row>
    <row r="760" spans="1:14" x14ac:dyDescent="0.3">
      <c r="A760" s="237" t="str">
        <f>name!E$7</f>
        <v>Administrative and secretarial occupations</v>
      </c>
      <c r="B760" s="302">
        <v>7.6737090277079822</v>
      </c>
      <c r="C760" s="302">
        <v>7.6482263636325003</v>
      </c>
      <c r="D760" s="302">
        <f t="shared" si="280"/>
        <v>15.321935391340482</v>
      </c>
      <c r="E760" s="303"/>
      <c r="F760" s="302">
        <v>5.6886539911941556</v>
      </c>
      <c r="G760" s="302">
        <v>7.8536315469169304</v>
      </c>
      <c r="H760" s="302">
        <f t="shared" si="281"/>
        <v>13.542285538111086</v>
      </c>
      <c r="I760" s="303"/>
      <c r="J760" s="302">
        <v>5.1107895139314587</v>
      </c>
      <c r="K760" s="302">
        <v>8.9610362925018912</v>
      </c>
      <c r="L760" s="302">
        <f t="shared" si="282"/>
        <v>14.071825806433349</v>
      </c>
      <c r="M760" s="236"/>
      <c r="N760" s="236"/>
    </row>
    <row r="761" spans="1:14" x14ac:dyDescent="0.3">
      <c r="A761" s="237" t="str">
        <f>name!E$8</f>
        <v>Skilled trades occupations</v>
      </c>
      <c r="B761" s="302">
        <v>0.917424258113122</v>
      </c>
      <c r="C761" s="302">
        <v>28.447884808773033</v>
      </c>
      <c r="D761" s="302">
        <f t="shared" si="280"/>
        <v>29.365309066886155</v>
      </c>
      <c r="E761" s="303"/>
      <c r="F761" s="302">
        <v>0.87419317692141085</v>
      </c>
      <c r="G761" s="302">
        <v>20.325598601917893</v>
      </c>
      <c r="H761" s="302">
        <f t="shared" si="281"/>
        <v>21.199791778839305</v>
      </c>
      <c r="I761" s="303"/>
      <c r="J761" s="302">
        <v>1.5016196985501251</v>
      </c>
      <c r="K761" s="302">
        <v>15.239479941703195</v>
      </c>
      <c r="L761" s="302">
        <f t="shared" si="282"/>
        <v>16.741099640253321</v>
      </c>
      <c r="M761" s="236"/>
      <c r="N761" s="236"/>
    </row>
    <row r="762" spans="1:14" x14ac:dyDescent="0.3">
      <c r="A762" s="237" t="str">
        <f>name!E$9</f>
        <v>Caring, leisure and other service occupations</v>
      </c>
      <c r="B762" s="302">
        <v>1.0071931881135971</v>
      </c>
      <c r="C762" s="302">
        <v>5.3299016675884214</v>
      </c>
      <c r="D762" s="302">
        <f t="shared" si="280"/>
        <v>6.3370948557020181</v>
      </c>
      <c r="E762" s="303"/>
      <c r="F762" s="302">
        <v>0.39940236335137769</v>
      </c>
      <c r="G762" s="302">
        <v>4.7894057491778996</v>
      </c>
      <c r="H762" s="302">
        <f t="shared" si="281"/>
        <v>5.1888081125292773</v>
      </c>
      <c r="I762" s="303"/>
      <c r="J762" s="302">
        <v>0.40145762370896432</v>
      </c>
      <c r="K762" s="302">
        <v>7.2050679742980757</v>
      </c>
      <c r="L762" s="302">
        <f t="shared" si="282"/>
        <v>7.6065255980070399</v>
      </c>
      <c r="M762" s="236"/>
      <c r="N762" s="236"/>
    </row>
    <row r="763" spans="1:14" x14ac:dyDescent="0.3">
      <c r="A763" s="237" t="str">
        <f>name!E$10</f>
        <v>Sales and customer service occupations</v>
      </c>
      <c r="B763" s="302">
        <v>13.939985943316355</v>
      </c>
      <c r="C763" s="302">
        <v>13.655967096515447</v>
      </c>
      <c r="D763" s="302">
        <f t="shared" si="280"/>
        <v>27.595953039831802</v>
      </c>
      <c r="E763" s="303"/>
      <c r="F763" s="302">
        <v>10.076299502227359</v>
      </c>
      <c r="G763" s="302">
        <v>12.383603774895327</v>
      </c>
      <c r="H763" s="302">
        <f t="shared" si="281"/>
        <v>22.459903277122685</v>
      </c>
      <c r="I763" s="303"/>
      <c r="J763" s="302">
        <v>11.995414691772327</v>
      </c>
      <c r="K763" s="302">
        <v>18.210067743487937</v>
      </c>
      <c r="L763" s="302">
        <f t="shared" si="282"/>
        <v>30.205482435260265</v>
      </c>
      <c r="M763" s="236"/>
      <c r="N763" s="236"/>
    </row>
    <row r="764" spans="1:14" x14ac:dyDescent="0.3">
      <c r="A764" s="237" t="str">
        <f>name!E$11</f>
        <v>Process, plant and machine operatives</v>
      </c>
      <c r="B764" s="302">
        <v>0.35428336969802571</v>
      </c>
      <c r="C764" s="302">
        <v>2.5296313071169179</v>
      </c>
      <c r="D764" s="302">
        <f t="shared" si="280"/>
        <v>2.8839146768149435</v>
      </c>
      <c r="E764" s="303"/>
      <c r="F764" s="302">
        <v>0.16743546421856603</v>
      </c>
      <c r="G764" s="302">
        <v>1.7557171859445158</v>
      </c>
      <c r="H764" s="302">
        <f t="shared" si="281"/>
        <v>1.9231526501630818</v>
      </c>
      <c r="I764" s="303"/>
      <c r="J764" s="302">
        <v>0.28162912292842224</v>
      </c>
      <c r="K764" s="302">
        <v>2.2938963699598616</v>
      </c>
      <c r="L764" s="302">
        <f t="shared" si="282"/>
        <v>2.5755254928882838</v>
      </c>
      <c r="M764" s="236"/>
      <c r="N764" s="236"/>
    </row>
    <row r="765" spans="1:14" x14ac:dyDescent="0.3">
      <c r="A765" s="237" t="str">
        <f>name!E$12</f>
        <v>Elementary occupations</v>
      </c>
      <c r="B765" s="302">
        <v>0.81540159932642498</v>
      </c>
      <c r="C765" s="302">
        <v>3.3180497722790312</v>
      </c>
      <c r="D765" s="302">
        <f t="shared" si="280"/>
        <v>4.1334513716054566</v>
      </c>
      <c r="E765" s="303"/>
      <c r="F765" s="302">
        <v>0.35060558929310226</v>
      </c>
      <c r="G765" s="302">
        <v>2.2644009550106352</v>
      </c>
      <c r="H765" s="302">
        <f t="shared" si="281"/>
        <v>2.6150065443037374</v>
      </c>
      <c r="I765" s="303"/>
      <c r="J765" s="302">
        <v>0.32817671606651078</v>
      </c>
      <c r="K765" s="302">
        <v>2.6027070028511425</v>
      </c>
      <c r="L765" s="302">
        <f t="shared" si="282"/>
        <v>2.9308837189176531</v>
      </c>
      <c r="M765" s="236"/>
      <c r="N765" s="236"/>
    </row>
    <row r="766" spans="1:14" x14ac:dyDescent="0.3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  <c r="N766" s="236"/>
    </row>
    <row r="767" spans="1:14" x14ac:dyDescent="0.3">
      <c r="A767" s="244" t="s">
        <v>32</v>
      </c>
      <c r="B767" s="311">
        <f>SUM(B757:B765)</f>
        <v>46.552999999847565</v>
      </c>
      <c r="C767" s="311">
        <f t="shared" ref="C767:D767" si="283">SUM(C757:C765)</f>
        <v>177.07499999798574</v>
      </c>
      <c r="D767" s="311">
        <f t="shared" si="283"/>
        <v>223.62799999783334</v>
      </c>
      <c r="E767" s="311"/>
      <c r="F767" s="311">
        <f t="shared" ref="F767:H767" si="284">SUM(F757:F765)</f>
        <v>40.326999999778408</v>
      </c>
      <c r="G767" s="311">
        <f t="shared" si="284"/>
        <v>169.31999999920515</v>
      </c>
      <c r="H767" s="311">
        <f t="shared" si="284"/>
        <v>209.64699999898355</v>
      </c>
      <c r="I767" s="311"/>
      <c r="J767" s="311">
        <f t="shared" ref="J767:L767" si="285">SUM(J757:J765)</f>
        <v>48.57900000025343</v>
      </c>
      <c r="K767" s="311">
        <f t="shared" si="285"/>
        <v>193.1159999989458</v>
      </c>
      <c r="L767" s="311">
        <f t="shared" si="285"/>
        <v>241.69499999919918</v>
      </c>
      <c r="M767" s="236"/>
      <c r="N767" s="236"/>
    </row>
    <row r="768" spans="1:14" x14ac:dyDescent="0.3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  <c r="N768" s="236"/>
    </row>
    <row r="769" spans="1:14" x14ac:dyDescent="0.3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56" t="s">
        <v>35</v>
      </c>
      <c r="M769" s="236"/>
      <c r="N769" s="236"/>
    </row>
    <row r="770" spans="1:14" x14ac:dyDescent="0.3">
      <c r="A770" s="242"/>
      <c r="B770" s="250"/>
      <c r="C770" s="250"/>
      <c r="D770" s="250"/>
      <c r="E770" s="250"/>
      <c r="F770" s="250"/>
      <c r="G770" s="250"/>
      <c r="H770" s="250"/>
      <c r="I770" s="250"/>
      <c r="J770" s="250"/>
      <c r="K770" s="250"/>
      <c r="L770" s="236"/>
      <c r="M770" s="236"/>
      <c r="N770" s="236"/>
    </row>
    <row r="771" spans="1:14" x14ac:dyDescent="0.3">
      <c r="A771" s="241" t="str">
        <f>name!A48</f>
        <v>Computing services</v>
      </c>
      <c r="B771" s="373">
        <f>B$6</f>
        <v>2015</v>
      </c>
      <c r="C771" s="373"/>
      <c r="D771" s="373"/>
      <c r="E771" s="253"/>
      <c r="F771" s="373">
        <f>F$6</f>
        <v>2020</v>
      </c>
      <c r="G771" s="373"/>
      <c r="H771" s="373"/>
      <c r="I771" s="253"/>
      <c r="J771" s="373">
        <f>J$6</f>
        <v>2035</v>
      </c>
      <c r="K771" s="373"/>
      <c r="L771" s="373"/>
      <c r="M771" s="236"/>
      <c r="N771" s="236"/>
    </row>
    <row r="772" spans="1:14" x14ac:dyDescent="0.3">
      <c r="A772" s="254"/>
      <c r="B772" s="255" t="s">
        <v>352</v>
      </c>
      <c r="C772" s="255" t="s">
        <v>353</v>
      </c>
      <c r="D772" s="255" t="s">
        <v>32</v>
      </c>
      <c r="E772" s="255"/>
      <c r="F772" s="255" t="s">
        <v>352</v>
      </c>
      <c r="G772" s="255" t="s">
        <v>353</v>
      </c>
      <c r="H772" s="255" t="s">
        <v>32</v>
      </c>
      <c r="I772" s="255"/>
      <c r="J772" s="255" t="s">
        <v>352</v>
      </c>
      <c r="K772" s="255" t="s">
        <v>353</v>
      </c>
      <c r="L772" s="255" t="s">
        <v>32</v>
      </c>
      <c r="M772" s="236"/>
      <c r="N772" s="236"/>
    </row>
    <row r="773" spans="1:14" x14ac:dyDescent="0.3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  <c r="N773" s="236"/>
    </row>
    <row r="774" spans="1:14" x14ac:dyDescent="0.3">
      <c r="A774" s="237" t="str">
        <f>name!E$4</f>
        <v>Managers, directors and senior officials</v>
      </c>
      <c r="B774" s="302">
        <v>28.881292948608586</v>
      </c>
      <c r="C774" s="302">
        <v>80.022397958589778</v>
      </c>
      <c r="D774" s="302">
        <f>SUM(B774:C774)</f>
        <v>108.90369090719837</v>
      </c>
      <c r="E774" s="303"/>
      <c r="F774" s="302">
        <v>37.52316648890524</v>
      </c>
      <c r="G774" s="302">
        <v>90.038804832969333</v>
      </c>
      <c r="H774" s="302">
        <f>SUM(F774:G774)</f>
        <v>127.56197132187458</v>
      </c>
      <c r="I774" s="303"/>
      <c r="J774" s="302">
        <v>48.285740708575879</v>
      </c>
      <c r="K774" s="302">
        <v>96.949715236493418</v>
      </c>
      <c r="L774" s="302">
        <f>SUM(J774:K774)</f>
        <v>145.2354559450693</v>
      </c>
      <c r="M774" s="236"/>
      <c r="N774" s="236"/>
    </row>
    <row r="775" spans="1:14" x14ac:dyDescent="0.3">
      <c r="A775" s="237" t="str">
        <f>name!E$5</f>
        <v>Professional occupations</v>
      </c>
      <c r="B775" s="302">
        <v>65.350227975473715</v>
      </c>
      <c r="C775" s="302">
        <v>265.03511376675362</v>
      </c>
      <c r="D775" s="302">
        <f t="shared" ref="D775:D782" si="286">SUM(B775:C775)</f>
        <v>330.38534174222735</v>
      </c>
      <c r="E775" s="303"/>
      <c r="F775" s="302">
        <v>92.730381243707484</v>
      </c>
      <c r="G775" s="302">
        <v>309.35566566612692</v>
      </c>
      <c r="H775" s="302">
        <f t="shared" ref="H775:H782" si="287">SUM(F775:G775)</f>
        <v>402.08604690983441</v>
      </c>
      <c r="I775" s="303"/>
      <c r="J775" s="302">
        <v>124.21571899490925</v>
      </c>
      <c r="K775" s="302">
        <v>367.01060973408659</v>
      </c>
      <c r="L775" s="302">
        <f t="shared" ref="L775:L782" si="288">SUM(J775:K775)</f>
        <v>491.22632872899584</v>
      </c>
      <c r="M775" s="236"/>
      <c r="N775" s="236"/>
    </row>
    <row r="776" spans="1:14" x14ac:dyDescent="0.3">
      <c r="A776" s="237" t="str">
        <f>name!E$6</f>
        <v>Associate professional occupations</v>
      </c>
      <c r="B776" s="302">
        <v>41.427154454705615</v>
      </c>
      <c r="C776" s="302">
        <v>89.653728596550238</v>
      </c>
      <c r="D776" s="302">
        <f t="shared" si="286"/>
        <v>131.08088305125585</v>
      </c>
      <c r="E776" s="303"/>
      <c r="F776" s="302">
        <v>51.002183224280159</v>
      </c>
      <c r="G776" s="302">
        <v>101.55895483149615</v>
      </c>
      <c r="H776" s="302">
        <f t="shared" si="287"/>
        <v>152.56113805577633</v>
      </c>
      <c r="I776" s="303"/>
      <c r="J776" s="302">
        <v>60.020598726796877</v>
      </c>
      <c r="K776" s="302">
        <v>109.34998046097823</v>
      </c>
      <c r="L776" s="302">
        <f t="shared" si="288"/>
        <v>169.37057918777509</v>
      </c>
      <c r="M776" s="236"/>
      <c r="N776" s="236"/>
    </row>
    <row r="777" spans="1:14" x14ac:dyDescent="0.3">
      <c r="A777" s="237" t="str">
        <f>name!E$7</f>
        <v>Administrative and secretarial occupations</v>
      </c>
      <c r="B777" s="302">
        <v>39.11894397235848</v>
      </c>
      <c r="C777" s="302">
        <v>14.917681753652937</v>
      </c>
      <c r="D777" s="302">
        <f t="shared" si="286"/>
        <v>54.036625726011415</v>
      </c>
      <c r="E777" s="303"/>
      <c r="F777" s="302">
        <v>35.207687529305424</v>
      </c>
      <c r="G777" s="302">
        <v>16.163623751261444</v>
      </c>
      <c r="H777" s="302">
        <f t="shared" si="287"/>
        <v>51.371311280566871</v>
      </c>
      <c r="I777" s="303"/>
      <c r="J777" s="302">
        <v>27.103232922864482</v>
      </c>
      <c r="K777" s="302">
        <v>16.369992808572274</v>
      </c>
      <c r="L777" s="302">
        <f t="shared" si="288"/>
        <v>43.473225731436756</v>
      </c>
      <c r="M777" s="236"/>
      <c r="N777" s="236"/>
    </row>
    <row r="778" spans="1:14" x14ac:dyDescent="0.3">
      <c r="A778" s="237" t="str">
        <f>name!E$8</f>
        <v>Skilled trades occupations</v>
      </c>
      <c r="B778" s="302">
        <v>2.5786611538699606</v>
      </c>
      <c r="C778" s="302">
        <v>34.015766799567608</v>
      </c>
      <c r="D778" s="302">
        <f t="shared" si="286"/>
        <v>36.594427953437567</v>
      </c>
      <c r="E778" s="303"/>
      <c r="F778" s="302">
        <v>3.2165212111142854</v>
      </c>
      <c r="G778" s="302">
        <v>27.159495369345503</v>
      </c>
      <c r="H778" s="302">
        <f t="shared" si="287"/>
        <v>30.37601658045979</v>
      </c>
      <c r="I778" s="303"/>
      <c r="J778" s="302">
        <v>4.8924872675360094</v>
      </c>
      <c r="K778" s="302">
        <v>28.491433078323816</v>
      </c>
      <c r="L778" s="302">
        <f t="shared" si="288"/>
        <v>33.383920345859828</v>
      </c>
      <c r="M778" s="236"/>
      <c r="N778" s="236"/>
    </row>
    <row r="779" spans="1:14" x14ac:dyDescent="0.3">
      <c r="A779" s="237" t="str">
        <f>name!E$9</f>
        <v>Caring, leisure and other service occupations</v>
      </c>
      <c r="B779" s="302">
        <v>6.7903059604670277</v>
      </c>
      <c r="C779" s="302">
        <v>6.6659923832181249</v>
      </c>
      <c r="D779" s="302">
        <f t="shared" si="286"/>
        <v>13.456298343685152</v>
      </c>
      <c r="E779" s="303"/>
      <c r="F779" s="302">
        <v>6.6724578468921365</v>
      </c>
      <c r="G779" s="302">
        <v>6.7084843490688639</v>
      </c>
      <c r="H779" s="302">
        <f t="shared" si="287"/>
        <v>13.380942195961001</v>
      </c>
      <c r="I779" s="303"/>
      <c r="J779" s="302">
        <v>8.0300535359111151</v>
      </c>
      <c r="K779" s="302">
        <v>10.716270800155684</v>
      </c>
      <c r="L779" s="302">
        <f t="shared" si="288"/>
        <v>18.746324336066799</v>
      </c>
      <c r="M779" s="236"/>
      <c r="N779" s="236"/>
    </row>
    <row r="780" spans="1:14" x14ac:dyDescent="0.3">
      <c r="A780" s="237" t="str">
        <f>name!E$10</f>
        <v>Sales and customer service occupations</v>
      </c>
      <c r="B780" s="302">
        <v>11.412205744959854</v>
      </c>
      <c r="C780" s="302">
        <v>5.2122860958274169</v>
      </c>
      <c r="D780" s="302">
        <f t="shared" si="286"/>
        <v>16.624491840787272</v>
      </c>
      <c r="E780" s="303"/>
      <c r="F780" s="302">
        <v>10.429734344913694</v>
      </c>
      <c r="G780" s="302">
        <v>5.5071831367719337</v>
      </c>
      <c r="H780" s="302">
        <f t="shared" si="287"/>
        <v>15.936917481685628</v>
      </c>
      <c r="I780" s="303"/>
      <c r="J780" s="302">
        <v>12.459232820671899</v>
      </c>
      <c r="K780" s="302">
        <v>8.0824343821324298</v>
      </c>
      <c r="L780" s="302">
        <f t="shared" si="288"/>
        <v>20.541667202804327</v>
      </c>
      <c r="M780" s="236"/>
      <c r="N780" s="236"/>
    </row>
    <row r="781" spans="1:14" x14ac:dyDescent="0.3">
      <c r="A781" s="237" t="str">
        <f>name!E$11</f>
        <v>Process, plant and machine operatives</v>
      </c>
      <c r="B781" s="302">
        <v>1.6297930126981941</v>
      </c>
      <c r="C781" s="302">
        <v>4.9420717226419768</v>
      </c>
      <c r="D781" s="302">
        <f t="shared" si="286"/>
        <v>6.5718647353401707</v>
      </c>
      <c r="E781" s="303"/>
      <c r="F781" s="302">
        <v>1.4720566461446578</v>
      </c>
      <c r="G781" s="302">
        <v>5.5202464352739913</v>
      </c>
      <c r="H781" s="302">
        <f t="shared" si="287"/>
        <v>6.9923030814186493</v>
      </c>
      <c r="I781" s="303"/>
      <c r="J781" s="302">
        <v>2.3376606063624168</v>
      </c>
      <c r="K781" s="302">
        <v>6.9916432552640293</v>
      </c>
      <c r="L781" s="302">
        <f t="shared" si="288"/>
        <v>9.3293038616264461</v>
      </c>
      <c r="M781" s="236"/>
      <c r="N781" s="236"/>
    </row>
    <row r="782" spans="1:14" x14ac:dyDescent="0.3">
      <c r="A782" s="237" t="str">
        <f>name!E$12</f>
        <v>Elementary occupations</v>
      </c>
      <c r="B782" s="302">
        <v>3.3084147746460806</v>
      </c>
      <c r="C782" s="302">
        <v>3.4929609157109813</v>
      </c>
      <c r="D782" s="302">
        <f t="shared" si="286"/>
        <v>6.8013756903570624</v>
      </c>
      <c r="E782" s="303"/>
      <c r="F782" s="302">
        <v>2.4898114625671255</v>
      </c>
      <c r="G782" s="302">
        <v>2.6615416270118493</v>
      </c>
      <c r="H782" s="302">
        <f t="shared" si="287"/>
        <v>5.1513530895789748</v>
      </c>
      <c r="I782" s="303"/>
      <c r="J782" s="302">
        <v>2.8492744167349247</v>
      </c>
      <c r="K782" s="302">
        <v>2.2049202418363874</v>
      </c>
      <c r="L782" s="302">
        <f t="shared" si="288"/>
        <v>5.054194658571312</v>
      </c>
      <c r="M782" s="236"/>
      <c r="N782" s="236"/>
    </row>
    <row r="783" spans="1:14" x14ac:dyDescent="0.3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  <c r="N783" s="236"/>
    </row>
    <row r="784" spans="1:14" x14ac:dyDescent="0.3">
      <c r="A784" s="244" t="s">
        <v>32</v>
      </c>
      <c r="B784" s="311">
        <f>SUM(B774:B782)</f>
        <v>200.49699999778753</v>
      </c>
      <c r="C784" s="311">
        <f t="shared" ref="C784:D784" si="289">SUM(C774:C782)</f>
        <v>503.95799999251261</v>
      </c>
      <c r="D784" s="311">
        <f t="shared" si="289"/>
        <v>704.45499999030028</v>
      </c>
      <c r="E784" s="311"/>
      <c r="F784" s="311">
        <f t="shared" ref="F784:H784" si="290">SUM(F774:F782)</f>
        <v>240.74399999783023</v>
      </c>
      <c r="G784" s="311">
        <f t="shared" si="290"/>
        <v>564.67399999932582</v>
      </c>
      <c r="H784" s="311">
        <f t="shared" si="290"/>
        <v>805.41799999715613</v>
      </c>
      <c r="I784" s="311"/>
      <c r="J784" s="311">
        <f t="shared" ref="J784:L784" si="291">SUM(J774:J782)</f>
        <v>290.19400000036291</v>
      </c>
      <c r="K784" s="311">
        <f t="shared" si="291"/>
        <v>646.16699999784294</v>
      </c>
      <c r="L784" s="311">
        <f t="shared" si="291"/>
        <v>936.36099999820567</v>
      </c>
      <c r="M784" s="236"/>
      <c r="N784" s="236"/>
    </row>
    <row r="785" spans="1:14" x14ac:dyDescent="0.3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  <c r="N785" s="236"/>
    </row>
    <row r="786" spans="1:14" x14ac:dyDescent="0.3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56" t="s">
        <v>35</v>
      </c>
      <c r="M786" s="236"/>
      <c r="N786" s="236"/>
    </row>
    <row r="787" spans="1:14" x14ac:dyDescent="0.3">
      <c r="A787" s="242"/>
      <c r="B787" s="250"/>
      <c r="C787" s="250"/>
      <c r="D787" s="250"/>
      <c r="E787" s="250"/>
      <c r="F787" s="250"/>
      <c r="G787" s="250"/>
      <c r="H787" s="250"/>
      <c r="I787" s="250"/>
      <c r="J787" s="250"/>
      <c r="K787" s="250"/>
      <c r="L787" s="236"/>
      <c r="M787" s="236"/>
      <c r="N787" s="236"/>
    </row>
    <row r="788" spans="1:14" x14ac:dyDescent="0.3">
      <c r="A788" s="241" t="str">
        <f>name!A49</f>
        <v>Information services</v>
      </c>
      <c r="B788" s="373">
        <f>B$6</f>
        <v>2015</v>
      </c>
      <c r="C788" s="373"/>
      <c r="D788" s="373"/>
      <c r="E788" s="253"/>
      <c r="F788" s="373">
        <f>F$6</f>
        <v>2020</v>
      </c>
      <c r="G788" s="373"/>
      <c r="H788" s="373"/>
      <c r="I788" s="253"/>
      <c r="J788" s="373">
        <f>J$6</f>
        <v>2035</v>
      </c>
      <c r="K788" s="373"/>
      <c r="L788" s="373"/>
      <c r="M788" s="236"/>
      <c r="N788" s="236"/>
    </row>
    <row r="789" spans="1:14" x14ac:dyDescent="0.3">
      <c r="A789" s="254"/>
      <c r="B789" s="255" t="s">
        <v>352</v>
      </c>
      <c r="C789" s="255" t="s">
        <v>353</v>
      </c>
      <c r="D789" s="255" t="s">
        <v>32</v>
      </c>
      <c r="E789" s="255"/>
      <c r="F789" s="255" t="s">
        <v>352</v>
      </c>
      <c r="G789" s="255" t="s">
        <v>353</v>
      </c>
      <c r="H789" s="255" t="s">
        <v>32</v>
      </c>
      <c r="I789" s="255"/>
      <c r="J789" s="255" t="s">
        <v>352</v>
      </c>
      <c r="K789" s="255" t="s">
        <v>353</v>
      </c>
      <c r="L789" s="255" t="s">
        <v>32</v>
      </c>
      <c r="M789" s="236"/>
      <c r="N789" s="236"/>
    </row>
    <row r="790" spans="1:14" x14ac:dyDescent="0.3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  <c r="N790" s="236"/>
    </row>
    <row r="791" spans="1:14" x14ac:dyDescent="0.3">
      <c r="A791" s="237" t="str">
        <f>name!E$4</f>
        <v>Managers, directors and senior officials</v>
      </c>
      <c r="B791" s="302">
        <v>5.1883104955999881</v>
      </c>
      <c r="C791" s="302">
        <v>8.6596461771442268</v>
      </c>
      <c r="D791" s="302">
        <f>SUM(B791:C791)</f>
        <v>13.847956672744214</v>
      </c>
      <c r="E791" s="303"/>
      <c r="F791" s="302">
        <v>6.057713888694928</v>
      </c>
      <c r="G791" s="302">
        <v>8.2478621939150862</v>
      </c>
      <c r="H791" s="302">
        <f>SUM(F791:G791)</f>
        <v>14.305576082610013</v>
      </c>
      <c r="I791" s="303"/>
      <c r="J791" s="302">
        <v>8.0045784444973922</v>
      </c>
      <c r="K791" s="302">
        <v>9.246280596029731</v>
      </c>
      <c r="L791" s="302">
        <f>SUM(J791:K791)</f>
        <v>17.250859040527125</v>
      </c>
      <c r="M791" s="236"/>
      <c r="N791" s="236"/>
    </row>
    <row r="792" spans="1:14" x14ac:dyDescent="0.3">
      <c r="A792" s="237" t="str">
        <f>name!E$5</f>
        <v>Professional occupations</v>
      </c>
      <c r="B792" s="302">
        <v>10.21552709608939</v>
      </c>
      <c r="C792" s="302">
        <v>23.47434137766114</v>
      </c>
      <c r="D792" s="302">
        <f t="shared" ref="D792:D799" si="292">SUM(B792:C792)</f>
        <v>33.689868473750529</v>
      </c>
      <c r="E792" s="303"/>
      <c r="F792" s="302">
        <v>13.710513613201478</v>
      </c>
      <c r="G792" s="302">
        <v>24.015649526380546</v>
      </c>
      <c r="H792" s="302">
        <f t="shared" ref="H792:H799" si="293">SUM(F792:G792)</f>
        <v>37.726163139582027</v>
      </c>
      <c r="I792" s="303"/>
      <c r="J792" s="302">
        <v>18.447369034634391</v>
      </c>
      <c r="K792" s="302">
        <v>29.450800487712197</v>
      </c>
      <c r="L792" s="302">
        <f t="shared" ref="L792:L799" si="294">SUM(J792:K792)</f>
        <v>47.898169522346592</v>
      </c>
      <c r="M792" s="236"/>
      <c r="N792" s="236"/>
    </row>
    <row r="793" spans="1:14" x14ac:dyDescent="0.3">
      <c r="A793" s="237" t="str">
        <f>name!E$6</f>
        <v>Associate professional occupations</v>
      </c>
      <c r="B793" s="302">
        <v>7.2963437646250551</v>
      </c>
      <c r="C793" s="302">
        <v>10.402022002828197</v>
      </c>
      <c r="D793" s="302">
        <f t="shared" si="292"/>
        <v>17.698365767453254</v>
      </c>
      <c r="E793" s="303"/>
      <c r="F793" s="302">
        <v>8.6145181243241478</v>
      </c>
      <c r="G793" s="302">
        <v>10.104460644569212</v>
      </c>
      <c r="H793" s="302">
        <f t="shared" si="293"/>
        <v>18.718978768893358</v>
      </c>
      <c r="I793" s="303"/>
      <c r="J793" s="302">
        <v>10.058446929265513</v>
      </c>
      <c r="K793" s="302">
        <v>10.82415094264805</v>
      </c>
      <c r="L793" s="302">
        <f t="shared" si="294"/>
        <v>20.882597871913561</v>
      </c>
      <c r="M793" s="236"/>
      <c r="N793" s="236"/>
    </row>
    <row r="794" spans="1:14" x14ac:dyDescent="0.3">
      <c r="A794" s="237" t="str">
        <f>name!E$7</f>
        <v>Administrative and secretarial occupations</v>
      </c>
      <c r="B794" s="302">
        <v>6.4251541553154823</v>
      </c>
      <c r="C794" s="302">
        <v>1.967103619149583</v>
      </c>
      <c r="D794" s="302">
        <f t="shared" si="292"/>
        <v>8.3922577744650653</v>
      </c>
      <c r="E794" s="303"/>
      <c r="F794" s="302">
        <v>5.655889075901686</v>
      </c>
      <c r="G794" s="302">
        <v>2.1107646121659398</v>
      </c>
      <c r="H794" s="302">
        <f t="shared" si="293"/>
        <v>7.7666536880676258</v>
      </c>
      <c r="I794" s="303"/>
      <c r="J794" s="302">
        <v>4.7513186463127113</v>
      </c>
      <c r="K794" s="302">
        <v>2.1509452660210582</v>
      </c>
      <c r="L794" s="302">
        <f t="shared" si="294"/>
        <v>6.902263912333769</v>
      </c>
      <c r="M794" s="236"/>
      <c r="N794" s="236"/>
    </row>
    <row r="795" spans="1:14" x14ac:dyDescent="0.3">
      <c r="A795" s="237" t="str">
        <f>name!E$8</f>
        <v>Skilled trades occupations</v>
      </c>
      <c r="B795" s="302">
        <v>0.46056458405257455</v>
      </c>
      <c r="C795" s="302">
        <v>3.456823258705489</v>
      </c>
      <c r="D795" s="302">
        <f t="shared" si="292"/>
        <v>3.9173878427580635</v>
      </c>
      <c r="E795" s="303"/>
      <c r="F795" s="302">
        <v>0.53604096434102622</v>
      </c>
      <c r="G795" s="302">
        <v>2.5223503014633355</v>
      </c>
      <c r="H795" s="302">
        <f t="shared" si="293"/>
        <v>3.0583912658043619</v>
      </c>
      <c r="I795" s="303"/>
      <c r="J795" s="302">
        <v>0.791361325817732</v>
      </c>
      <c r="K795" s="302">
        <v>2.5313525512570578</v>
      </c>
      <c r="L795" s="302">
        <f t="shared" si="294"/>
        <v>3.3227138770747899</v>
      </c>
      <c r="M795" s="236"/>
      <c r="N795" s="236"/>
    </row>
    <row r="796" spans="1:14" x14ac:dyDescent="0.3">
      <c r="A796" s="237" t="str">
        <f>name!E$9</f>
        <v>Caring, leisure and other service occupations</v>
      </c>
      <c r="B796" s="302">
        <v>2.5060970156027498</v>
      </c>
      <c r="C796" s="302">
        <v>0.98004252771395939</v>
      </c>
      <c r="D796" s="302">
        <f t="shared" si="292"/>
        <v>3.4861395433167091</v>
      </c>
      <c r="E796" s="303"/>
      <c r="F796" s="302">
        <v>2.1848275172676153</v>
      </c>
      <c r="G796" s="302">
        <v>1.065812113882761</v>
      </c>
      <c r="H796" s="302">
        <f t="shared" si="293"/>
        <v>3.250639631150376</v>
      </c>
      <c r="I796" s="303"/>
      <c r="J796" s="302">
        <v>2.7862039445819771</v>
      </c>
      <c r="K796" s="302">
        <v>1.5130360438194825</v>
      </c>
      <c r="L796" s="302">
        <f t="shared" si="294"/>
        <v>4.2992399884014594</v>
      </c>
      <c r="M796" s="236"/>
      <c r="N796" s="236"/>
    </row>
    <row r="797" spans="1:14" x14ac:dyDescent="0.3">
      <c r="A797" s="237" t="str">
        <f>name!E$10</f>
        <v>Sales and customer service occupations</v>
      </c>
      <c r="B797" s="302">
        <v>2.3355885502789642</v>
      </c>
      <c r="C797" s="302">
        <v>1.4642278287399655</v>
      </c>
      <c r="D797" s="302">
        <f t="shared" si="292"/>
        <v>3.7998163790189299</v>
      </c>
      <c r="E797" s="303"/>
      <c r="F797" s="302">
        <v>2.114813987454883</v>
      </c>
      <c r="G797" s="302">
        <v>1.4512968910464861</v>
      </c>
      <c r="H797" s="302">
        <f t="shared" si="293"/>
        <v>3.5661108785013691</v>
      </c>
      <c r="I797" s="303"/>
      <c r="J797" s="302">
        <v>2.7598098359803798</v>
      </c>
      <c r="K797" s="302">
        <v>2.046877759805529</v>
      </c>
      <c r="L797" s="302">
        <f t="shared" si="294"/>
        <v>4.8066875957859088</v>
      </c>
      <c r="M797" s="236"/>
      <c r="N797" s="236"/>
    </row>
    <row r="798" spans="1:14" x14ac:dyDescent="0.3">
      <c r="A798" s="237" t="str">
        <f>name!E$11</f>
        <v>Process, plant and machine operatives</v>
      </c>
      <c r="B798" s="302">
        <v>0.44113227336298971</v>
      </c>
      <c r="C798" s="302">
        <v>1.1424262982269893</v>
      </c>
      <c r="D798" s="302">
        <f t="shared" si="292"/>
        <v>1.5835585715899789</v>
      </c>
      <c r="E798" s="303"/>
      <c r="F798" s="302">
        <v>0.29606348334665994</v>
      </c>
      <c r="G798" s="302">
        <v>1.168637259971874</v>
      </c>
      <c r="H798" s="302">
        <f t="shared" si="293"/>
        <v>1.4647007433185339</v>
      </c>
      <c r="I798" s="303"/>
      <c r="J798" s="302">
        <v>0.41974846974667301</v>
      </c>
      <c r="K798" s="302">
        <v>1.4204479889894983</v>
      </c>
      <c r="L798" s="302">
        <f t="shared" si="294"/>
        <v>1.8401964587361714</v>
      </c>
      <c r="M798" s="236"/>
      <c r="N798" s="236"/>
    </row>
    <row r="799" spans="1:14" x14ac:dyDescent="0.3">
      <c r="A799" s="237" t="str">
        <f>name!E$12</f>
        <v>Elementary occupations</v>
      </c>
      <c r="B799" s="302">
        <v>4.3422820649093685</v>
      </c>
      <c r="C799" s="302">
        <v>6.3393669092810923</v>
      </c>
      <c r="D799" s="302">
        <f t="shared" si="292"/>
        <v>10.681648974190461</v>
      </c>
      <c r="E799" s="303"/>
      <c r="F799" s="302">
        <v>3.6496193452628751</v>
      </c>
      <c r="G799" s="302">
        <v>5.9111664567149722</v>
      </c>
      <c r="H799" s="302">
        <f t="shared" si="293"/>
        <v>9.5607858019778469</v>
      </c>
      <c r="I799" s="303"/>
      <c r="J799" s="302">
        <v>4.4001633691669504</v>
      </c>
      <c r="K799" s="302">
        <v>6.0131083638377811</v>
      </c>
      <c r="L799" s="302">
        <f t="shared" si="294"/>
        <v>10.413271733004731</v>
      </c>
      <c r="M799" s="236"/>
      <c r="N799" s="236"/>
    </row>
    <row r="800" spans="1:14" x14ac:dyDescent="0.3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  <c r="N800" s="236"/>
    </row>
    <row r="801" spans="1:14" x14ac:dyDescent="0.3">
      <c r="A801" s="244" t="s">
        <v>32</v>
      </c>
      <c r="B801" s="311">
        <f>SUM(B791:B799)</f>
        <v>39.210999999836559</v>
      </c>
      <c r="C801" s="311">
        <f t="shared" ref="C801:D801" si="295">SUM(C791:C799)</f>
        <v>57.88599999945064</v>
      </c>
      <c r="D801" s="311">
        <f t="shared" si="295"/>
        <v>97.096999999287206</v>
      </c>
      <c r="E801" s="311"/>
      <c r="F801" s="311">
        <f t="shared" ref="F801:H801" si="296">SUM(F791:F799)</f>
        <v>42.819999999795293</v>
      </c>
      <c r="G801" s="311">
        <f t="shared" si="296"/>
        <v>56.598000000110211</v>
      </c>
      <c r="H801" s="311">
        <f t="shared" si="296"/>
        <v>99.41799999990549</v>
      </c>
      <c r="I801" s="311"/>
      <c r="J801" s="311">
        <f t="shared" ref="J801:L801" si="297">SUM(J791:J799)</f>
        <v>52.41900000000372</v>
      </c>
      <c r="K801" s="311">
        <f t="shared" si="297"/>
        <v>65.197000000120397</v>
      </c>
      <c r="L801" s="311">
        <f t="shared" si="297"/>
        <v>117.6160000001241</v>
      </c>
      <c r="M801" s="236"/>
      <c r="N801" s="236"/>
    </row>
    <row r="802" spans="1:14" x14ac:dyDescent="0.3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  <c r="N802" s="236"/>
    </row>
    <row r="803" spans="1:14" x14ac:dyDescent="0.3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56" t="s">
        <v>35</v>
      </c>
      <c r="M803" s="236"/>
      <c r="N803" s="236"/>
    </row>
    <row r="804" spans="1:14" x14ac:dyDescent="0.3">
      <c r="A804" s="242"/>
      <c r="B804" s="250"/>
      <c r="C804" s="250"/>
      <c r="D804" s="250"/>
      <c r="E804" s="250"/>
      <c r="F804" s="250"/>
      <c r="G804" s="250"/>
      <c r="H804" s="250"/>
      <c r="I804" s="250"/>
      <c r="J804" s="250"/>
      <c r="K804" s="250"/>
      <c r="L804" s="236"/>
      <c r="M804" s="236"/>
      <c r="N804" s="236"/>
    </row>
    <row r="805" spans="1:14" x14ac:dyDescent="0.3">
      <c r="A805" s="241" t="str">
        <f>name!A50</f>
        <v>Financial services</v>
      </c>
      <c r="B805" s="373">
        <f>B$6</f>
        <v>2015</v>
      </c>
      <c r="C805" s="373"/>
      <c r="D805" s="373"/>
      <c r="E805" s="253"/>
      <c r="F805" s="373">
        <f>F$6</f>
        <v>2020</v>
      </c>
      <c r="G805" s="373"/>
      <c r="H805" s="373"/>
      <c r="I805" s="253"/>
      <c r="J805" s="373">
        <f>J$6</f>
        <v>2035</v>
      </c>
      <c r="K805" s="373"/>
      <c r="L805" s="373"/>
      <c r="M805" s="236"/>
      <c r="N805" s="236"/>
    </row>
    <row r="806" spans="1:14" x14ac:dyDescent="0.3">
      <c r="A806" s="254"/>
      <c r="B806" s="255" t="s">
        <v>352</v>
      </c>
      <c r="C806" s="255" t="s">
        <v>353</v>
      </c>
      <c r="D806" s="255" t="s">
        <v>32</v>
      </c>
      <c r="E806" s="255"/>
      <c r="F806" s="255" t="s">
        <v>352</v>
      </c>
      <c r="G806" s="255" t="s">
        <v>353</v>
      </c>
      <c r="H806" s="255" t="s">
        <v>32</v>
      </c>
      <c r="I806" s="255"/>
      <c r="J806" s="255" t="s">
        <v>352</v>
      </c>
      <c r="K806" s="255" t="s">
        <v>353</v>
      </c>
      <c r="L806" s="255" t="s">
        <v>32</v>
      </c>
      <c r="M806" s="236"/>
      <c r="N806" s="236"/>
    </row>
    <row r="807" spans="1:14" x14ac:dyDescent="0.3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  <c r="N807" s="236"/>
    </row>
    <row r="808" spans="1:14" x14ac:dyDescent="0.3">
      <c r="A808" s="237" t="str">
        <f>name!E$4</f>
        <v>Managers, directors and senior officials</v>
      </c>
      <c r="B808" s="302">
        <v>30.290170670385091</v>
      </c>
      <c r="C808" s="302">
        <v>64.717031801092517</v>
      </c>
      <c r="D808" s="302">
        <f>SUM(B808:C808)</f>
        <v>95.007202471477612</v>
      </c>
      <c r="E808" s="303"/>
      <c r="F808" s="302">
        <v>34.202504988404087</v>
      </c>
      <c r="G808" s="302">
        <v>62.394679042770271</v>
      </c>
      <c r="H808" s="302">
        <f>SUM(F808:G808)</f>
        <v>96.597184031174351</v>
      </c>
      <c r="I808" s="303"/>
      <c r="J808" s="302">
        <v>39.204454064715556</v>
      </c>
      <c r="K808" s="302">
        <v>58.114580681720085</v>
      </c>
      <c r="L808" s="302">
        <f>SUM(J808:K808)</f>
        <v>97.319034746435648</v>
      </c>
      <c r="M808" s="236"/>
      <c r="N808" s="236"/>
    </row>
    <row r="809" spans="1:14" x14ac:dyDescent="0.3">
      <c r="A809" s="237" t="str">
        <f>name!E$5</f>
        <v>Professional occupations</v>
      </c>
      <c r="B809" s="302">
        <v>29.050990933857335</v>
      </c>
      <c r="C809" s="302">
        <v>77.009240315135287</v>
      </c>
      <c r="D809" s="302">
        <f t="shared" ref="D809:D816" si="298">SUM(B809:C809)</f>
        <v>106.06023124899262</v>
      </c>
      <c r="E809" s="303"/>
      <c r="F809" s="302">
        <v>37.088605268447672</v>
      </c>
      <c r="G809" s="302">
        <v>79.615813088781223</v>
      </c>
      <c r="H809" s="302">
        <f t="shared" ref="H809:H816" si="299">SUM(F809:G809)</f>
        <v>116.70441835722889</v>
      </c>
      <c r="I809" s="303"/>
      <c r="J809" s="302">
        <v>45.306835801487338</v>
      </c>
      <c r="K809" s="302">
        <v>91.399689879904855</v>
      </c>
      <c r="L809" s="302">
        <f t="shared" ref="L809:L816" si="300">SUM(J809:K809)</f>
        <v>136.70652568139218</v>
      </c>
      <c r="M809" s="236"/>
      <c r="N809" s="236"/>
    </row>
    <row r="810" spans="1:14" x14ac:dyDescent="0.3">
      <c r="A810" s="237" t="str">
        <f>name!E$6</f>
        <v>Associate professional occupations</v>
      </c>
      <c r="B810" s="302">
        <v>39.783271706227637</v>
      </c>
      <c r="C810" s="302">
        <v>63.342839640102049</v>
      </c>
      <c r="D810" s="302">
        <f t="shared" si="298"/>
        <v>103.12611134632968</v>
      </c>
      <c r="E810" s="303"/>
      <c r="F810" s="302">
        <v>41.345214280050854</v>
      </c>
      <c r="G810" s="302">
        <v>60.44281337752323</v>
      </c>
      <c r="H810" s="302">
        <f t="shared" si="299"/>
        <v>101.78802765757408</v>
      </c>
      <c r="I810" s="303"/>
      <c r="J810" s="302">
        <v>41.815529499788205</v>
      </c>
      <c r="K810" s="302">
        <v>54.553173032843446</v>
      </c>
      <c r="L810" s="302">
        <f t="shared" si="300"/>
        <v>96.368702532631659</v>
      </c>
      <c r="M810" s="236"/>
      <c r="N810" s="236"/>
    </row>
    <row r="811" spans="1:14" x14ac:dyDescent="0.3">
      <c r="A811" s="237" t="str">
        <f>name!E$7</f>
        <v>Administrative and secretarial occupations</v>
      </c>
      <c r="B811" s="302">
        <v>113.25325822458606</v>
      </c>
      <c r="C811" s="302">
        <v>51.190580949400335</v>
      </c>
      <c r="D811" s="302">
        <f t="shared" si="298"/>
        <v>164.44383917398639</v>
      </c>
      <c r="E811" s="303"/>
      <c r="F811" s="302">
        <v>94.478630769533979</v>
      </c>
      <c r="G811" s="302">
        <v>48.911409122882397</v>
      </c>
      <c r="H811" s="302">
        <f t="shared" si="299"/>
        <v>143.39003989241638</v>
      </c>
      <c r="I811" s="303"/>
      <c r="J811" s="302">
        <v>71.241251916077161</v>
      </c>
      <c r="K811" s="302">
        <v>45.564427348457947</v>
      </c>
      <c r="L811" s="302">
        <f t="shared" si="300"/>
        <v>116.80567926453512</v>
      </c>
      <c r="M811" s="236"/>
      <c r="N811" s="236"/>
    </row>
    <row r="812" spans="1:14" x14ac:dyDescent="0.3">
      <c r="A812" s="237" t="str">
        <f>name!E$8</f>
        <v>Skilled trades occupations</v>
      </c>
      <c r="B812" s="302">
        <v>0.71209825999817711</v>
      </c>
      <c r="C812" s="302">
        <v>6.4712351402005375</v>
      </c>
      <c r="D812" s="302">
        <f t="shared" si="298"/>
        <v>7.1833334001987144</v>
      </c>
      <c r="E812" s="303"/>
      <c r="F812" s="302">
        <v>0.64959957940870616</v>
      </c>
      <c r="G812" s="302">
        <v>3.964708639400444</v>
      </c>
      <c r="H812" s="302">
        <f t="shared" si="299"/>
        <v>4.6143082188091498</v>
      </c>
      <c r="I812" s="303"/>
      <c r="J812" s="302">
        <v>1.4146439738203935</v>
      </c>
      <c r="K812" s="302">
        <v>3.4660101965304082</v>
      </c>
      <c r="L812" s="302">
        <f t="shared" si="300"/>
        <v>4.8806541703508017</v>
      </c>
      <c r="M812" s="236"/>
      <c r="N812" s="236"/>
    </row>
    <row r="813" spans="1:14" x14ac:dyDescent="0.3">
      <c r="A813" s="237" t="str">
        <f>name!E$9</f>
        <v>Caring, leisure and other service occupations</v>
      </c>
      <c r="B813" s="302">
        <v>0.81702385299645852</v>
      </c>
      <c r="C813" s="302">
        <v>0.79609734527308718</v>
      </c>
      <c r="D813" s="302">
        <f t="shared" si="298"/>
        <v>1.6131211982695457</v>
      </c>
      <c r="E813" s="303"/>
      <c r="F813" s="302">
        <v>0.68342336032464202</v>
      </c>
      <c r="G813" s="302">
        <v>0.62403491374192788</v>
      </c>
      <c r="H813" s="302">
        <f t="shared" si="299"/>
        <v>1.3074582740665699</v>
      </c>
      <c r="I813" s="303"/>
      <c r="J813" s="302">
        <v>0.73557163338323117</v>
      </c>
      <c r="K813" s="302">
        <v>0.77301355376075709</v>
      </c>
      <c r="L813" s="302">
        <f t="shared" si="300"/>
        <v>1.5085851871439884</v>
      </c>
      <c r="M813" s="236"/>
      <c r="N813" s="236"/>
    </row>
    <row r="814" spans="1:14" x14ac:dyDescent="0.3">
      <c r="A814" s="237" t="str">
        <f>name!E$10</f>
        <v>Sales and customer service occupations</v>
      </c>
      <c r="B814" s="302">
        <v>28.833581190278935</v>
      </c>
      <c r="C814" s="302">
        <v>13.613806393297867</v>
      </c>
      <c r="D814" s="302">
        <f t="shared" si="298"/>
        <v>42.447387583576798</v>
      </c>
      <c r="E814" s="303"/>
      <c r="F814" s="302">
        <v>25.020400569132967</v>
      </c>
      <c r="G814" s="302">
        <v>10.59329086295428</v>
      </c>
      <c r="H814" s="302">
        <f t="shared" si="299"/>
        <v>35.613691432087251</v>
      </c>
      <c r="I814" s="303"/>
      <c r="J814" s="302">
        <v>27.985777134857489</v>
      </c>
      <c r="K814" s="302">
        <v>12.835684824122236</v>
      </c>
      <c r="L814" s="302">
        <f t="shared" si="300"/>
        <v>40.821461958979725</v>
      </c>
      <c r="M814" s="236"/>
      <c r="N814" s="236"/>
    </row>
    <row r="815" spans="1:14" x14ac:dyDescent="0.3">
      <c r="A815" s="237" t="str">
        <f>name!E$11</f>
        <v>Process, plant and machine operatives</v>
      </c>
      <c r="B815" s="302">
        <v>0.42446330782675412</v>
      </c>
      <c r="C815" s="302">
        <v>1.9640817707287312</v>
      </c>
      <c r="D815" s="302">
        <f t="shared" si="298"/>
        <v>2.3885450785554854</v>
      </c>
      <c r="E815" s="303"/>
      <c r="F815" s="302">
        <v>0.2792850427062854</v>
      </c>
      <c r="G815" s="302">
        <v>1.2528711326392692</v>
      </c>
      <c r="H815" s="302">
        <f t="shared" si="299"/>
        <v>1.5321561753455546</v>
      </c>
      <c r="I815" s="303"/>
      <c r="J815" s="302">
        <v>0.35935966917581041</v>
      </c>
      <c r="K815" s="302">
        <v>1.4409666807212778</v>
      </c>
      <c r="L815" s="302">
        <f t="shared" si="300"/>
        <v>1.8003263498970883</v>
      </c>
      <c r="M815" s="236"/>
      <c r="N815" s="236"/>
    </row>
    <row r="816" spans="1:14" x14ac:dyDescent="0.3">
      <c r="A816" s="237" t="str">
        <f>name!E$12</f>
        <v>Elementary occupations</v>
      </c>
      <c r="B816" s="302">
        <v>2.0501418526988231</v>
      </c>
      <c r="C816" s="302">
        <v>3.6720866412582658</v>
      </c>
      <c r="D816" s="302">
        <f t="shared" si="298"/>
        <v>5.7222284939570889</v>
      </c>
      <c r="E816" s="303"/>
      <c r="F816" s="302">
        <v>1.39833614061792</v>
      </c>
      <c r="G816" s="302">
        <v>2.4363798193758694</v>
      </c>
      <c r="H816" s="302">
        <f t="shared" si="299"/>
        <v>3.8347159599937894</v>
      </c>
      <c r="I816" s="303"/>
      <c r="J816" s="302">
        <v>1.3705763071399659</v>
      </c>
      <c r="K816" s="302">
        <v>2.106453802893963</v>
      </c>
      <c r="L816" s="302">
        <f t="shared" si="300"/>
        <v>3.4770301100339287</v>
      </c>
      <c r="M816" s="236"/>
      <c r="N816" s="236"/>
    </row>
    <row r="817" spans="1:14" x14ac:dyDescent="0.3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  <c r="N817" s="236"/>
    </row>
    <row r="818" spans="1:14" x14ac:dyDescent="0.3">
      <c r="A818" s="244" t="s">
        <v>32</v>
      </c>
      <c r="B818" s="311">
        <f>SUM(B808:B816)</f>
        <v>245.21499999885532</v>
      </c>
      <c r="C818" s="311">
        <f t="shared" ref="C818:D818" si="301">SUM(C808:C816)</f>
        <v>282.77699999648866</v>
      </c>
      <c r="D818" s="311">
        <f t="shared" si="301"/>
        <v>527.99199999534392</v>
      </c>
      <c r="E818" s="311"/>
      <c r="F818" s="311">
        <f t="shared" ref="F818:H818" si="302">SUM(F808:F816)</f>
        <v>235.1459999986271</v>
      </c>
      <c r="G818" s="311">
        <f t="shared" si="302"/>
        <v>270.23600000006888</v>
      </c>
      <c r="H818" s="311">
        <f t="shared" si="302"/>
        <v>505.38199999869596</v>
      </c>
      <c r="I818" s="311"/>
      <c r="J818" s="311">
        <f t="shared" ref="J818:L818" si="303">SUM(J808:J816)</f>
        <v>229.4340000004452</v>
      </c>
      <c r="K818" s="311">
        <f t="shared" si="303"/>
        <v>270.25400000095493</v>
      </c>
      <c r="L818" s="311">
        <f t="shared" si="303"/>
        <v>499.68800000140016</v>
      </c>
      <c r="M818" s="236"/>
      <c r="N818" s="236"/>
    </row>
    <row r="819" spans="1:14" x14ac:dyDescent="0.3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  <c r="N819" s="236"/>
    </row>
    <row r="820" spans="1:14" x14ac:dyDescent="0.3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56" t="s">
        <v>35</v>
      </c>
      <c r="M820" s="236"/>
      <c r="N820" s="236"/>
    </row>
    <row r="821" spans="1:14" x14ac:dyDescent="0.3">
      <c r="A821" s="242"/>
      <c r="B821" s="250"/>
      <c r="C821" s="250"/>
      <c r="D821" s="250"/>
      <c r="E821" s="250"/>
      <c r="F821" s="250"/>
      <c r="G821" s="250"/>
      <c r="H821" s="250"/>
      <c r="I821" s="250"/>
      <c r="J821" s="250"/>
      <c r="K821" s="250"/>
      <c r="L821" s="236"/>
      <c r="M821" s="236"/>
      <c r="N821" s="236"/>
    </row>
    <row r="822" spans="1:14" x14ac:dyDescent="0.3">
      <c r="A822" s="241" t="str">
        <f>name!A51</f>
        <v>Insurance and pensions</v>
      </c>
      <c r="B822" s="373">
        <f>B$6</f>
        <v>2015</v>
      </c>
      <c r="C822" s="373"/>
      <c r="D822" s="373"/>
      <c r="E822" s="253"/>
      <c r="F822" s="373">
        <f>F$6</f>
        <v>2020</v>
      </c>
      <c r="G822" s="373"/>
      <c r="H822" s="373"/>
      <c r="I822" s="253"/>
      <c r="J822" s="373">
        <f>J$6</f>
        <v>2035</v>
      </c>
      <c r="K822" s="373"/>
      <c r="L822" s="373"/>
      <c r="M822" s="236"/>
      <c r="N822" s="236"/>
    </row>
    <row r="823" spans="1:14" x14ac:dyDescent="0.3">
      <c r="A823" s="254"/>
      <c r="B823" s="255" t="s">
        <v>352</v>
      </c>
      <c r="C823" s="255" t="s">
        <v>353</v>
      </c>
      <c r="D823" s="255" t="s">
        <v>32</v>
      </c>
      <c r="E823" s="255"/>
      <c r="F823" s="255" t="s">
        <v>352</v>
      </c>
      <c r="G823" s="255" t="s">
        <v>353</v>
      </c>
      <c r="H823" s="255" t="s">
        <v>32</v>
      </c>
      <c r="I823" s="255"/>
      <c r="J823" s="255" t="s">
        <v>352</v>
      </c>
      <c r="K823" s="255" t="s">
        <v>353</v>
      </c>
      <c r="L823" s="255" t="s">
        <v>32</v>
      </c>
      <c r="M823" s="236"/>
      <c r="N823" s="236"/>
    </row>
    <row r="824" spans="1:14" x14ac:dyDescent="0.3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  <c r="N824" s="236"/>
    </row>
    <row r="825" spans="1:14" x14ac:dyDescent="0.3">
      <c r="A825" s="237" t="str">
        <f>name!E$4</f>
        <v>Managers, directors and senior officials</v>
      </c>
      <c r="B825" s="302">
        <v>5.8886409678990921</v>
      </c>
      <c r="C825" s="302">
        <v>7.2199024287617943</v>
      </c>
      <c r="D825" s="302">
        <f>SUM(B825:C825)</f>
        <v>13.108543396660886</v>
      </c>
      <c r="E825" s="303"/>
      <c r="F825" s="302">
        <v>7.6522750832797453</v>
      </c>
      <c r="G825" s="302">
        <v>7.6606333161271927</v>
      </c>
      <c r="H825" s="302">
        <f>SUM(F825:G825)</f>
        <v>15.312908399406938</v>
      </c>
      <c r="I825" s="303"/>
      <c r="J825" s="302">
        <v>8.3916399175172245</v>
      </c>
      <c r="K825" s="302">
        <v>6.7460308478542217</v>
      </c>
      <c r="L825" s="302">
        <f>SUM(J825:K825)</f>
        <v>15.137670765371446</v>
      </c>
      <c r="M825" s="236"/>
      <c r="N825" s="236"/>
    </row>
    <row r="826" spans="1:14" x14ac:dyDescent="0.3">
      <c r="A826" s="237" t="str">
        <f>name!E$5</f>
        <v>Professional occupations</v>
      </c>
      <c r="B826" s="302">
        <v>12.600557782091531</v>
      </c>
      <c r="C826" s="302">
        <v>12.103366645690089</v>
      </c>
      <c r="D826" s="302">
        <f t="shared" ref="D826:D833" si="304">SUM(B826:C826)</f>
        <v>24.703924427781622</v>
      </c>
      <c r="E826" s="303"/>
      <c r="F826" s="302">
        <v>18.492598550365393</v>
      </c>
      <c r="G826" s="302">
        <v>15.08650652236825</v>
      </c>
      <c r="H826" s="302">
        <f t="shared" ref="H826:H833" si="305">SUM(F826:G826)</f>
        <v>33.57910507273364</v>
      </c>
      <c r="I826" s="303"/>
      <c r="J826" s="302">
        <v>21.809295529439723</v>
      </c>
      <c r="K826" s="302">
        <v>17.075169809216618</v>
      </c>
      <c r="L826" s="302">
        <f t="shared" ref="L826:L833" si="306">SUM(J826:K826)</f>
        <v>38.884465338656341</v>
      </c>
      <c r="M826" s="236"/>
      <c r="N826" s="236"/>
    </row>
    <row r="827" spans="1:14" x14ac:dyDescent="0.3">
      <c r="A827" s="237" t="str">
        <f>name!E$6</f>
        <v>Associate professional occupations</v>
      </c>
      <c r="B827" s="302">
        <v>13.311363625268321</v>
      </c>
      <c r="C827" s="302">
        <v>14.109708421896784</v>
      </c>
      <c r="D827" s="302">
        <f t="shared" si="304"/>
        <v>27.421072047165104</v>
      </c>
      <c r="E827" s="303"/>
      <c r="F827" s="302">
        <v>16.504998751329495</v>
      </c>
      <c r="G827" s="302">
        <v>15.129143488437034</v>
      </c>
      <c r="H827" s="302">
        <f t="shared" si="305"/>
        <v>31.634142239766529</v>
      </c>
      <c r="I827" s="303"/>
      <c r="J827" s="302">
        <v>16.088176565732994</v>
      </c>
      <c r="K827" s="302">
        <v>12.39181126750931</v>
      </c>
      <c r="L827" s="302">
        <f t="shared" si="306"/>
        <v>28.479987833242305</v>
      </c>
      <c r="M827" s="236"/>
      <c r="N827" s="236"/>
    </row>
    <row r="828" spans="1:14" x14ac:dyDescent="0.3">
      <c r="A828" s="237" t="str">
        <f>name!E$7</f>
        <v>Administrative and secretarial occupations</v>
      </c>
      <c r="B828" s="302">
        <v>20.704428608070707</v>
      </c>
      <c r="C828" s="302">
        <v>12.420164300384105</v>
      </c>
      <c r="D828" s="302">
        <f t="shared" si="304"/>
        <v>33.124592908454815</v>
      </c>
      <c r="E828" s="303"/>
      <c r="F828" s="302">
        <v>20.230297772169155</v>
      </c>
      <c r="G828" s="302">
        <v>13.224316524698722</v>
      </c>
      <c r="H828" s="302">
        <f t="shared" si="305"/>
        <v>33.454614296867874</v>
      </c>
      <c r="I828" s="303"/>
      <c r="J828" s="302">
        <v>13.626213557299003</v>
      </c>
      <c r="K828" s="302">
        <v>11.992262811949161</v>
      </c>
      <c r="L828" s="302">
        <f t="shared" si="306"/>
        <v>25.618476369248164</v>
      </c>
      <c r="M828" s="236"/>
      <c r="N828" s="236"/>
    </row>
    <row r="829" spans="1:14" x14ac:dyDescent="0.3">
      <c r="A829" s="237" t="str">
        <f>name!E$8</f>
        <v>Skilled trades occupations</v>
      </c>
      <c r="B829" s="302">
        <v>0.56519928833543931</v>
      </c>
      <c r="C829" s="302">
        <v>2.7053282413665767</v>
      </c>
      <c r="D829" s="302">
        <f t="shared" si="304"/>
        <v>3.270527529702016</v>
      </c>
      <c r="E829" s="303"/>
      <c r="F829" s="302">
        <v>0.71034632419275456</v>
      </c>
      <c r="G829" s="302">
        <v>1.7065937418749892</v>
      </c>
      <c r="H829" s="302">
        <f t="shared" si="305"/>
        <v>2.4169400660677436</v>
      </c>
      <c r="I829" s="303"/>
      <c r="J829" s="302">
        <v>0.95301301871658639</v>
      </c>
      <c r="K829" s="302">
        <v>1.3982655409019999</v>
      </c>
      <c r="L829" s="302">
        <f t="shared" si="306"/>
        <v>2.3512785596185863</v>
      </c>
      <c r="M829" s="236"/>
      <c r="N829" s="236"/>
    </row>
    <row r="830" spans="1:14" x14ac:dyDescent="0.3">
      <c r="A830" s="237" t="str">
        <f>name!E$9</f>
        <v>Caring, leisure and other service occupations</v>
      </c>
      <c r="B830" s="302">
        <v>1.8573717196449893</v>
      </c>
      <c r="C830" s="302">
        <v>1.8123462791361087</v>
      </c>
      <c r="D830" s="302">
        <f t="shared" si="304"/>
        <v>3.6697179987810982</v>
      </c>
      <c r="E830" s="303"/>
      <c r="F830" s="302">
        <v>2.0672540763040064</v>
      </c>
      <c r="G830" s="302">
        <v>1.8338435591329143</v>
      </c>
      <c r="H830" s="302">
        <f t="shared" si="305"/>
        <v>3.9010976354369209</v>
      </c>
      <c r="I830" s="303"/>
      <c r="J830" s="302">
        <v>2.0716057622088231</v>
      </c>
      <c r="K830" s="302">
        <v>2.3738983733064511</v>
      </c>
      <c r="L830" s="302">
        <f t="shared" si="306"/>
        <v>4.4455041355152742</v>
      </c>
      <c r="M830" s="236"/>
      <c r="N830" s="236"/>
    </row>
    <row r="831" spans="1:14" x14ac:dyDescent="0.3">
      <c r="A831" s="237" t="str">
        <f>name!E$10</f>
        <v>Sales and customer service occupations</v>
      </c>
      <c r="B831" s="302">
        <v>9.1063849012754403</v>
      </c>
      <c r="C831" s="302">
        <v>6.2179038966505322</v>
      </c>
      <c r="D831" s="302">
        <f t="shared" si="304"/>
        <v>15.324288797925973</v>
      </c>
      <c r="E831" s="303"/>
      <c r="F831" s="302">
        <v>9.239550933850122</v>
      </c>
      <c r="G831" s="302">
        <v>5.8049107804335724</v>
      </c>
      <c r="H831" s="302">
        <f t="shared" si="305"/>
        <v>15.044461714283695</v>
      </c>
      <c r="I831" s="303"/>
      <c r="J831" s="302">
        <v>9.0888728911538443</v>
      </c>
      <c r="K831" s="302">
        <v>6.9780137788546446</v>
      </c>
      <c r="L831" s="302">
        <f t="shared" si="306"/>
        <v>16.06688667000849</v>
      </c>
      <c r="M831" s="236"/>
      <c r="N831" s="236"/>
    </row>
    <row r="832" spans="1:14" x14ac:dyDescent="0.3">
      <c r="A832" s="237" t="str">
        <f>name!E$11</f>
        <v>Process, plant and machine operatives</v>
      </c>
      <c r="B832" s="302">
        <v>0.22634755751625163</v>
      </c>
      <c r="C832" s="302">
        <v>0.52151709582779648</v>
      </c>
      <c r="D832" s="302">
        <f t="shared" si="304"/>
        <v>0.74786465334404806</v>
      </c>
      <c r="E832" s="303"/>
      <c r="F832" s="302">
        <v>0.19339851923430423</v>
      </c>
      <c r="G832" s="302">
        <v>0.41002061203390333</v>
      </c>
      <c r="H832" s="302">
        <f t="shared" si="305"/>
        <v>0.60341913126820756</v>
      </c>
      <c r="I832" s="303"/>
      <c r="J832" s="302">
        <v>0.23477773182294207</v>
      </c>
      <c r="K832" s="302">
        <v>0.42000135091477592</v>
      </c>
      <c r="L832" s="302">
        <f t="shared" si="306"/>
        <v>0.65477908273771801</v>
      </c>
      <c r="M832" s="236"/>
      <c r="N832" s="236"/>
    </row>
    <row r="833" spans="1:14" x14ac:dyDescent="0.3">
      <c r="A833" s="237" t="str">
        <f>name!E$12</f>
        <v>Elementary occupations</v>
      </c>
      <c r="B833" s="302">
        <v>0.69570554944305407</v>
      </c>
      <c r="C833" s="302">
        <v>1.1177626897353785</v>
      </c>
      <c r="D833" s="302">
        <f t="shared" si="304"/>
        <v>1.8134682391784325</v>
      </c>
      <c r="E833" s="303"/>
      <c r="F833" s="302">
        <v>0.61327998880352563</v>
      </c>
      <c r="G833" s="302">
        <v>0.870031454675118</v>
      </c>
      <c r="H833" s="302">
        <f t="shared" si="305"/>
        <v>1.4833114434786436</v>
      </c>
      <c r="I833" s="303"/>
      <c r="J833" s="302">
        <v>0.53140502639109233</v>
      </c>
      <c r="K833" s="302">
        <v>0.75254621923972442</v>
      </c>
      <c r="L833" s="302">
        <f t="shared" si="306"/>
        <v>1.2839512456308166</v>
      </c>
      <c r="M833" s="236"/>
      <c r="N833" s="236"/>
    </row>
    <row r="834" spans="1:14" x14ac:dyDescent="0.3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  <c r="N834" s="236"/>
    </row>
    <row r="835" spans="1:14" x14ac:dyDescent="0.3">
      <c r="A835" s="244" t="s">
        <v>32</v>
      </c>
      <c r="B835" s="311">
        <f>SUM(B825:B833)</f>
        <v>64.955999999544815</v>
      </c>
      <c r="C835" s="311">
        <f t="shared" ref="C835:D835" si="307">SUM(C825:C833)</f>
        <v>58.227999999449167</v>
      </c>
      <c r="D835" s="311">
        <f t="shared" si="307"/>
        <v>123.183999998994</v>
      </c>
      <c r="E835" s="311"/>
      <c r="F835" s="311">
        <f t="shared" ref="F835:H835" si="308">SUM(F825:F833)</f>
        <v>75.70399999952852</v>
      </c>
      <c r="G835" s="311">
        <f t="shared" si="308"/>
        <v>61.725999999781706</v>
      </c>
      <c r="H835" s="311">
        <f t="shared" si="308"/>
        <v>137.42999999931018</v>
      </c>
      <c r="I835" s="311"/>
      <c r="J835" s="311">
        <f t="shared" ref="J835:L835" si="309">SUM(J825:J833)</f>
        <v>72.795000000282243</v>
      </c>
      <c r="K835" s="311">
        <f t="shared" si="309"/>
        <v>60.127999999746912</v>
      </c>
      <c r="L835" s="311">
        <f t="shared" si="309"/>
        <v>132.92300000002913</v>
      </c>
      <c r="M835" s="236"/>
      <c r="N835" s="236"/>
    </row>
    <row r="836" spans="1:14" x14ac:dyDescent="0.3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  <c r="N836" s="236"/>
    </row>
    <row r="837" spans="1:14" x14ac:dyDescent="0.3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56" t="s">
        <v>35</v>
      </c>
      <c r="M837" s="236"/>
      <c r="N837" s="236"/>
    </row>
    <row r="838" spans="1:14" x14ac:dyDescent="0.3">
      <c r="A838" s="242"/>
      <c r="B838" s="250"/>
      <c r="C838" s="250"/>
      <c r="D838" s="250"/>
      <c r="E838" s="250"/>
      <c r="F838" s="250"/>
      <c r="G838" s="250"/>
      <c r="H838" s="250"/>
      <c r="I838" s="250"/>
      <c r="J838" s="250"/>
      <c r="K838" s="250"/>
      <c r="L838" s="236"/>
      <c r="M838" s="236"/>
      <c r="N838" s="236"/>
    </row>
    <row r="839" spans="1:14" x14ac:dyDescent="0.3">
      <c r="A839" s="241" t="str">
        <f>name!A52</f>
        <v>Auxiliary financial services</v>
      </c>
      <c r="B839" s="373">
        <f>B$6</f>
        <v>2015</v>
      </c>
      <c r="C839" s="373"/>
      <c r="D839" s="373"/>
      <c r="E839" s="253"/>
      <c r="F839" s="373">
        <f>F$6</f>
        <v>2020</v>
      </c>
      <c r="G839" s="373"/>
      <c r="H839" s="373"/>
      <c r="I839" s="253"/>
      <c r="J839" s="373">
        <f>J$6</f>
        <v>2035</v>
      </c>
      <c r="K839" s="373"/>
      <c r="L839" s="373"/>
      <c r="M839" s="236"/>
      <c r="N839" s="236"/>
    </row>
    <row r="840" spans="1:14" x14ac:dyDescent="0.3">
      <c r="A840" s="254"/>
      <c r="B840" s="255" t="s">
        <v>352</v>
      </c>
      <c r="C840" s="255" t="s">
        <v>353</v>
      </c>
      <c r="D840" s="255" t="s">
        <v>32</v>
      </c>
      <c r="E840" s="255"/>
      <c r="F840" s="255" t="s">
        <v>352</v>
      </c>
      <c r="G840" s="255" t="s">
        <v>353</v>
      </c>
      <c r="H840" s="255" t="s">
        <v>32</v>
      </c>
      <c r="I840" s="255"/>
      <c r="J840" s="255" t="s">
        <v>352</v>
      </c>
      <c r="K840" s="255" t="s">
        <v>353</v>
      </c>
      <c r="L840" s="255" t="s">
        <v>32</v>
      </c>
      <c r="M840" s="236"/>
      <c r="N840" s="236"/>
    </row>
    <row r="841" spans="1:14" x14ac:dyDescent="0.3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  <c r="N841" s="236"/>
    </row>
    <row r="842" spans="1:14" x14ac:dyDescent="0.3">
      <c r="A842" s="237" t="str">
        <f>name!E$4</f>
        <v>Managers, directors and senior officials</v>
      </c>
      <c r="B842" s="302">
        <v>21.197803156443186</v>
      </c>
      <c r="C842" s="302">
        <v>52.395654675497596</v>
      </c>
      <c r="D842" s="302">
        <f>SUM(B842:C842)</f>
        <v>73.593457831940782</v>
      </c>
      <c r="E842" s="303"/>
      <c r="F842" s="302">
        <v>25.936667011701335</v>
      </c>
      <c r="G842" s="302">
        <v>58.491472210292692</v>
      </c>
      <c r="H842" s="302">
        <f>SUM(F842:G842)</f>
        <v>84.42813922199403</v>
      </c>
      <c r="I842" s="303"/>
      <c r="J842" s="302">
        <v>29.346601774875584</v>
      </c>
      <c r="K842" s="302">
        <v>55.778732890382514</v>
      </c>
      <c r="L842" s="302">
        <f>SUM(J842:K842)</f>
        <v>85.125334665258094</v>
      </c>
      <c r="M842" s="236"/>
      <c r="N842" s="236"/>
    </row>
    <row r="843" spans="1:14" x14ac:dyDescent="0.3">
      <c r="A843" s="237" t="str">
        <f>name!E$5</f>
        <v>Professional occupations</v>
      </c>
      <c r="B843" s="302">
        <v>35.651407648089872</v>
      </c>
      <c r="C843" s="302">
        <v>60.313568125373173</v>
      </c>
      <c r="D843" s="302">
        <f t="shared" ref="D843:D850" si="310">SUM(B843:C843)</f>
        <v>95.964975773463038</v>
      </c>
      <c r="E843" s="303"/>
      <c r="F843" s="302">
        <v>49.41470577579372</v>
      </c>
      <c r="G843" s="302">
        <v>75.001929159308432</v>
      </c>
      <c r="H843" s="302">
        <f t="shared" ref="H843:H850" si="311">SUM(F843:G843)</f>
        <v>124.41663493510215</v>
      </c>
      <c r="I843" s="303"/>
      <c r="J843" s="302">
        <v>60.766819981962449</v>
      </c>
      <c r="K843" s="302">
        <v>86.694062004181049</v>
      </c>
      <c r="L843" s="302">
        <f t="shared" ref="L843:L850" si="312">SUM(J843:K843)</f>
        <v>147.46088198614351</v>
      </c>
      <c r="M843" s="236"/>
      <c r="N843" s="236"/>
    </row>
    <row r="844" spans="1:14" x14ac:dyDescent="0.3">
      <c r="A844" s="237" t="str">
        <f>name!E$6</f>
        <v>Associate professional occupations</v>
      </c>
      <c r="B844" s="302">
        <v>52.813957708551953</v>
      </c>
      <c r="C844" s="302">
        <v>82.195671627023145</v>
      </c>
      <c r="D844" s="302">
        <f t="shared" si="310"/>
        <v>135.00962933557508</v>
      </c>
      <c r="E844" s="303"/>
      <c r="F844" s="302">
        <v>59.899575007728473</v>
      </c>
      <c r="G844" s="302">
        <v>89.529154888671471</v>
      </c>
      <c r="H844" s="302">
        <f t="shared" si="311"/>
        <v>149.42872989639994</v>
      </c>
      <c r="I844" s="303"/>
      <c r="J844" s="302">
        <v>62.447233012825443</v>
      </c>
      <c r="K844" s="302">
        <v>80.928138313537758</v>
      </c>
      <c r="L844" s="302">
        <f t="shared" si="312"/>
        <v>143.37537132636319</v>
      </c>
      <c r="M844" s="236"/>
      <c r="N844" s="236"/>
    </row>
    <row r="845" spans="1:14" x14ac:dyDescent="0.3">
      <c r="A845" s="237" t="str">
        <f>name!E$7</f>
        <v>Administrative and secretarial occupations</v>
      </c>
      <c r="B845" s="302">
        <v>82.04075693392484</v>
      </c>
      <c r="C845" s="302">
        <v>25.696141010223045</v>
      </c>
      <c r="D845" s="302">
        <f t="shared" si="310"/>
        <v>107.73689794414788</v>
      </c>
      <c r="E845" s="303"/>
      <c r="F845" s="302">
        <v>75.8862417674016</v>
      </c>
      <c r="G845" s="302">
        <v>27.230976722834043</v>
      </c>
      <c r="H845" s="302">
        <f t="shared" si="311"/>
        <v>103.11721849023564</v>
      </c>
      <c r="I845" s="303"/>
      <c r="J845" s="302">
        <v>51.290045311122029</v>
      </c>
      <c r="K845" s="302">
        <v>24.546781784607017</v>
      </c>
      <c r="L845" s="302">
        <f t="shared" si="312"/>
        <v>75.836827095729049</v>
      </c>
      <c r="M845" s="236"/>
      <c r="N845" s="236"/>
    </row>
    <row r="846" spans="1:14" x14ac:dyDescent="0.3">
      <c r="A846" s="237" t="str">
        <f>name!E$8</f>
        <v>Skilled trades occupations</v>
      </c>
      <c r="B846" s="302">
        <v>1.5039319826340751</v>
      </c>
      <c r="C846" s="302">
        <v>6.7056918700329318</v>
      </c>
      <c r="D846" s="302">
        <f t="shared" si="310"/>
        <v>8.2096238526670078</v>
      </c>
      <c r="E846" s="303"/>
      <c r="F846" s="302">
        <v>1.4374630262631718</v>
      </c>
      <c r="G846" s="302">
        <v>5.2960171168943813</v>
      </c>
      <c r="H846" s="302">
        <f t="shared" si="311"/>
        <v>6.7334801431575535</v>
      </c>
      <c r="I846" s="303"/>
      <c r="J846" s="302">
        <v>1.9032303060508635</v>
      </c>
      <c r="K846" s="302">
        <v>4.9369990135895536</v>
      </c>
      <c r="L846" s="302">
        <f t="shared" si="312"/>
        <v>6.8402293196404171</v>
      </c>
      <c r="M846" s="236"/>
      <c r="N846" s="236"/>
    </row>
    <row r="847" spans="1:14" x14ac:dyDescent="0.3">
      <c r="A847" s="237" t="str">
        <f>name!E$9</f>
        <v>Caring, leisure and other service occupations</v>
      </c>
      <c r="B847" s="302">
        <v>1.8176963955052252</v>
      </c>
      <c r="C847" s="302">
        <v>1.4475574671636888</v>
      </c>
      <c r="D847" s="302">
        <f t="shared" si="310"/>
        <v>3.265253862668914</v>
      </c>
      <c r="E847" s="303"/>
      <c r="F847" s="302">
        <v>1.9299103797586248</v>
      </c>
      <c r="G847" s="302">
        <v>1.4937287780574917</v>
      </c>
      <c r="H847" s="302">
        <f t="shared" si="311"/>
        <v>3.4236391578161163</v>
      </c>
      <c r="I847" s="303"/>
      <c r="J847" s="302">
        <v>2.4589151712831265</v>
      </c>
      <c r="K847" s="302">
        <v>2.0267749818013301</v>
      </c>
      <c r="L847" s="302">
        <f t="shared" si="312"/>
        <v>4.4856901530844571</v>
      </c>
      <c r="M847" s="236"/>
      <c r="N847" s="236"/>
    </row>
    <row r="848" spans="1:14" x14ac:dyDescent="0.3">
      <c r="A848" s="237" t="str">
        <f>name!E$10</f>
        <v>Sales and customer service occupations</v>
      </c>
      <c r="B848" s="302">
        <v>15.135799645640615</v>
      </c>
      <c r="C848" s="302">
        <v>10.342745267700462</v>
      </c>
      <c r="D848" s="302">
        <f t="shared" si="310"/>
        <v>25.478544913341075</v>
      </c>
      <c r="E848" s="303"/>
      <c r="F848" s="302">
        <v>14.418982308114391</v>
      </c>
      <c r="G848" s="302">
        <v>10.387277363144065</v>
      </c>
      <c r="H848" s="302">
        <f t="shared" si="311"/>
        <v>24.806259671258456</v>
      </c>
      <c r="I848" s="303"/>
      <c r="J848" s="302">
        <v>14.788021740082211</v>
      </c>
      <c r="K848" s="302">
        <v>12.977769556368195</v>
      </c>
      <c r="L848" s="302">
        <f t="shared" si="312"/>
        <v>27.765791296450406</v>
      </c>
      <c r="M848" s="236"/>
      <c r="N848" s="236"/>
    </row>
    <row r="849" spans="1:14" x14ac:dyDescent="0.3">
      <c r="A849" s="237" t="str">
        <f>name!E$11</f>
        <v>Process, plant and machine operatives</v>
      </c>
      <c r="B849" s="302">
        <v>1.0376525320686727</v>
      </c>
      <c r="C849" s="302">
        <v>3.3010794010343067</v>
      </c>
      <c r="D849" s="302">
        <f t="shared" si="310"/>
        <v>4.338731933102979</v>
      </c>
      <c r="E849" s="303"/>
      <c r="F849" s="302">
        <v>0.82621999542349545</v>
      </c>
      <c r="G849" s="302">
        <v>3.6815224344986865</v>
      </c>
      <c r="H849" s="302">
        <f t="shared" si="311"/>
        <v>4.5077424299221818</v>
      </c>
      <c r="I849" s="303"/>
      <c r="J849" s="302">
        <v>1.4669798799225484</v>
      </c>
      <c r="K849" s="302">
        <v>5.0107192224511632</v>
      </c>
      <c r="L849" s="302">
        <f t="shared" si="312"/>
        <v>6.4776991023737116</v>
      </c>
      <c r="M849" s="236"/>
      <c r="N849" s="236"/>
    </row>
    <row r="850" spans="1:14" x14ac:dyDescent="0.3">
      <c r="A850" s="237" t="str">
        <f>name!E$12</f>
        <v>Elementary occupations</v>
      </c>
      <c r="B850" s="302">
        <v>3.9609939956323634</v>
      </c>
      <c r="C850" s="302">
        <v>4.1918905528261243</v>
      </c>
      <c r="D850" s="302">
        <f t="shared" si="310"/>
        <v>8.1528845484584878</v>
      </c>
      <c r="E850" s="303"/>
      <c r="F850" s="302">
        <v>2.8882347261470773</v>
      </c>
      <c r="G850" s="302">
        <v>3.4399213268639111</v>
      </c>
      <c r="H850" s="302">
        <f t="shared" si="311"/>
        <v>6.3281560530109884</v>
      </c>
      <c r="I850" s="303"/>
      <c r="J850" s="302">
        <v>2.8401528225574704</v>
      </c>
      <c r="K850" s="302">
        <v>3.2980222347430157</v>
      </c>
      <c r="L850" s="302">
        <f t="shared" si="312"/>
        <v>6.1381750573004865</v>
      </c>
      <c r="M850" s="236"/>
      <c r="N850" s="236"/>
    </row>
    <row r="851" spans="1:14" x14ac:dyDescent="0.3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  <c r="N851" s="236"/>
    </row>
    <row r="852" spans="1:14" x14ac:dyDescent="0.3">
      <c r="A852" s="244" t="s">
        <v>32</v>
      </c>
      <c r="B852" s="311">
        <f>SUM(B842:B850)</f>
        <v>215.1599999984908</v>
      </c>
      <c r="C852" s="311">
        <f t="shared" ref="C852:D852" si="313">SUM(C842:C850)</f>
        <v>246.58999999687444</v>
      </c>
      <c r="D852" s="311">
        <f t="shared" si="313"/>
        <v>461.74999999536521</v>
      </c>
      <c r="E852" s="311"/>
      <c r="F852" s="311">
        <f t="shared" ref="F852:H852" si="314">SUM(F842:F850)</f>
        <v>232.63799999833188</v>
      </c>
      <c r="G852" s="311">
        <f t="shared" si="314"/>
        <v>274.5520000005651</v>
      </c>
      <c r="H852" s="311">
        <f t="shared" si="314"/>
        <v>507.18999999889712</v>
      </c>
      <c r="I852" s="311"/>
      <c r="J852" s="311">
        <f t="shared" ref="J852:L852" si="315">SUM(J842:J850)</f>
        <v>227.30800000068169</v>
      </c>
      <c r="K852" s="311">
        <f t="shared" si="315"/>
        <v>276.19800000166157</v>
      </c>
      <c r="L852" s="311">
        <f t="shared" si="315"/>
        <v>503.50600000234334</v>
      </c>
      <c r="M852" s="236"/>
      <c r="N852" s="236"/>
    </row>
    <row r="853" spans="1:14" x14ac:dyDescent="0.3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  <c r="N853" s="236"/>
    </row>
    <row r="854" spans="1:14" x14ac:dyDescent="0.3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56" t="s">
        <v>35</v>
      </c>
      <c r="M854" s="236"/>
      <c r="N854" s="236"/>
    </row>
    <row r="855" spans="1:14" x14ac:dyDescent="0.3">
      <c r="A855" s="242"/>
      <c r="B855" s="250"/>
      <c r="C855" s="250"/>
      <c r="D855" s="250"/>
      <c r="E855" s="250"/>
      <c r="F855" s="250"/>
      <c r="G855" s="250"/>
      <c r="H855" s="250"/>
      <c r="I855" s="250"/>
      <c r="J855" s="250"/>
      <c r="K855" s="250"/>
      <c r="L855" s="236"/>
      <c r="M855" s="236"/>
      <c r="N855" s="236"/>
    </row>
    <row r="856" spans="1:14" x14ac:dyDescent="0.3">
      <c r="A856" s="241" t="str">
        <f>name!A53</f>
        <v>Real estate</v>
      </c>
      <c r="B856" s="373">
        <f>B$6</f>
        <v>2015</v>
      </c>
      <c r="C856" s="373"/>
      <c r="D856" s="373"/>
      <c r="E856" s="253"/>
      <c r="F856" s="373">
        <f>F$6</f>
        <v>2020</v>
      </c>
      <c r="G856" s="373"/>
      <c r="H856" s="373"/>
      <c r="I856" s="253"/>
      <c r="J856" s="373">
        <f>J$6</f>
        <v>2035</v>
      </c>
      <c r="K856" s="373"/>
      <c r="L856" s="373"/>
      <c r="M856" s="236"/>
      <c r="N856" s="236"/>
    </row>
    <row r="857" spans="1:14" x14ac:dyDescent="0.3">
      <c r="A857" s="254"/>
      <c r="B857" s="255" t="s">
        <v>352</v>
      </c>
      <c r="C857" s="255" t="s">
        <v>353</v>
      </c>
      <c r="D857" s="255" t="s">
        <v>32</v>
      </c>
      <c r="E857" s="255"/>
      <c r="F857" s="255" t="s">
        <v>352</v>
      </c>
      <c r="G857" s="255" t="s">
        <v>353</v>
      </c>
      <c r="H857" s="255" t="s">
        <v>32</v>
      </c>
      <c r="I857" s="255"/>
      <c r="J857" s="255" t="s">
        <v>352</v>
      </c>
      <c r="K857" s="255" t="s">
        <v>353</v>
      </c>
      <c r="L857" s="255" t="s">
        <v>32</v>
      </c>
      <c r="M857" s="236"/>
      <c r="N857" s="236"/>
    </row>
    <row r="858" spans="1:14" x14ac:dyDescent="0.3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  <c r="N858" s="236"/>
    </row>
    <row r="859" spans="1:14" x14ac:dyDescent="0.3">
      <c r="A859" s="237" t="str">
        <f>name!E$4</f>
        <v>Managers, directors and senior officials</v>
      </c>
      <c r="B859" s="302">
        <v>44.07811655427281</v>
      </c>
      <c r="C859" s="302">
        <v>67.263585572590301</v>
      </c>
      <c r="D859" s="302">
        <f>SUM(B859:C859)</f>
        <v>111.34170212686311</v>
      </c>
      <c r="E859" s="303"/>
      <c r="F859" s="302">
        <v>54.126706145940098</v>
      </c>
      <c r="G859" s="302">
        <v>84.723258642939754</v>
      </c>
      <c r="H859" s="302">
        <f>SUM(F859:G859)</f>
        <v>138.84996478887984</v>
      </c>
      <c r="I859" s="303"/>
      <c r="J859" s="302">
        <v>63.132202017775299</v>
      </c>
      <c r="K859" s="302">
        <v>95.815149161635048</v>
      </c>
      <c r="L859" s="302">
        <f>SUM(J859:K859)</f>
        <v>158.94735117941036</v>
      </c>
      <c r="M859" s="236"/>
      <c r="N859" s="236"/>
    </row>
    <row r="860" spans="1:14" x14ac:dyDescent="0.3">
      <c r="A860" s="237" t="str">
        <f>name!E$5</f>
        <v>Professional occupations</v>
      </c>
      <c r="B860" s="302">
        <v>44.806047736329553</v>
      </c>
      <c r="C860" s="302">
        <v>49.86654967356651</v>
      </c>
      <c r="D860" s="302">
        <f t="shared" ref="D860:D867" si="316">SUM(B860:C860)</f>
        <v>94.672597409896071</v>
      </c>
      <c r="E860" s="303"/>
      <c r="F860" s="302">
        <v>59.095861989877918</v>
      </c>
      <c r="G860" s="302">
        <v>72.928165145002154</v>
      </c>
      <c r="H860" s="302">
        <f t="shared" ref="H860:H867" si="317">SUM(F860:G860)</f>
        <v>132.02402713488007</v>
      </c>
      <c r="I860" s="303"/>
      <c r="J860" s="302">
        <v>68.77701471226041</v>
      </c>
      <c r="K860" s="302">
        <v>80.928064997047528</v>
      </c>
      <c r="L860" s="302">
        <f t="shared" ref="L860:L867" si="318">SUM(J860:K860)</f>
        <v>149.70507970930794</v>
      </c>
      <c r="M860" s="236"/>
      <c r="N860" s="236"/>
    </row>
    <row r="861" spans="1:14" x14ac:dyDescent="0.3">
      <c r="A861" s="237" t="str">
        <f>name!E$6</f>
        <v>Associate professional occupations</v>
      </c>
      <c r="B861" s="302">
        <v>44.897956013858533</v>
      </c>
      <c r="C861" s="302">
        <v>42.842396666945021</v>
      </c>
      <c r="D861" s="302">
        <f t="shared" si="316"/>
        <v>87.740352680803554</v>
      </c>
      <c r="E861" s="303"/>
      <c r="F861" s="302">
        <v>54.87207234129616</v>
      </c>
      <c r="G861" s="302">
        <v>55.336090177936768</v>
      </c>
      <c r="H861" s="302">
        <f t="shared" si="317"/>
        <v>110.20816251923293</v>
      </c>
      <c r="I861" s="303"/>
      <c r="J861" s="302">
        <v>61.353046574594352</v>
      </c>
      <c r="K861" s="302">
        <v>49.218767107076111</v>
      </c>
      <c r="L861" s="302">
        <f t="shared" si="318"/>
        <v>110.57181368167046</v>
      </c>
      <c r="M861" s="236"/>
      <c r="N861" s="236"/>
    </row>
    <row r="862" spans="1:14" x14ac:dyDescent="0.3">
      <c r="A862" s="237" t="str">
        <f>name!E$7</f>
        <v>Administrative and secretarial occupations</v>
      </c>
      <c r="B862" s="302">
        <v>93.903842016491566</v>
      </c>
      <c r="C862" s="302">
        <v>16.631424654055341</v>
      </c>
      <c r="D862" s="302">
        <f t="shared" si="316"/>
        <v>110.5352666705469</v>
      </c>
      <c r="E862" s="303"/>
      <c r="F862" s="302">
        <v>90.650458054404297</v>
      </c>
      <c r="G862" s="302">
        <v>19.913720453166487</v>
      </c>
      <c r="H862" s="302">
        <f t="shared" si="317"/>
        <v>110.56417850757079</v>
      </c>
      <c r="I862" s="303"/>
      <c r="J862" s="302">
        <v>71.484421545099792</v>
      </c>
      <c r="K862" s="302">
        <v>19.828531429230019</v>
      </c>
      <c r="L862" s="302">
        <f t="shared" si="318"/>
        <v>91.312952974329818</v>
      </c>
      <c r="M862" s="236"/>
      <c r="N862" s="236"/>
    </row>
    <row r="863" spans="1:14" x14ac:dyDescent="0.3">
      <c r="A863" s="237" t="str">
        <f>name!E$8</f>
        <v>Skilled trades occupations</v>
      </c>
      <c r="B863" s="302">
        <v>8.3582530653549671</v>
      </c>
      <c r="C863" s="302">
        <v>35.157918355303423</v>
      </c>
      <c r="D863" s="302">
        <f t="shared" si="316"/>
        <v>43.516171420658388</v>
      </c>
      <c r="E863" s="303"/>
      <c r="F863" s="302">
        <v>9.976362886421331</v>
      </c>
      <c r="G863" s="302">
        <v>29.03880298627811</v>
      </c>
      <c r="H863" s="302">
        <f t="shared" si="317"/>
        <v>39.015165872699441</v>
      </c>
      <c r="I863" s="303"/>
      <c r="J863" s="302">
        <v>18.01447845533125</v>
      </c>
      <c r="K863" s="302">
        <v>30.049894856638534</v>
      </c>
      <c r="L863" s="302">
        <f t="shared" si="318"/>
        <v>48.064373311969788</v>
      </c>
      <c r="M863" s="236"/>
      <c r="N863" s="236"/>
    </row>
    <row r="864" spans="1:14" x14ac:dyDescent="0.3">
      <c r="A864" s="237" t="str">
        <f>name!E$9</f>
        <v>Caring, leisure and other service occupations</v>
      </c>
      <c r="B864" s="302">
        <v>10.928551640905978</v>
      </c>
      <c r="C864" s="302">
        <v>7.5363159179058963</v>
      </c>
      <c r="D864" s="302">
        <f t="shared" si="316"/>
        <v>18.464867558811875</v>
      </c>
      <c r="E864" s="303"/>
      <c r="F864" s="302">
        <v>10.73612111408193</v>
      </c>
      <c r="G864" s="302">
        <v>8.3409789222335693</v>
      </c>
      <c r="H864" s="302">
        <f t="shared" si="317"/>
        <v>19.0771000363155</v>
      </c>
      <c r="I864" s="303"/>
      <c r="J864" s="302">
        <v>13.006316501963909</v>
      </c>
      <c r="K864" s="302">
        <v>9.2198410952262808</v>
      </c>
      <c r="L864" s="302">
        <f t="shared" si="318"/>
        <v>22.226157597190188</v>
      </c>
      <c r="M864" s="236"/>
      <c r="N864" s="236"/>
    </row>
    <row r="865" spans="1:14" x14ac:dyDescent="0.3">
      <c r="A865" s="237" t="str">
        <f>name!E$10</f>
        <v>Sales and customer service occupations</v>
      </c>
      <c r="B865" s="302">
        <v>45.956689312288937</v>
      </c>
      <c r="C865" s="302">
        <v>21.456986694241493</v>
      </c>
      <c r="D865" s="302">
        <f t="shared" si="316"/>
        <v>67.413676006530437</v>
      </c>
      <c r="E865" s="303"/>
      <c r="F865" s="302">
        <v>41.221534159956455</v>
      </c>
      <c r="G865" s="302">
        <v>22.486174342570507</v>
      </c>
      <c r="H865" s="302">
        <f t="shared" si="317"/>
        <v>63.707708502526962</v>
      </c>
      <c r="I865" s="303"/>
      <c r="J865" s="302">
        <v>42.266963130534073</v>
      </c>
      <c r="K865" s="302">
        <v>21.921515487350682</v>
      </c>
      <c r="L865" s="302">
        <f t="shared" si="318"/>
        <v>64.188478617884755</v>
      </c>
      <c r="M865" s="236"/>
      <c r="N865" s="236"/>
    </row>
    <row r="866" spans="1:14" x14ac:dyDescent="0.3">
      <c r="A866" s="237" t="str">
        <f>name!E$11</f>
        <v>Process, plant and machine operatives</v>
      </c>
      <c r="B866" s="302">
        <v>0.95937976680126513</v>
      </c>
      <c r="C866" s="302">
        <v>7.4911754010692206</v>
      </c>
      <c r="D866" s="302">
        <f t="shared" si="316"/>
        <v>8.4505551678704851</v>
      </c>
      <c r="E866" s="303"/>
      <c r="F866" s="302">
        <v>0.85370683993515273</v>
      </c>
      <c r="G866" s="302">
        <v>7.1295006595975829</v>
      </c>
      <c r="H866" s="302">
        <f t="shared" si="317"/>
        <v>7.9832074995327353</v>
      </c>
      <c r="I866" s="303"/>
      <c r="J866" s="302">
        <v>1.7049261037084613</v>
      </c>
      <c r="K866" s="302">
        <v>6.5527921933044748</v>
      </c>
      <c r="L866" s="302">
        <f t="shared" si="318"/>
        <v>8.2577182970129357</v>
      </c>
      <c r="M866" s="236"/>
      <c r="N866" s="236"/>
    </row>
    <row r="867" spans="1:14" x14ac:dyDescent="0.3">
      <c r="A867" s="237" t="str">
        <f>name!E$12</f>
        <v>Elementary occupations</v>
      </c>
      <c r="B867" s="302">
        <v>15.055163893957609</v>
      </c>
      <c r="C867" s="302">
        <v>10.773647062368802</v>
      </c>
      <c r="D867" s="302">
        <f t="shared" si="316"/>
        <v>25.828810956326411</v>
      </c>
      <c r="E867" s="303"/>
      <c r="F867" s="302">
        <v>12.000176466654167</v>
      </c>
      <c r="G867" s="302">
        <v>9.5693086697147667</v>
      </c>
      <c r="H867" s="302">
        <f t="shared" si="317"/>
        <v>21.569485136368932</v>
      </c>
      <c r="I867" s="303"/>
      <c r="J867" s="302">
        <v>10.592630958287515</v>
      </c>
      <c r="K867" s="302">
        <v>8.3474436728617256</v>
      </c>
      <c r="L867" s="302">
        <f t="shared" si="318"/>
        <v>18.940074631149241</v>
      </c>
      <c r="M867" s="236"/>
      <c r="N867" s="236"/>
    </row>
    <row r="868" spans="1:14" x14ac:dyDescent="0.3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  <c r="N868" s="236"/>
    </row>
    <row r="869" spans="1:14" x14ac:dyDescent="0.3">
      <c r="A869" s="244" t="s">
        <v>32</v>
      </c>
      <c r="B869" s="311">
        <f>SUM(B859:B867)</f>
        <v>308.94400000026121</v>
      </c>
      <c r="C869" s="311">
        <f t="shared" ref="C869:D869" si="319">SUM(C859:C867)</f>
        <v>259.01999999804599</v>
      </c>
      <c r="D869" s="311">
        <f t="shared" si="319"/>
        <v>567.96399999830714</v>
      </c>
      <c r="E869" s="311"/>
      <c r="F869" s="311">
        <f t="shared" ref="F869:H869" si="320">SUM(F859:F867)</f>
        <v>333.5329999985675</v>
      </c>
      <c r="G869" s="311">
        <f t="shared" si="320"/>
        <v>309.46599999943965</v>
      </c>
      <c r="H869" s="311">
        <f t="shared" si="320"/>
        <v>642.99899999800721</v>
      </c>
      <c r="I869" s="311"/>
      <c r="J869" s="311">
        <f t="shared" ref="J869:L869" si="321">SUM(J859:J867)</f>
        <v>350.33199999955502</v>
      </c>
      <c r="K869" s="311">
        <f t="shared" si="321"/>
        <v>321.88200000037045</v>
      </c>
      <c r="L869" s="311">
        <f t="shared" si="321"/>
        <v>672.21399999992559</v>
      </c>
      <c r="M869" s="236"/>
      <c r="N869" s="236"/>
    </row>
    <row r="870" spans="1:14" x14ac:dyDescent="0.3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  <c r="N870" s="236"/>
    </row>
    <row r="871" spans="1:14" x14ac:dyDescent="0.3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56" t="s">
        <v>35</v>
      </c>
      <c r="M871" s="236"/>
      <c r="N871" s="236"/>
    </row>
    <row r="872" spans="1:14" x14ac:dyDescent="0.3">
      <c r="A872" s="242"/>
      <c r="B872" s="250"/>
      <c r="C872" s="250"/>
      <c r="D872" s="250"/>
      <c r="E872" s="250"/>
      <c r="F872" s="250"/>
      <c r="G872" s="250"/>
      <c r="H872" s="250"/>
      <c r="I872" s="250"/>
      <c r="J872" s="250"/>
      <c r="K872" s="250"/>
      <c r="L872" s="236"/>
      <c r="M872" s="236"/>
      <c r="N872" s="236"/>
    </row>
    <row r="873" spans="1:14" x14ac:dyDescent="0.3">
      <c r="A873" s="241" t="str">
        <f>name!A54</f>
        <v>Legal and accounting</v>
      </c>
      <c r="B873" s="373">
        <f>B$6</f>
        <v>2015</v>
      </c>
      <c r="C873" s="373"/>
      <c r="D873" s="373"/>
      <c r="E873" s="253"/>
      <c r="F873" s="373">
        <f>F$6</f>
        <v>2020</v>
      </c>
      <c r="G873" s="373"/>
      <c r="H873" s="373"/>
      <c r="I873" s="253"/>
      <c r="J873" s="373">
        <f>J$6</f>
        <v>2035</v>
      </c>
      <c r="K873" s="373"/>
      <c r="L873" s="373"/>
      <c r="M873" s="236"/>
      <c r="N873" s="236"/>
    </row>
    <row r="874" spans="1:14" x14ac:dyDescent="0.3">
      <c r="A874" s="254"/>
      <c r="B874" s="255" t="s">
        <v>352</v>
      </c>
      <c r="C874" s="255" t="s">
        <v>353</v>
      </c>
      <c r="D874" s="255" t="s">
        <v>32</v>
      </c>
      <c r="E874" s="255"/>
      <c r="F874" s="255" t="s">
        <v>352</v>
      </c>
      <c r="G874" s="255" t="s">
        <v>353</v>
      </c>
      <c r="H874" s="255" t="s">
        <v>32</v>
      </c>
      <c r="I874" s="255"/>
      <c r="J874" s="255" t="s">
        <v>352</v>
      </c>
      <c r="K874" s="255" t="s">
        <v>353</v>
      </c>
      <c r="L874" s="255" t="s">
        <v>32</v>
      </c>
      <c r="M874" s="236"/>
      <c r="N874" s="236"/>
    </row>
    <row r="875" spans="1:14" x14ac:dyDescent="0.3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  <c r="N875" s="236"/>
    </row>
    <row r="876" spans="1:14" x14ac:dyDescent="0.3">
      <c r="A876" s="237" t="str">
        <f>name!E$4</f>
        <v>Managers, directors and senior officials</v>
      </c>
      <c r="B876" s="302">
        <v>40.11690112299712</v>
      </c>
      <c r="C876" s="302">
        <v>52.349532553918415</v>
      </c>
      <c r="D876" s="302">
        <f>SUM(B876:C876)</f>
        <v>92.466433676915528</v>
      </c>
      <c r="E876" s="303"/>
      <c r="F876" s="302">
        <v>51.730719354380433</v>
      </c>
      <c r="G876" s="302">
        <v>54.177754587843317</v>
      </c>
      <c r="H876" s="302">
        <f>SUM(F876:G876)</f>
        <v>105.90847394222375</v>
      </c>
      <c r="I876" s="303"/>
      <c r="J876" s="302">
        <v>61.51360932869725</v>
      </c>
      <c r="K876" s="302">
        <v>62.03485345269123</v>
      </c>
      <c r="L876" s="302">
        <f>SUM(J876:K876)</f>
        <v>123.54846278138848</v>
      </c>
      <c r="M876" s="236"/>
      <c r="N876" s="236"/>
    </row>
    <row r="877" spans="1:14" x14ac:dyDescent="0.3">
      <c r="A877" s="237" t="str">
        <f>name!E$5</f>
        <v>Professional occupations</v>
      </c>
      <c r="B877" s="302">
        <v>112.11261545994847</v>
      </c>
      <c r="C877" s="302">
        <v>155.8640530860315</v>
      </c>
      <c r="D877" s="302">
        <f t="shared" ref="D877:D884" si="322">SUM(B877:C877)</f>
        <v>267.97666854597998</v>
      </c>
      <c r="E877" s="303"/>
      <c r="F877" s="302">
        <v>154.97173071902063</v>
      </c>
      <c r="G877" s="302">
        <v>167.75994648188021</v>
      </c>
      <c r="H877" s="302">
        <f t="shared" ref="H877:H884" si="323">SUM(F877:G877)</f>
        <v>322.73167720090083</v>
      </c>
      <c r="I877" s="303"/>
      <c r="J877" s="302">
        <v>197.40208010166626</v>
      </c>
      <c r="K877" s="302">
        <v>197.84286306184978</v>
      </c>
      <c r="L877" s="302">
        <f t="shared" ref="L877:L884" si="324">SUM(J877:K877)</f>
        <v>395.24494316351604</v>
      </c>
      <c r="M877" s="236"/>
      <c r="N877" s="236"/>
    </row>
    <row r="878" spans="1:14" x14ac:dyDescent="0.3">
      <c r="A878" s="237" t="str">
        <f>name!E$6</f>
        <v>Associate professional occupations</v>
      </c>
      <c r="B878" s="302">
        <v>76.422924721812052</v>
      </c>
      <c r="C878" s="302">
        <v>66.447261558760687</v>
      </c>
      <c r="D878" s="302">
        <f t="shared" si="322"/>
        <v>142.87018628057274</v>
      </c>
      <c r="E878" s="303"/>
      <c r="F878" s="302">
        <v>88.563385578454657</v>
      </c>
      <c r="G878" s="302">
        <v>69.655166019306407</v>
      </c>
      <c r="H878" s="302">
        <f t="shared" si="323"/>
        <v>158.21855159776106</v>
      </c>
      <c r="I878" s="303"/>
      <c r="J878" s="302">
        <v>101.83941941668795</v>
      </c>
      <c r="K878" s="302">
        <v>70.310059750267726</v>
      </c>
      <c r="L878" s="302">
        <f t="shared" si="324"/>
        <v>172.14947916695567</v>
      </c>
      <c r="M878" s="236"/>
      <c r="N878" s="236"/>
    </row>
    <row r="879" spans="1:14" x14ac:dyDescent="0.3">
      <c r="A879" s="237" t="str">
        <f>name!E$7</f>
        <v>Administrative and secretarial occupations</v>
      </c>
      <c r="B879" s="302">
        <v>134.8173940765345</v>
      </c>
      <c r="C879" s="302">
        <v>27.97133414168351</v>
      </c>
      <c r="D879" s="302">
        <f t="shared" si="322"/>
        <v>162.78872821821801</v>
      </c>
      <c r="E879" s="303"/>
      <c r="F879" s="302">
        <v>137.71130752290117</v>
      </c>
      <c r="G879" s="302">
        <v>30.510926644509723</v>
      </c>
      <c r="H879" s="302">
        <f t="shared" si="323"/>
        <v>168.22223416741087</v>
      </c>
      <c r="I879" s="303"/>
      <c r="J879" s="302">
        <v>105.46228447166679</v>
      </c>
      <c r="K879" s="302">
        <v>35.247796991862138</v>
      </c>
      <c r="L879" s="302">
        <f t="shared" si="324"/>
        <v>140.71008146352892</v>
      </c>
      <c r="M879" s="236"/>
      <c r="N879" s="236"/>
    </row>
    <row r="880" spans="1:14" x14ac:dyDescent="0.3">
      <c r="A880" s="237" t="str">
        <f>name!E$8</f>
        <v>Skilled trades occupations</v>
      </c>
      <c r="B880" s="302">
        <v>3.0591570433729802</v>
      </c>
      <c r="C880" s="302">
        <v>15.842104530272286</v>
      </c>
      <c r="D880" s="302">
        <f t="shared" si="322"/>
        <v>18.901261573645264</v>
      </c>
      <c r="E880" s="303"/>
      <c r="F880" s="302">
        <v>3.4854037588414277</v>
      </c>
      <c r="G880" s="302">
        <v>11.053175086412105</v>
      </c>
      <c r="H880" s="302">
        <f t="shared" si="323"/>
        <v>14.538578845253532</v>
      </c>
      <c r="I880" s="303"/>
      <c r="J880" s="302">
        <v>7.1837764022884993</v>
      </c>
      <c r="K880" s="302">
        <v>10.321196137774029</v>
      </c>
      <c r="L880" s="302">
        <f t="shared" si="324"/>
        <v>17.504972540062528</v>
      </c>
      <c r="M880" s="236"/>
      <c r="N880" s="236"/>
    </row>
    <row r="881" spans="1:14" x14ac:dyDescent="0.3">
      <c r="A881" s="237" t="str">
        <f>name!E$9</f>
        <v>Caring, leisure and other service occupations</v>
      </c>
      <c r="B881" s="302">
        <v>1.9732044124031156</v>
      </c>
      <c r="C881" s="302">
        <v>1.6077925636779602</v>
      </c>
      <c r="D881" s="302">
        <f t="shared" si="322"/>
        <v>3.5809969760810758</v>
      </c>
      <c r="E881" s="303"/>
      <c r="F881" s="302">
        <v>1.8934469672652847</v>
      </c>
      <c r="G881" s="302">
        <v>1.626730468790835</v>
      </c>
      <c r="H881" s="302">
        <f t="shared" si="323"/>
        <v>3.5201774360561195</v>
      </c>
      <c r="I881" s="303"/>
      <c r="J881" s="302">
        <v>2.2616888648805471</v>
      </c>
      <c r="K881" s="302">
        <v>2.7446604932326832</v>
      </c>
      <c r="L881" s="302">
        <f t="shared" si="324"/>
        <v>5.0063493581132299</v>
      </c>
      <c r="M881" s="236"/>
      <c r="N881" s="236"/>
    </row>
    <row r="882" spans="1:14" x14ac:dyDescent="0.3">
      <c r="A882" s="237" t="str">
        <f>name!E$10</f>
        <v>Sales and customer service occupations</v>
      </c>
      <c r="B882" s="302">
        <v>22.843490066213992</v>
      </c>
      <c r="C882" s="302">
        <v>8.317348916507429</v>
      </c>
      <c r="D882" s="302">
        <f t="shared" si="322"/>
        <v>31.160838982721422</v>
      </c>
      <c r="E882" s="303"/>
      <c r="F882" s="302">
        <v>21.875841716207564</v>
      </c>
      <c r="G882" s="302">
        <v>7.9421069822186876</v>
      </c>
      <c r="H882" s="302">
        <f t="shared" si="323"/>
        <v>29.81794869842625</v>
      </c>
      <c r="I882" s="303"/>
      <c r="J882" s="302">
        <v>22.510188557439928</v>
      </c>
      <c r="K882" s="302">
        <v>10.764871230184948</v>
      </c>
      <c r="L882" s="302">
        <f t="shared" si="324"/>
        <v>33.275059787624876</v>
      </c>
      <c r="M882" s="236"/>
      <c r="N882" s="236"/>
    </row>
    <row r="883" spans="1:14" x14ac:dyDescent="0.3">
      <c r="A883" s="237" t="str">
        <f>name!E$11</f>
        <v>Process, plant and machine operatives</v>
      </c>
      <c r="B883" s="302">
        <v>1.84807138128811</v>
      </c>
      <c r="C883" s="302">
        <v>5.8391774927038602</v>
      </c>
      <c r="D883" s="302">
        <f t="shared" si="322"/>
        <v>7.6872488739919707</v>
      </c>
      <c r="E883" s="303"/>
      <c r="F883" s="302">
        <v>1.697808894433541</v>
      </c>
      <c r="G883" s="302">
        <v>4.743757075945676</v>
      </c>
      <c r="H883" s="302">
        <f t="shared" si="323"/>
        <v>6.4415659703792167</v>
      </c>
      <c r="I883" s="303"/>
      <c r="J883" s="302">
        <v>2.8676130089772203</v>
      </c>
      <c r="K883" s="302">
        <v>5.4425903345309443</v>
      </c>
      <c r="L883" s="302">
        <f t="shared" si="324"/>
        <v>8.3102033435081637</v>
      </c>
      <c r="M883" s="236"/>
      <c r="N883" s="236"/>
    </row>
    <row r="884" spans="1:14" x14ac:dyDescent="0.3">
      <c r="A884" s="237" t="str">
        <f>name!E$12</f>
        <v>Elementary occupations</v>
      </c>
      <c r="B884" s="302">
        <v>8.9542417104263645</v>
      </c>
      <c r="C884" s="302">
        <v>4.5753951514710423</v>
      </c>
      <c r="D884" s="302">
        <f t="shared" si="322"/>
        <v>13.529636861897407</v>
      </c>
      <c r="E884" s="303"/>
      <c r="F884" s="302">
        <v>7.8713554840992348</v>
      </c>
      <c r="G884" s="302">
        <v>3.7264366537784599</v>
      </c>
      <c r="H884" s="302">
        <f t="shared" si="323"/>
        <v>11.597792137877695</v>
      </c>
      <c r="I884" s="303"/>
      <c r="J884" s="302">
        <v>7.6283398510287137</v>
      </c>
      <c r="K884" s="302">
        <v>3.6231085496913589</v>
      </c>
      <c r="L884" s="302">
        <f t="shared" si="324"/>
        <v>11.251448400720072</v>
      </c>
      <c r="M884" s="236"/>
      <c r="N884" s="236"/>
    </row>
    <row r="885" spans="1:14" x14ac:dyDescent="0.3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  <c r="N885" s="236"/>
    </row>
    <row r="886" spans="1:14" x14ac:dyDescent="0.3">
      <c r="A886" s="244" t="s">
        <v>32</v>
      </c>
      <c r="B886" s="311">
        <f>SUM(B876:B884)</f>
        <v>402.14799999499661</v>
      </c>
      <c r="C886" s="311">
        <f t="shared" ref="C886:D886" si="325">SUM(C876:C884)</f>
        <v>338.81399999502673</v>
      </c>
      <c r="D886" s="311">
        <f t="shared" si="325"/>
        <v>740.9619999900234</v>
      </c>
      <c r="E886" s="311"/>
      <c r="F886" s="311">
        <f t="shared" ref="F886:H886" si="326">SUM(F876:F884)</f>
        <v>469.80099999560389</v>
      </c>
      <c r="G886" s="311">
        <f t="shared" si="326"/>
        <v>351.19600000068539</v>
      </c>
      <c r="H886" s="311">
        <f t="shared" si="326"/>
        <v>820.99699999628922</v>
      </c>
      <c r="I886" s="311"/>
      <c r="J886" s="311">
        <f t="shared" ref="J886:L886" si="327">SUM(J876:J884)</f>
        <v>508.66900000333322</v>
      </c>
      <c r="K886" s="311">
        <f t="shared" si="327"/>
        <v>398.3320000020849</v>
      </c>
      <c r="L886" s="311">
        <f t="shared" si="327"/>
        <v>907.00100000541795</v>
      </c>
      <c r="M886" s="236"/>
      <c r="N886" s="236"/>
    </row>
    <row r="887" spans="1:14" x14ac:dyDescent="0.3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  <c r="N887" s="236"/>
    </row>
    <row r="888" spans="1:14" x14ac:dyDescent="0.3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56" t="s">
        <v>35</v>
      </c>
      <c r="M888" s="236"/>
      <c r="N888" s="236"/>
    </row>
    <row r="889" spans="1:14" x14ac:dyDescent="0.3">
      <c r="A889" s="242"/>
      <c r="B889" s="250"/>
      <c r="C889" s="250"/>
      <c r="D889" s="250"/>
      <c r="E889" s="250"/>
      <c r="F889" s="250"/>
      <c r="G889" s="250"/>
      <c r="H889" s="250"/>
      <c r="I889" s="250"/>
      <c r="J889" s="250"/>
      <c r="K889" s="250"/>
      <c r="L889" s="236"/>
      <c r="M889" s="236"/>
      <c r="N889" s="236"/>
    </row>
    <row r="890" spans="1:14" x14ac:dyDescent="0.3">
      <c r="A890" s="241" t="str">
        <f>name!A55</f>
        <v>Head offices, etc</v>
      </c>
      <c r="B890" s="373">
        <f>B$6</f>
        <v>2015</v>
      </c>
      <c r="C890" s="373"/>
      <c r="D890" s="373"/>
      <c r="E890" s="253"/>
      <c r="F890" s="373">
        <f>F$6</f>
        <v>2020</v>
      </c>
      <c r="G890" s="373"/>
      <c r="H890" s="373"/>
      <c r="I890" s="253"/>
      <c r="J890" s="373">
        <f>J$6</f>
        <v>2035</v>
      </c>
      <c r="K890" s="373"/>
      <c r="L890" s="373"/>
      <c r="M890" s="236"/>
      <c r="N890" s="236"/>
    </row>
    <row r="891" spans="1:14" x14ac:dyDescent="0.3">
      <c r="A891" s="254"/>
      <c r="B891" s="255" t="s">
        <v>352</v>
      </c>
      <c r="C891" s="255" t="s">
        <v>353</v>
      </c>
      <c r="D891" s="255" t="s">
        <v>32</v>
      </c>
      <c r="E891" s="255"/>
      <c r="F891" s="255" t="s">
        <v>352</v>
      </c>
      <c r="G891" s="255" t="s">
        <v>353</v>
      </c>
      <c r="H891" s="255" t="s">
        <v>32</v>
      </c>
      <c r="I891" s="255"/>
      <c r="J891" s="255" t="s">
        <v>352</v>
      </c>
      <c r="K891" s="255" t="s">
        <v>353</v>
      </c>
      <c r="L891" s="255" t="s">
        <v>32</v>
      </c>
      <c r="M891" s="236"/>
      <c r="N891" s="236"/>
    </row>
    <row r="892" spans="1:14" x14ac:dyDescent="0.3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  <c r="N892" s="236"/>
    </row>
    <row r="893" spans="1:14" x14ac:dyDescent="0.3">
      <c r="A893" s="237" t="str">
        <f>name!E$4</f>
        <v>Managers, directors and senior officials</v>
      </c>
      <c r="B893" s="302">
        <v>39.357742501165646</v>
      </c>
      <c r="C893" s="302">
        <v>70.983154261603659</v>
      </c>
      <c r="D893" s="302">
        <f>SUM(B893:C893)</f>
        <v>110.3408967627693</v>
      </c>
      <c r="E893" s="303"/>
      <c r="F893" s="302">
        <v>45.925533180621464</v>
      </c>
      <c r="G893" s="302">
        <v>74.233245066965523</v>
      </c>
      <c r="H893" s="302">
        <f>SUM(F893:G893)</f>
        <v>120.15877824758698</v>
      </c>
      <c r="I893" s="303"/>
      <c r="J893" s="302">
        <v>55.891539320658204</v>
      </c>
      <c r="K893" s="302">
        <v>76.603607716183348</v>
      </c>
      <c r="L893" s="302">
        <f>SUM(J893:K893)</f>
        <v>132.49514703684156</v>
      </c>
      <c r="M893" s="236"/>
      <c r="N893" s="236"/>
    </row>
    <row r="894" spans="1:14" x14ac:dyDescent="0.3">
      <c r="A894" s="237" t="str">
        <f>name!E$5</f>
        <v>Professional occupations</v>
      </c>
      <c r="B894" s="302">
        <v>107.25795473806782</v>
      </c>
      <c r="C894" s="302">
        <v>198.33581852912263</v>
      </c>
      <c r="D894" s="302">
        <f t="shared" ref="D894:D901" si="328">SUM(B894:C894)</f>
        <v>305.59377326719044</v>
      </c>
      <c r="E894" s="303"/>
      <c r="F894" s="302">
        <v>132.1113675927059</v>
      </c>
      <c r="G894" s="302">
        <v>222.02329078438697</v>
      </c>
      <c r="H894" s="302">
        <f t="shared" ref="H894:H901" si="329">SUM(F894:G894)</f>
        <v>354.13465837709288</v>
      </c>
      <c r="I894" s="303"/>
      <c r="J894" s="302">
        <v>171.81427977162488</v>
      </c>
      <c r="K894" s="302">
        <v>246.21127967371146</v>
      </c>
      <c r="L894" s="302">
        <f t="shared" ref="L894:L901" si="330">SUM(J894:K894)</f>
        <v>418.02555944533634</v>
      </c>
      <c r="M894" s="236"/>
      <c r="N894" s="236"/>
    </row>
    <row r="895" spans="1:14" x14ac:dyDescent="0.3">
      <c r="A895" s="237" t="str">
        <f>name!E$6</f>
        <v>Associate professional occupations</v>
      </c>
      <c r="B895" s="302">
        <v>72.840827904617001</v>
      </c>
      <c r="C895" s="302">
        <v>88.542926677093604</v>
      </c>
      <c r="D895" s="302">
        <f t="shared" si="328"/>
        <v>161.3837545817106</v>
      </c>
      <c r="E895" s="303"/>
      <c r="F895" s="302">
        <v>75.203906693243397</v>
      </c>
      <c r="G895" s="302">
        <v>94.818296155262686</v>
      </c>
      <c r="H895" s="302">
        <f t="shared" si="329"/>
        <v>170.02220284850608</v>
      </c>
      <c r="I895" s="303"/>
      <c r="J895" s="302">
        <v>88.221677359075699</v>
      </c>
      <c r="K895" s="302">
        <v>87.172789145501469</v>
      </c>
      <c r="L895" s="302">
        <f t="shared" si="330"/>
        <v>175.39446650457717</v>
      </c>
      <c r="M895" s="236"/>
      <c r="N895" s="236"/>
    </row>
    <row r="896" spans="1:14" x14ac:dyDescent="0.3">
      <c r="A896" s="237" t="str">
        <f>name!E$7</f>
        <v>Administrative and secretarial occupations</v>
      </c>
      <c r="B896" s="302">
        <v>131.62800227392492</v>
      </c>
      <c r="C896" s="302">
        <v>35.311544607774053</v>
      </c>
      <c r="D896" s="302">
        <f t="shared" si="328"/>
        <v>166.93954688169896</v>
      </c>
      <c r="E896" s="303"/>
      <c r="F896" s="302">
        <v>123.22393040944526</v>
      </c>
      <c r="G896" s="302">
        <v>42.993217683290339</v>
      </c>
      <c r="H896" s="302">
        <f t="shared" si="329"/>
        <v>166.21714809273561</v>
      </c>
      <c r="I896" s="303"/>
      <c r="J896" s="302">
        <v>98.79505195473763</v>
      </c>
      <c r="K896" s="302">
        <v>43.851480532492545</v>
      </c>
      <c r="L896" s="302">
        <f t="shared" si="330"/>
        <v>142.64653248723016</v>
      </c>
      <c r="M896" s="236"/>
      <c r="N896" s="236"/>
    </row>
    <row r="897" spans="1:14" x14ac:dyDescent="0.3">
      <c r="A897" s="237" t="str">
        <f>name!E$8</f>
        <v>Skilled trades occupations</v>
      </c>
      <c r="B897" s="302">
        <v>2.9086458180223245</v>
      </c>
      <c r="C897" s="302">
        <v>21.091132853941094</v>
      </c>
      <c r="D897" s="302">
        <f t="shared" si="328"/>
        <v>23.999778671963419</v>
      </c>
      <c r="E897" s="303"/>
      <c r="F897" s="302">
        <v>2.9297067310215326</v>
      </c>
      <c r="G897" s="302">
        <v>14.952097517633971</v>
      </c>
      <c r="H897" s="302">
        <f t="shared" si="329"/>
        <v>17.881804248655506</v>
      </c>
      <c r="I897" s="303"/>
      <c r="J897" s="302">
        <v>6.1475513951842986</v>
      </c>
      <c r="K897" s="302">
        <v>12.363545935458285</v>
      </c>
      <c r="L897" s="302">
        <f t="shared" si="330"/>
        <v>18.511097330642585</v>
      </c>
      <c r="M897" s="236"/>
      <c r="N897" s="236"/>
    </row>
    <row r="898" spans="1:14" x14ac:dyDescent="0.3">
      <c r="A898" s="237" t="str">
        <f>name!E$9</f>
        <v>Caring, leisure and other service occupations</v>
      </c>
      <c r="B898" s="302">
        <v>1.8534557586258471</v>
      </c>
      <c r="C898" s="302">
        <v>1.7024067701768022</v>
      </c>
      <c r="D898" s="302">
        <f t="shared" si="328"/>
        <v>3.5558625288026491</v>
      </c>
      <c r="E898" s="303"/>
      <c r="F898" s="302">
        <v>1.5867919951628435</v>
      </c>
      <c r="G898" s="302">
        <v>1.736564087443387</v>
      </c>
      <c r="H898" s="302">
        <f t="shared" si="329"/>
        <v>3.3233560826062307</v>
      </c>
      <c r="I898" s="303"/>
      <c r="J898" s="302">
        <v>1.7916549350027655</v>
      </c>
      <c r="K898" s="302">
        <v>2.5196855738747623</v>
      </c>
      <c r="L898" s="302">
        <f t="shared" si="330"/>
        <v>4.3113405088775281</v>
      </c>
      <c r="M898" s="236"/>
      <c r="N898" s="236"/>
    </row>
    <row r="899" spans="1:14" x14ac:dyDescent="0.3">
      <c r="A899" s="237" t="str">
        <f>name!E$10</f>
        <v>Sales and customer service occupations</v>
      </c>
      <c r="B899" s="302">
        <v>21.335579420744121</v>
      </c>
      <c r="C899" s="302">
        <v>10.771838362305884</v>
      </c>
      <c r="D899" s="302">
        <f t="shared" si="328"/>
        <v>32.107417783050003</v>
      </c>
      <c r="E899" s="303"/>
      <c r="F899" s="302">
        <v>19.062412901734817</v>
      </c>
      <c r="G899" s="302">
        <v>10.791132471186035</v>
      </c>
      <c r="H899" s="302">
        <f t="shared" si="329"/>
        <v>29.853545372920852</v>
      </c>
      <c r="I899" s="303"/>
      <c r="J899" s="302">
        <v>20.305135540912357</v>
      </c>
      <c r="K899" s="302">
        <v>13.639019944347254</v>
      </c>
      <c r="L899" s="302">
        <f t="shared" si="330"/>
        <v>33.944155485259614</v>
      </c>
      <c r="M899" s="236"/>
      <c r="N899" s="236"/>
    </row>
    <row r="900" spans="1:14" x14ac:dyDescent="0.3">
      <c r="A900" s="237" t="str">
        <f>name!E$11</f>
        <v>Process, plant and machine operatives</v>
      </c>
      <c r="B900" s="302">
        <v>1.9039033515063406</v>
      </c>
      <c r="C900" s="302">
        <v>7.973780844755975</v>
      </c>
      <c r="D900" s="302">
        <f t="shared" si="328"/>
        <v>9.8776841962623152</v>
      </c>
      <c r="E900" s="303"/>
      <c r="F900" s="302">
        <v>1.4685429216489556</v>
      </c>
      <c r="G900" s="302">
        <v>6.6367925527669689</v>
      </c>
      <c r="H900" s="302">
        <f t="shared" si="329"/>
        <v>8.1053354744159236</v>
      </c>
      <c r="I900" s="303"/>
      <c r="J900" s="302">
        <v>2.5094663737675149</v>
      </c>
      <c r="K900" s="302">
        <v>6.9232979822386644</v>
      </c>
      <c r="L900" s="302">
        <f t="shared" si="330"/>
        <v>9.4327643560061798</v>
      </c>
      <c r="M900" s="236"/>
      <c r="N900" s="236"/>
    </row>
    <row r="901" spans="1:14" x14ac:dyDescent="0.3">
      <c r="A901" s="237" t="str">
        <f>name!E$12</f>
        <v>Elementary occupations</v>
      </c>
      <c r="B901" s="302">
        <v>8.8878882286489223</v>
      </c>
      <c r="C901" s="302">
        <v>6.2623970856208304</v>
      </c>
      <c r="D901" s="302">
        <f t="shared" si="328"/>
        <v>15.150285314269752</v>
      </c>
      <c r="E901" s="303"/>
      <c r="F901" s="302">
        <v>7.0188075709612958</v>
      </c>
      <c r="G901" s="302">
        <v>5.2833636802586676</v>
      </c>
      <c r="H901" s="302">
        <f t="shared" si="329"/>
        <v>12.302171251219963</v>
      </c>
      <c r="I901" s="303"/>
      <c r="J901" s="302">
        <v>6.5896433520837006</v>
      </c>
      <c r="K901" s="302">
        <v>4.6222934961613404</v>
      </c>
      <c r="L901" s="302">
        <f t="shared" si="330"/>
        <v>11.211936848245042</v>
      </c>
      <c r="M901" s="236"/>
      <c r="N901" s="236"/>
    </row>
    <row r="902" spans="1:14" x14ac:dyDescent="0.3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  <c r="N902" s="236"/>
    </row>
    <row r="903" spans="1:14" x14ac:dyDescent="0.3">
      <c r="A903" s="244" t="s">
        <v>32</v>
      </c>
      <c r="B903" s="311">
        <f>SUM(B893:B901)</f>
        <v>387.97399999532291</v>
      </c>
      <c r="C903" s="311">
        <f t="shared" ref="C903:D903" si="331">SUM(C893:C901)</f>
        <v>440.97499999239454</v>
      </c>
      <c r="D903" s="311">
        <f t="shared" si="331"/>
        <v>828.94899998771734</v>
      </c>
      <c r="E903" s="311"/>
      <c r="F903" s="311">
        <f t="shared" ref="F903:H903" si="332">SUM(F893:F901)</f>
        <v>408.53099999654557</v>
      </c>
      <c r="G903" s="311">
        <f t="shared" si="332"/>
        <v>473.4679999991946</v>
      </c>
      <c r="H903" s="311">
        <f t="shared" si="332"/>
        <v>881.99899999574006</v>
      </c>
      <c r="I903" s="311"/>
      <c r="J903" s="311">
        <f t="shared" ref="J903:L903" si="333">SUM(J893:J901)</f>
        <v>452.06600000304712</v>
      </c>
      <c r="K903" s="311">
        <f t="shared" si="333"/>
        <v>493.90699999996906</v>
      </c>
      <c r="L903" s="311">
        <f t="shared" si="333"/>
        <v>945.97300000301618</v>
      </c>
      <c r="M903" s="236"/>
      <c r="N903" s="236"/>
    </row>
    <row r="904" spans="1:14" x14ac:dyDescent="0.3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  <c r="N904" s="236"/>
    </row>
    <row r="905" spans="1:14" x14ac:dyDescent="0.3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56" t="s">
        <v>35</v>
      </c>
      <c r="M905" s="236"/>
      <c r="N905" s="236"/>
    </row>
    <row r="906" spans="1:14" x14ac:dyDescent="0.3">
      <c r="A906" s="242"/>
      <c r="B906" s="250"/>
      <c r="C906" s="250"/>
      <c r="D906" s="250"/>
      <c r="E906" s="250"/>
      <c r="F906" s="250"/>
      <c r="G906" s="250"/>
      <c r="H906" s="250"/>
      <c r="I906" s="250"/>
      <c r="J906" s="250"/>
      <c r="K906" s="250"/>
      <c r="L906" s="236"/>
      <c r="M906" s="236"/>
      <c r="N906" s="236"/>
    </row>
    <row r="907" spans="1:14" x14ac:dyDescent="0.3">
      <c r="A907" s="241" t="str">
        <f>name!A56</f>
        <v>Architectural and related</v>
      </c>
      <c r="B907" s="373">
        <f>B$6</f>
        <v>2015</v>
      </c>
      <c r="C907" s="373"/>
      <c r="D907" s="373"/>
      <c r="E907" s="253"/>
      <c r="F907" s="373">
        <f>F$6</f>
        <v>2020</v>
      </c>
      <c r="G907" s="373"/>
      <c r="H907" s="373"/>
      <c r="I907" s="253"/>
      <c r="J907" s="373">
        <f>J$6</f>
        <v>2035</v>
      </c>
      <c r="K907" s="373"/>
      <c r="L907" s="373"/>
      <c r="M907" s="236"/>
      <c r="N907" s="236"/>
    </row>
    <row r="908" spans="1:14" x14ac:dyDescent="0.3">
      <c r="A908" s="254"/>
      <c r="B908" s="255" t="s">
        <v>352</v>
      </c>
      <c r="C908" s="255" t="s">
        <v>353</v>
      </c>
      <c r="D908" s="255" t="s">
        <v>32</v>
      </c>
      <c r="E908" s="255"/>
      <c r="F908" s="255" t="s">
        <v>352</v>
      </c>
      <c r="G908" s="255" t="s">
        <v>353</v>
      </c>
      <c r="H908" s="255" t="s">
        <v>32</v>
      </c>
      <c r="I908" s="255"/>
      <c r="J908" s="255" t="s">
        <v>352</v>
      </c>
      <c r="K908" s="255" t="s">
        <v>353</v>
      </c>
      <c r="L908" s="255" t="s">
        <v>32</v>
      </c>
      <c r="M908" s="236"/>
      <c r="N908" s="236"/>
    </row>
    <row r="909" spans="1:14" x14ac:dyDescent="0.3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  <c r="N909" s="236"/>
    </row>
    <row r="910" spans="1:14" x14ac:dyDescent="0.3">
      <c r="A910" s="237" t="str">
        <f>name!E$4</f>
        <v>Managers, directors and senior officials</v>
      </c>
      <c r="B910" s="302">
        <v>16.76454594221255</v>
      </c>
      <c r="C910" s="302">
        <v>65.029505104355337</v>
      </c>
      <c r="D910" s="302">
        <f>SUM(B910:C910)</f>
        <v>81.794051046567887</v>
      </c>
      <c r="E910" s="303"/>
      <c r="F910" s="302">
        <v>20.126431295196529</v>
      </c>
      <c r="G910" s="302">
        <v>75.598655870003739</v>
      </c>
      <c r="H910" s="302">
        <f>SUM(F910:G910)</f>
        <v>95.725087165200264</v>
      </c>
      <c r="I910" s="303"/>
      <c r="J910" s="302">
        <v>24.549491473767006</v>
      </c>
      <c r="K910" s="302">
        <v>75.275202018955454</v>
      </c>
      <c r="L910" s="302">
        <f>SUM(J910:K910)</f>
        <v>99.82469349272246</v>
      </c>
      <c r="M910" s="236"/>
      <c r="N910" s="236"/>
    </row>
    <row r="911" spans="1:14" x14ac:dyDescent="0.3">
      <c r="A911" s="237" t="str">
        <f>name!E$5</f>
        <v>Professional occupations</v>
      </c>
      <c r="B911" s="302">
        <v>45.937444651270972</v>
      </c>
      <c r="C911" s="302">
        <v>185.431263876424</v>
      </c>
      <c r="D911" s="302">
        <f t="shared" ref="D911:D918" si="334">SUM(B911:C911)</f>
        <v>231.36870852769496</v>
      </c>
      <c r="E911" s="303"/>
      <c r="F911" s="302">
        <v>60.391410667722553</v>
      </c>
      <c r="G911" s="302">
        <v>232.71669758130116</v>
      </c>
      <c r="H911" s="302">
        <f t="shared" ref="H911:H918" si="335">SUM(F911:G911)</f>
        <v>293.1081082490237</v>
      </c>
      <c r="I911" s="303"/>
      <c r="J911" s="302">
        <v>79.984116608548575</v>
      </c>
      <c r="K911" s="302">
        <v>244.03224463274046</v>
      </c>
      <c r="L911" s="302">
        <f t="shared" ref="L911:L918" si="336">SUM(J911:K911)</f>
        <v>324.01636124128902</v>
      </c>
      <c r="M911" s="236"/>
      <c r="N911" s="236"/>
    </row>
    <row r="912" spans="1:14" x14ac:dyDescent="0.3">
      <c r="A912" s="237" t="str">
        <f>name!E$6</f>
        <v>Associate professional occupations</v>
      </c>
      <c r="B912" s="302">
        <v>31.706629489169821</v>
      </c>
      <c r="C912" s="302">
        <v>81.051971668418986</v>
      </c>
      <c r="D912" s="302">
        <f t="shared" si="334"/>
        <v>112.7586011575888</v>
      </c>
      <c r="E912" s="303"/>
      <c r="F912" s="302">
        <v>34.583841258338893</v>
      </c>
      <c r="G912" s="302">
        <v>96.768247462316964</v>
      </c>
      <c r="H912" s="302">
        <f t="shared" si="335"/>
        <v>131.35208872065584</v>
      </c>
      <c r="I912" s="303"/>
      <c r="J912" s="302">
        <v>40.609012483569387</v>
      </c>
      <c r="K912" s="302">
        <v>86.1643168457596</v>
      </c>
      <c r="L912" s="302">
        <f t="shared" si="336"/>
        <v>126.77332932932899</v>
      </c>
      <c r="M912" s="236"/>
      <c r="N912" s="236"/>
    </row>
    <row r="913" spans="1:14" x14ac:dyDescent="0.3">
      <c r="A913" s="237" t="str">
        <f>name!E$7</f>
        <v>Administrative and secretarial occupations</v>
      </c>
      <c r="B913" s="302">
        <v>60.744253194176309</v>
      </c>
      <c r="C913" s="302">
        <v>37.378507094278625</v>
      </c>
      <c r="D913" s="302">
        <f t="shared" si="334"/>
        <v>98.122760288454941</v>
      </c>
      <c r="E913" s="303"/>
      <c r="F913" s="302">
        <v>53.622775340261548</v>
      </c>
      <c r="G913" s="302">
        <v>42.701027443810716</v>
      </c>
      <c r="H913" s="302">
        <f t="shared" si="335"/>
        <v>96.323802784072257</v>
      </c>
      <c r="I913" s="303"/>
      <c r="J913" s="302">
        <v>40.359664040795522</v>
      </c>
      <c r="K913" s="302">
        <v>45.885221932948937</v>
      </c>
      <c r="L913" s="302">
        <f t="shared" si="336"/>
        <v>86.244885973744459</v>
      </c>
      <c r="M913" s="236"/>
      <c r="N913" s="236"/>
    </row>
    <row r="914" spans="1:14" x14ac:dyDescent="0.3">
      <c r="A914" s="237" t="str">
        <f>name!E$8</f>
        <v>Skilled trades occupations</v>
      </c>
      <c r="B914" s="302">
        <v>1.2914307845881585</v>
      </c>
      <c r="C914" s="302">
        <v>22.556494887207496</v>
      </c>
      <c r="D914" s="302">
        <f t="shared" si="334"/>
        <v>23.847925671795654</v>
      </c>
      <c r="E914" s="303"/>
      <c r="F914" s="302">
        <v>1.3601352455149551</v>
      </c>
      <c r="G914" s="302">
        <v>17.92277723298476</v>
      </c>
      <c r="H914" s="302">
        <f t="shared" si="335"/>
        <v>19.282912478499714</v>
      </c>
      <c r="I914" s="303"/>
      <c r="J914" s="302">
        <v>2.9425750254473639</v>
      </c>
      <c r="K914" s="302">
        <v>14.421395128537149</v>
      </c>
      <c r="L914" s="302">
        <f t="shared" si="336"/>
        <v>17.363970153984514</v>
      </c>
      <c r="M914" s="236"/>
      <c r="N914" s="236"/>
    </row>
    <row r="915" spans="1:14" x14ac:dyDescent="0.3">
      <c r="A915" s="237" t="str">
        <f>name!E$9</f>
        <v>Caring, leisure and other service occupations</v>
      </c>
      <c r="B915" s="302">
        <v>0.8241086436450713</v>
      </c>
      <c r="C915" s="302">
        <v>1.9088686148395573</v>
      </c>
      <c r="D915" s="302">
        <f t="shared" si="334"/>
        <v>2.7329772584846284</v>
      </c>
      <c r="E915" s="303"/>
      <c r="F915" s="302">
        <v>0.71353278856514379</v>
      </c>
      <c r="G915" s="302">
        <v>2.1681254704535147</v>
      </c>
      <c r="H915" s="302">
        <f t="shared" si="335"/>
        <v>2.8816582590186584</v>
      </c>
      <c r="I915" s="303"/>
      <c r="J915" s="302">
        <v>0.83106512978150548</v>
      </c>
      <c r="K915" s="302">
        <v>3.2703408489872898</v>
      </c>
      <c r="L915" s="302">
        <f t="shared" si="336"/>
        <v>4.1014059787687955</v>
      </c>
      <c r="M915" s="236"/>
      <c r="N915" s="236"/>
    </row>
    <row r="916" spans="1:14" x14ac:dyDescent="0.3">
      <c r="A916" s="237" t="str">
        <f>name!E$10</f>
        <v>Sales and customer service occupations</v>
      </c>
      <c r="B916" s="302">
        <v>10.128593911002302</v>
      </c>
      <c r="C916" s="302">
        <v>10.052126903306908</v>
      </c>
      <c r="D916" s="302">
        <f t="shared" si="334"/>
        <v>20.180720814309211</v>
      </c>
      <c r="E916" s="303"/>
      <c r="F916" s="302">
        <v>8.5474577813517723</v>
      </c>
      <c r="G916" s="302">
        <v>10.134799522622462</v>
      </c>
      <c r="H916" s="302">
        <f t="shared" si="335"/>
        <v>18.682257303974232</v>
      </c>
      <c r="I916" s="303"/>
      <c r="J916" s="302">
        <v>8.9088430733846629</v>
      </c>
      <c r="K916" s="302">
        <v>12.308949450242377</v>
      </c>
      <c r="L916" s="302">
        <f t="shared" si="336"/>
        <v>21.21779252362704</v>
      </c>
      <c r="M916" s="236"/>
      <c r="N916" s="236"/>
    </row>
    <row r="917" spans="1:14" x14ac:dyDescent="0.3">
      <c r="A917" s="237" t="str">
        <f>name!E$11</f>
        <v>Process, plant and machine operatives</v>
      </c>
      <c r="B917" s="302">
        <v>0.73784915454458622</v>
      </c>
      <c r="C917" s="302">
        <v>9.10261168784902</v>
      </c>
      <c r="D917" s="302">
        <f t="shared" si="334"/>
        <v>9.8404608423936057</v>
      </c>
      <c r="E917" s="303"/>
      <c r="F917" s="302">
        <v>0.59873266262686342</v>
      </c>
      <c r="G917" s="302">
        <v>7.4254609896978518</v>
      </c>
      <c r="H917" s="302">
        <f t="shared" si="335"/>
        <v>8.0241936523247155</v>
      </c>
      <c r="I917" s="303"/>
      <c r="J917" s="302">
        <v>0.95071471564432586</v>
      </c>
      <c r="K917" s="302">
        <v>7.4719040817751274</v>
      </c>
      <c r="L917" s="302">
        <f t="shared" si="336"/>
        <v>8.4226187974194531</v>
      </c>
      <c r="M917" s="236"/>
      <c r="N917" s="236"/>
    </row>
    <row r="918" spans="1:14" x14ac:dyDescent="0.3">
      <c r="A918" s="237" t="str">
        <f>name!E$12</f>
        <v>Elementary occupations</v>
      </c>
      <c r="B918" s="302">
        <v>3.8541442272585864</v>
      </c>
      <c r="C918" s="302">
        <v>6.4646501570128239</v>
      </c>
      <c r="D918" s="302">
        <f t="shared" si="334"/>
        <v>10.31879438427141</v>
      </c>
      <c r="E918" s="303"/>
      <c r="F918" s="302">
        <v>3.0556829583832652</v>
      </c>
      <c r="G918" s="302">
        <v>5.5652084258581551</v>
      </c>
      <c r="H918" s="302">
        <f t="shared" si="335"/>
        <v>8.6208913842414212</v>
      </c>
      <c r="I918" s="303"/>
      <c r="J918" s="302">
        <v>2.8775174503180829</v>
      </c>
      <c r="K918" s="302">
        <v>4.7584250589147672</v>
      </c>
      <c r="L918" s="302">
        <f t="shared" si="336"/>
        <v>7.6359425092328497</v>
      </c>
      <c r="M918" s="236"/>
      <c r="N918" s="236"/>
    </row>
    <row r="919" spans="1:14" x14ac:dyDescent="0.3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  <c r="N919" s="236"/>
    </row>
    <row r="920" spans="1:14" x14ac:dyDescent="0.3">
      <c r="A920" s="244" t="s">
        <v>32</v>
      </c>
      <c r="B920" s="311">
        <f>SUM(B910:B918)</f>
        <v>171.98899999786838</v>
      </c>
      <c r="C920" s="311">
        <f t="shared" ref="C920:D920" si="337">SUM(C910:C918)</f>
        <v>418.97599999369282</v>
      </c>
      <c r="D920" s="311">
        <f t="shared" si="337"/>
        <v>590.96499999156117</v>
      </c>
      <c r="E920" s="311"/>
      <c r="F920" s="311">
        <f t="shared" ref="F920:H920" si="338">SUM(F910:F918)</f>
        <v>182.99999999796154</v>
      </c>
      <c r="G920" s="311">
        <f t="shared" si="338"/>
        <v>491.00099999904927</v>
      </c>
      <c r="H920" s="311">
        <f t="shared" si="338"/>
        <v>674.00099999701081</v>
      </c>
      <c r="I920" s="311"/>
      <c r="J920" s="311">
        <f t="shared" ref="J920:L920" si="339">SUM(J910:J918)</f>
        <v>202.01300000125642</v>
      </c>
      <c r="K920" s="311">
        <f t="shared" si="339"/>
        <v>493.58799999886116</v>
      </c>
      <c r="L920" s="311">
        <f t="shared" si="339"/>
        <v>695.60100000011755</v>
      </c>
      <c r="M920" s="236"/>
      <c r="N920" s="236"/>
    </row>
    <row r="921" spans="1:14" x14ac:dyDescent="0.3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  <c r="N921" s="236"/>
    </row>
    <row r="922" spans="1:14" x14ac:dyDescent="0.3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56" t="s">
        <v>35</v>
      </c>
      <c r="M922" s="236"/>
      <c r="N922" s="236"/>
    </row>
    <row r="923" spans="1:14" x14ac:dyDescent="0.3">
      <c r="A923" s="242"/>
      <c r="B923" s="250"/>
      <c r="C923" s="250"/>
      <c r="D923" s="250"/>
      <c r="E923" s="250"/>
      <c r="F923" s="250"/>
      <c r="G923" s="250"/>
      <c r="H923" s="250"/>
      <c r="I923" s="250"/>
      <c r="J923" s="250"/>
      <c r="K923" s="250"/>
      <c r="L923" s="236"/>
      <c r="M923" s="236"/>
      <c r="N923" s="236"/>
    </row>
    <row r="924" spans="1:14" x14ac:dyDescent="0.3">
      <c r="A924" s="241" t="str">
        <f>name!A57</f>
        <v>Scientific research and development</v>
      </c>
      <c r="B924" s="373">
        <f>B$6</f>
        <v>2015</v>
      </c>
      <c r="C924" s="373"/>
      <c r="D924" s="373"/>
      <c r="E924" s="253"/>
      <c r="F924" s="373">
        <f>F$6</f>
        <v>2020</v>
      </c>
      <c r="G924" s="373"/>
      <c r="H924" s="373"/>
      <c r="I924" s="253"/>
      <c r="J924" s="373">
        <f>J$6</f>
        <v>2035</v>
      </c>
      <c r="K924" s="373"/>
      <c r="L924" s="373"/>
      <c r="M924" s="236"/>
      <c r="N924" s="236"/>
    </row>
    <row r="925" spans="1:14" x14ac:dyDescent="0.3">
      <c r="A925" s="254"/>
      <c r="B925" s="255" t="s">
        <v>352</v>
      </c>
      <c r="C925" s="255" t="s">
        <v>353</v>
      </c>
      <c r="D925" s="255" t="s">
        <v>32</v>
      </c>
      <c r="E925" s="255"/>
      <c r="F925" s="255" t="s">
        <v>352</v>
      </c>
      <c r="G925" s="255" t="s">
        <v>353</v>
      </c>
      <c r="H925" s="255" t="s">
        <v>32</v>
      </c>
      <c r="I925" s="255"/>
      <c r="J925" s="255" t="s">
        <v>352</v>
      </c>
      <c r="K925" s="255" t="s">
        <v>353</v>
      </c>
      <c r="L925" s="255" t="s">
        <v>32</v>
      </c>
      <c r="M925" s="236"/>
      <c r="N925" s="236"/>
    </row>
    <row r="926" spans="1:14" x14ac:dyDescent="0.3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  <c r="N926" s="236"/>
    </row>
    <row r="927" spans="1:14" x14ac:dyDescent="0.3">
      <c r="A927" s="237" t="str">
        <f>name!E$4</f>
        <v>Managers, directors and senior officials</v>
      </c>
      <c r="B927" s="302">
        <v>4.5772539616365302</v>
      </c>
      <c r="C927" s="302">
        <v>13.413791055069453</v>
      </c>
      <c r="D927" s="302">
        <f>SUM(B927:C927)</f>
        <v>17.991045016705982</v>
      </c>
      <c r="E927" s="303"/>
      <c r="F927" s="302">
        <v>5.2598147627786522</v>
      </c>
      <c r="G927" s="302">
        <v>14.006323098928659</v>
      </c>
      <c r="H927" s="302">
        <f>SUM(F927:G927)</f>
        <v>19.26613786170731</v>
      </c>
      <c r="I927" s="303"/>
      <c r="J927" s="302">
        <v>6.4955470654246623</v>
      </c>
      <c r="K927" s="302">
        <v>17.877887314761651</v>
      </c>
      <c r="L927" s="302">
        <f>SUM(J927:K927)</f>
        <v>24.373434380186314</v>
      </c>
      <c r="M927" s="236"/>
      <c r="N927" s="236"/>
    </row>
    <row r="928" spans="1:14" x14ac:dyDescent="0.3">
      <c r="A928" s="237" t="str">
        <f>name!E$5</f>
        <v>Professional occupations</v>
      </c>
      <c r="B928" s="302">
        <v>22.55746779784522</v>
      </c>
      <c r="C928" s="302">
        <v>63.064251527183409</v>
      </c>
      <c r="D928" s="302">
        <f t="shared" ref="D928:D935" si="340">SUM(B928:C928)</f>
        <v>85.621719325028636</v>
      </c>
      <c r="E928" s="303"/>
      <c r="F928" s="302">
        <v>26.516217603174614</v>
      </c>
      <c r="G928" s="302">
        <v>67.809324073300161</v>
      </c>
      <c r="H928" s="302">
        <f t="shared" ref="H928:H935" si="341">SUM(F928:G928)</f>
        <v>94.325541676474771</v>
      </c>
      <c r="I928" s="303"/>
      <c r="J928" s="302">
        <v>37.338487556726804</v>
      </c>
      <c r="K928" s="302">
        <v>86.004399655146202</v>
      </c>
      <c r="L928" s="302">
        <f t="shared" ref="L928:L935" si="342">SUM(J928:K928)</f>
        <v>123.34288721187301</v>
      </c>
      <c r="M928" s="236"/>
      <c r="N928" s="236"/>
    </row>
    <row r="929" spans="1:14" x14ac:dyDescent="0.3">
      <c r="A929" s="237" t="str">
        <f>name!E$6</f>
        <v>Associate professional occupations</v>
      </c>
      <c r="B929" s="302">
        <v>7.3534183946686982</v>
      </c>
      <c r="C929" s="302">
        <v>14.657412443431069</v>
      </c>
      <c r="D929" s="302">
        <f t="shared" si="340"/>
        <v>22.010830838099768</v>
      </c>
      <c r="E929" s="303"/>
      <c r="F929" s="302">
        <v>8.0475250444785331</v>
      </c>
      <c r="G929" s="302">
        <v>15.757594429913055</v>
      </c>
      <c r="H929" s="302">
        <f t="shared" si="341"/>
        <v>23.805119474391589</v>
      </c>
      <c r="I929" s="303"/>
      <c r="J929" s="302">
        <v>10.370284607603976</v>
      </c>
      <c r="K929" s="302">
        <v>17.057322252590545</v>
      </c>
      <c r="L929" s="302">
        <f t="shared" si="342"/>
        <v>27.427606860194523</v>
      </c>
      <c r="M929" s="236"/>
      <c r="N929" s="236"/>
    </row>
    <row r="930" spans="1:14" x14ac:dyDescent="0.3">
      <c r="A930" s="237" t="str">
        <f>name!E$7</f>
        <v>Administrative and secretarial occupations</v>
      </c>
      <c r="B930" s="302">
        <v>8.1154083545129545</v>
      </c>
      <c r="C930" s="302">
        <v>4.196065835751436</v>
      </c>
      <c r="D930" s="302">
        <f t="shared" si="340"/>
        <v>12.311474190264391</v>
      </c>
      <c r="E930" s="303"/>
      <c r="F930" s="302">
        <v>7.3971497621858022</v>
      </c>
      <c r="G930" s="302">
        <v>3.7379678052769809</v>
      </c>
      <c r="H930" s="302">
        <f t="shared" si="341"/>
        <v>11.135117567462784</v>
      </c>
      <c r="I930" s="303"/>
      <c r="J930" s="302">
        <v>6.0937370357569236</v>
      </c>
      <c r="K930" s="302">
        <v>4.9767881569380101</v>
      </c>
      <c r="L930" s="302">
        <f t="shared" si="342"/>
        <v>11.070525192694934</v>
      </c>
      <c r="M930" s="236"/>
      <c r="N930" s="236"/>
    </row>
    <row r="931" spans="1:14" x14ac:dyDescent="0.3">
      <c r="A931" s="237" t="str">
        <f>name!E$8</f>
        <v>Skilled trades occupations</v>
      </c>
      <c r="B931" s="302">
        <v>0.70400604375508047</v>
      </c>
      <c r="C931" s="302">
        <v>6.4191129102307549</v>
      </c>
      <c r="D931" s="302">
        <f t="shared" si="340"/>
        <v>7.1231189539858351</v>
      </c>
      <c r="E931" s="303"/>
      <c r="F931" s="302">
        <v>0.66706108686522436</v>
      </c>
      <c r="G931" s="302">
        <v>4.4501749823281962</v>
      </c>
      <c r="H931" s="302">
        <f t="shared" si="341"/>
        <v>5.1172360691934209</v>
      </c>
      <c r="I931" s="303"/>
      <c r="J931" s="302">
        <v>1.1876135517306201</v>
      </c>
      <c r="K931" s="302">
        <v>5.0157851201996815</v>
      </c>
      <c r="L931" s="302">
        <f t="shared" si="342"/>
        <v>6.2033986719303016</v>
      </c>
      <c r="M931" s="236"/>
      <c r="N931" s="236"/>
    </row>
    <row r="932" spans="1:14" x14ac:dyDescent="0.3">
      <c r="A932" s="237" t="str">
        <f>name!E$9</f>
        <v>Caring, leisure and other service occupations</v>
      </c>
      <c r="B932" s="302">
        <v>2.8821690190179794</v>
      </c>
      <c r="C932" s="302">
        <v>1.7212341366993411</v>
      </c>
      <c r="D932" s="302">
        <f t="shared" si="340"/>
        <v>4.6034031557173201</v>
      </c>
      <c r="E932" s="303"/>
      <c r="F932" s="302">
        <v>2.7148172655909999</v>
      </c>
      <c r="G932" s="302">
        <v>1.5743563681783153</v>
      </c>
      <c r="H932" s="302">
        <f t="shared" si="341"/>
        <v>4.2891736337693152</v>
      </c>
      <c r="I932" s="303"/>
      <c r="J932" s="302">
        <v>4.4029546914551023</v>
      </c>
      <c r="K932" s="302">
        <v>2.2976264561872304</v>
      </c>
      <c r="L932" s="302">
        <f t="shared" si="342"/>
        <v>6.7005811476423327</v>
      </c>
      <c r="M932" s="236"/>
      <c r="N932" s="236"/>
    </row>
    <row r="933" spans="1:14" x14ac:dyDescent="0.3">
      <c r="A933" s="237" t="str">
        <f>name!E$10</f>
        <v>Sales and customer service occupations</v>
      </c>
      <c r="B933" s="302">
        <v>1.9874131319943713</v>
      </c>
      <c r="C933" s="302">
        <v>2.5283630109574071</v>
      </c>
      <c r="D933" s="302">
        <f t="shared" si="340"/>
        <v>4.5157761429517782</v>
      </c>
      <c r="E933" s="303"/>
      <c r="F933" s="302">
        <v>1.619577792538113</v>
      </c>
      <c r="G933" s="302">
        <v>2.0556836224135497</v>
      </c>
      <c r="H933" s="302">
        <f t="shared" si="341"/>
        <v>3.6752614149516627</v>
      </c>
      <c r="I933" s="303"/>
      <c r="J933" s="302">
        <v>2.1852645190212669</v>
      </c>
      <c r="K933" s="302">
        <v>3.0370592133086145</v>
      </c>
      <c r="L933" s="302">
        <f t="shared" si="342"/>
        <v>5.2223237323298815</v>
      </c>
      <c r="M933" s="236"/>
      <c r="N933" s="236"/>
    </row>
    <row r="934" spans="1:14" x14ac:dyDescent="0.3">
      <c r="A934" s="237" t="str">
        <f>name!E$11</f>
        <v>Process, plant and machine operatives</v>
      </c>
      <c r="B934" s="302">
        <v>0.53654935422636463</v>
      </c>
      <c r="C934" s="302">
        <v>2.7537229421238321</v>
      </c>
      <c r="D934" s="302">
        <f t="shared" si="340"/>
        <v>3.2902722963501967</v>
      </c>
      <c r="E934" s="303"/>
      <c r="F934" s="302">
        <v>0.4342256533803342</v>
      </c>
      <c r="G934" s="302">
        <v>2.1435672126879544</v>
      </c>
      <c r="H934" s="302">
        <f t="shared" si="341"/>
        <v>2.5777928660682887</v>
      </c>
      <c r="I934" s="303"/>
      <c r="J934" s="302">
        <v>0.58906679131735151</v>
      </c>
      <c r="K934" s="302">
        <v>2.9210815474447109</v>
      </c>
      <c r="L934" s="302">
        <f t="shared" si="342"/>
        <v>3.5101483387620624</v>
      </c>
      <c r="M934" s="236"/>
      <c r="N934" s="236"/>
    </row>
    <row r="935" spans="1:14" x14ac:dyDescent="0.3">
      <c r="A935" s="237" t="str">
        <f>name!E$12</f>
        <v>Elementary occupations</v>
      </c>
      <c r="B935" s="302">
        <v>2.4713139419562524</v>
      </c>
      <c r="C935" s="302">
        <v>2.0900461380030144</v>
      </c>
      <c r="D935" s="302">
        <f t="shared" si="340"/>
        <v>4.5613600799592664</v>
      </c>
      <c r="E935" s="303"/>
      <c r="F935" s="302">
        <v>1.9326110289994378</v>
      </c>
      <c r="G935" s="302">
        <v>1.4800084075050697</v>
      </c>
      <c r="H935" s="302">
        <f t="shared" si="341"/>
        <v>3.4126194365045075</v>
      </c>
      <c r="I935" s="303"/>
      <c r="J935" s="302">
        <v>3.0640441818217869</v>
      </c>
      <c r="K935" s="302">
        <v>1.8580502829516268</v>
      </c>
      <c r="L935" s="302">
        <f t="shared" si="342"/>
        <v>4.9220944647734139</v>
      </c>
      <c r="M935" s="236"/>
      <c r="N935" s="236"/>
    </row>
    <row r="936" spans="1:14" x14ac:dyDescent="0.3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  <c r="N936" s="236"/>
    </row>
    <row r="937" spans="1:14" x14ac:dyDescent="0.3">
      <c r="A937" s="244" t="s">
        <v>32</v>
      </c>
      <c r="B937" s="311">
        <f>SUM(B927:B935)</f>
        <v>51.18499999961346</v>
      </c>
      <c r="C937" s="311">
        <f t="shared" ref="C937:D937" si="343">SUM(C927:C935)</f>
        <v>110.84399999944972</v>
      </c>
      <c r="D937" s="311">
        <f t="shared" si="343"/>
        <v>162.02899999906316</v>
      </c>
      <c r="E937" s="311"/>
      <c r="F937" s="311">
        <f t="shared" ref="F937:H937" si="344">SUM(F927:F935)</f>
        <v>54.588999999991714</v>
      </c>
      <c r="G937" s="311">
        <f t="shared" si="344"/>
        <v>113.01500000053194</v>
      </c>
      <c r="H937" s="311">
        <f t="shared" si="344"/>
        <v>167.6040000005236</v>
      </c>
      <c r="I937" s="311"/>
      <c r="J937" s="311">
        <f t="shared" ref="J937:L937" si="345">SUM(J927:J935)</f>
        <v>71.727000000858496</v>
      </c>
      <c r="K937" s="311">
        <f t="shared" si="345"/>
        <v>141.04599999952831</v>
      </c>
      <c r="L937" s="311">
        <f t="shared" si="345"/>
        <v>212.77300000038676</v>
      </c>
      <c r="M937" s="236"/>
      <c r="N937" s="236"/>
    </row>
    <row r="938" spans="1:14" x14ac:dyDescent="0.3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  <c r="N938" s="236"/>
    </row>
    <row r="939" spans="1:14" x14ac:dyDescent="0.3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56" t="s">
        <v>35</v>
      </c>
      <c r="M939" s="236"/>
      <c r="N939" s="236"/>
    </row>
    <row r="940" spans="1:14" x14ac:dyDescent="0.3">
      <c r="A940" s="242"/>
      <c r="B940" s="250"/>
      <c r="C940" s="250"/>
      <c r="D940" s="250"/>
      <c r="E940" s="250"/>
      <c r="F940" s="250"/>
      <c r="G940" s="250"/>
      <c r="H940" s="250"/>
      <c r="I940" s="250"/>
      <c r="J940" s="250"/>
      <c r="K940" s="250"/>
      <c r="L940" s="236"/>
      <c r="M940" s="236"/>
      <c r="N940" s="236"/>
    </row>
    <row r="941" spans="1:14" x14ac:dyDescent="0.3">
      <c r="A941" s="241" t="str">
        <f>name!A58</f>
        <v>Advertising, etc</v>
      </c>
      <c r="B941" s="373">
        <f>B$6</f>
        <v>2015</v>
      </c>
      <c r="C941" s="373"/>
      <c r="D941" s="373"/>
      <c r="E941" s="253"/>
      <c r="F941" s="373">
        <f>F$6</f>
        <v>2020</v>
      </c>
      <c r="G941" s="373"/>
      <c r="H941" s="373"/>
      <c r="I941" s="253"/>
      <c r="J941" s="373">
        <f>J$6</f>
        <v>2035</v>
      </c>
      <c r="K941" s="373"/>
      <c r="L941" s="373"/>
      <c r="M941" s="236"/>
      <c r="N941" s="236"/>
    </row>
    <row r="942" spans="1:14" x14ac:dyDescent="0.3">
      <c r="A942" s="254"/>
      <c r="B942" s="255" t="s">
        <v>352</v>
      </c>
      <c r="C942" s="255" t="s">
        <v>353</v>
      </c>
      <c r="D942" s="255" t="s">
        <v>32</v>
      </c>
      <c r="E942" s="255"/>
      <c r="F942" s="255" t="s">
        <v>352</v>
      </c>
      <c r="G942" s="255" t="s">
        <v>353</v>
      </c>
      <c r="H942" s="255" t="s">
        <v>32</v>
      </c>
      <c r="I942" s="255"/>
      <c r="J942" s="255" t="s">
        <v>352</v>
      </c>
      <c r="K942" s="255" t="s">
        <v>353</v>
      </c>
      <c r="L942" s="255" t="s">
        <v>32</v>
      </c>
      <c r="M942" s="236"/>
      <c r="N942" s="236"/>
    </row>
    <row r="943" spans="1:14" x14ac:dyDescent="0.3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  <c r="N943" s="236"/>
    </row>
    <row r="944" spans="1:14" x14ac:dyDescent="0.3">
      <c r="A944" s="237" t="str">
        <f>name!E$4</f>
        <v>Managers, directors and senior officials</v>
      </c>
      <c r="B944" s="302">
        <v>16.703037846563436</v>
      </c>
      <c r="C944" s="302">
        <v>17.487414609720908</v>
      </c>
      <c r="D944" s="302">
        <f>SUM(B944:C944)</f>
        <v>34.190452456284348</v>
      </c>
      <c r="E944" s="303"/>
      <c r="F944" s="302">
        <v>16.87026079826612</v>
      </c>
      <c r="G944" s="302">
        <v>14.62290502311232</v>
      </c>
      <c r="H944" s="302">
        <f>SUM(F944:G944)</f>
        <v>31.49316582137844</v>
      </c>
      <c r="I944" s="303"/>
      <c r="J944" s="302">
        <v>22.549263058425129</v>
      </c>
      <c r="K944" s="302">
        <v>18.556347567663913</v>
      </c>
      <c r="L944" s="302">
        <f>SUM(J944:K944)</f>
        <v>41.105610626089046</v>
      </c>
      <c r="M944" s="236"/>
      <c r="N944" s="236"/>
    </row>
    <row r="945" spans="1:14" x14ac:dyDescent="0.3">
      <c r="A945" s="237" t="str">
        <f>name!E$5</f>
        <v>Professional occupations</v>
      </c>
      <c r="B945" s="302">
        <v>46.83289103315753</v>
      </c>
      <c r="C945" s="302">
        <v>54.562710123475576</v>
      </c>
      <c r="D945" s="302">
        <f t="shared" ref="D945:D952" si="346">SUM(B945:C945)</f>
        <v>101.39560115663311</v>
      </c>
      <c r="E945" s="303"/>
      <c r="F945" s="302">
        <v>51.998319299866708</v>
      </c>
      <c r="G945" s="302">
        <v>47.221054519699564</v>
      </c>
      <c r="H945" s="302">
        <f t="shared" ref="H945:H952" si="347">SUM(F945:G945)</f>
        <v>99.219373819566272</v>
      </c>
      <c r="I945" s="303"/>
      <c r="J945" s="302">
        <v>75.47160032850762</v>
      </c>
      <c r="K945" s="302">
        <v>59.385295995969024</v>
      </c>
      <c r="L945" s="302">
        <f t="shared" ref="L945:L952" si="348">SUM(J945:K945)</f>
        <v>134.85689632447665</v>
      </c>
      <c r="M945" s="236"/>
      <c r="N945" s="236"/>
    </row>
    <row r="946" spans="1:14" x14ac:dyDescent="0.3">
      <c r="A946" s="237" t="str">
        <f>name!E$6</f>
        <v>Associate professional occupations</v>
      </c>
      <c r="B946" s="302">
        <v>31.762935575845084</v>
      </c>
      <c r="C946" s="302">
        <v>22.187940905233905</v>
      </c>
      <c r="D946" s="302">
        <f t="shared" si="346"/>
        <v>53.950876481078993</v>
      </c>
      <c r="E946" s="303"/>
      <c r="F946" s="302">
        <v>29.248210442990935</v>
      </c>
      <c r="G946" s="302">
        <v>18.522833759694866</v>
      </c>
      <c r="H946" s="302">
        <f t="shared" si="347"/>
        <v>47.7710442026858</v>
      </c>
      <c r="I946" s="303"/>
      <c r="J946" s="302">
        <v>38.993888694779514</v>
      </c>
      <c r="K946" s="302">
        <v>20.480291238669736</v>
      </c>
      <c r="L946" s="302">
        <f t="shared" si="348"/>
        <v>59.47417993344925</v>
      </c>
      <c r="M946" s="236"/>
      <c r="N946" s="236"/>
    </row>
    <row r="947" spans="1:14" x14ac:dyDescent="0.3">
      <c r="A947" s="237" t="str">
        <f>name!E$7</f>
        <v>Administrative and secretarial occupations</v>
      </c>
      <c r="B947" s="302">
        <v>46.107932068444001</v>
      </c>
      <c r="C947" s="302">
        <v>8.1879671938803718</v>
      </c>
      <c r="D947" s="302">
        <f t="shared" si="346"/>
        <v>54.295899262324369</v>
      </c>
      <c r="E947" s="303"/>
      <c r="F947" s="302">
        <v>34.065613853907493</v>
      </c>
      <c r="G947" s="302">
        <v>5.6488730219111085</v>
      </c>
      <c r="H947" s="302">
        <f t="shared" si="347"/>
        <v>39.714486875818601</v>
      </c>
      <c r="I947" s="303"/>
      <c r="J947" s="302">
        <v>29.779017232211892</v>
      </c>
      <c r="K947" s="302">
        <v>7.042566622079784</v>
      </c>
      <c r="L947" s="302">
        <f t="shared" si="348"/>
        <v>36.821583854291674</v>
      </c>
      <c r="M947" s="236"/>
      <c r="N947" s="236"/>
    </row>
    <row r="948" spans="1:14" x14ac:dyDescent="0.3">
      <c r="A948" s="237" t="str">
        <f>name!E$8</f>
        <v>Skilled trades occupations</v>
      </c>
      <c r="B948" s="302">
        <v>1.304359812471523</v>
      </c>
      <c r="C948" s="302">
        <v>4.8807907801201766</v>
      </c>
      <c r="D948" s="302">
        <f t="shared" si="346"/>
        <v>6.1851505925916994</v>
      </c>
      <c r="E948" s="303"/>
      <c r="F948" s="302">
        <v>1.1141338916222689</v>
      </c>
      <c r="G948" s="302">
        <v>2.5912733121738651</v>
      </c>
      <c r="H948" s="302">
        <f t="shared" si="347"/>
        <v>3.7054072037961339</v>
      </c>
      <c r="I948" s="303"/>
      <c r="J948" s="302">
        <v>2.690672233352835</v>
      </c>
      <c r="K948" s="302">
        <v>2.7893807305807976</v>
      </c>
      <c r="L948" s="302">
        <f t="shared" si="348"/>
        <v>5.4800529639336322</v>
      </c>
      <c r="M948" s="236"/>
      <c r="N948" s="236"/>
    </row>
    <row r="949" spans="1:14" x14ac:dyDescent="0.3">
      <c r="A949" s="237" t="str">
        <f>name!E$9</f>
        <v>Caring, leisure and other service occupations</v>
      </c>
      <c r="B949" s="302">
        <v>0.8151442067557243</v>
      </c>
      <c r="C949" s="302">
        <v>0.56553521967668585</v>
      </c>
      <c r="D949" s="302">
        <f t="shared" si="346"/>
        <v>1.38067942643241</v>
      </c>
      <c r="E949" s="303"/>
      <c r="F949" s="302">
        <v>0.6110126085129477</v>
      </c>
      <c r="G949" s="302">
        <v>0.42545367877594176</v>
      </c>
      <c r="H949" s="302">
        <f t="shared" si="347"/>
        <v>1.0364662872888895</v>
      </c>
      <c r="I949" s="303"/>
      <c r="J949" s="302">
        <v>0.90800694970654916</v>
      </c>
      <c r="K949" s="302">
        <v>0.89709684400834988</v>
      </c>
      <c r="L949" s="302">
        <f t="shared" si="348"/>
        <v>1.805103793714899</v>
      </c>
      <c r="M949" s="236"/>
      <c r="N949" s="236"/>
    </row>
    <row r="950" spans="1:14" x14ac:dyDescent="0.3">
      <c r="A950" s="237" t="str">
        <f>name!E$10</f>
        <v>Sales and customer service occupations</v>
      </c>
      <c r="B950" s="302">
        <v>8.0251596487263814</v>
      </c>
      <c r="C950" s="302">
        <v>2.5882740458679967</v>
      </c>
      <c r="D950" s="302">
        <f t="shared" si="346"/>
        <v>10.613433694594377</v>
      </c>
      <c r="E950" s="303"/>
      <c r="F950" s="302">
        <v>5.532177616348168</v>
      </c>
      <c r="G950" s="302">
        <v>1.6579907219501815</v>
      </c>
      <c r="H950" s="302">
        <f t="shared" si="347"/>
        <v>7.1901683382983492</v>
      </c>
      <c r="I950" s="303"/>
      <c r="J950" s="302">
        <v>6.3850986843062785</v>
      </c>
      <c r="K950" s="302">
        <v>2.4101484445668966</v>
      </c>
      <c r="L950" s="302">
        <f t="shared" si="348"/>
        <v>8.7952471288731751</v>
      </c>
      <c r="M950" s="236"/>
      <c r="N950" s="236"/>
    </row>
    <row r="951" spans="1:14" x14ac:dyDescent="0.3">
      <c r="A951" s="237" t="str">
        <f>name!E$11</f>
        <v>Process, plant and machine operatives</v>
      </c>
      <c r="B951" s="302">
        <v>0.78980783158897816</v>
      </c>
      <c r="C951" s="302">
        <v>1.7177834216747674</v>
      </c>
      <c r="D951" s="302">
        <f t="shared" si="346"/>
        <v>2.5075912532637457</v>
      </c>
      <c r="E951" s="303"/>
      <c r="F951" s="302">
        <v>0.54498799225934924</v>
      </c>
      <c r="G951" s="302">
        <v>0.9474567177056431</v>
      </c>
      <c r="H951" s="302">
        <f t="shared" si="347"/>
        <v>1.4924447099649925</v>
      </c>
      <c r="I951" s="303"/>
      <c r="J951" s="302">
        <v>1.2223327011695506</v>
      </c>
      <c r="K951" s="302">
        <v>1.2493260062642852</v>
      </c>
      <c r="L951" s="302">
        <f t="shared" si="348"/>
        <v>2.4716587074338356</v>
      </c>
      <c r="M951" s="236"/>
      <c r="N951" s="236"/>
    </row>
    <row r="952" spans="1:14" x14ac:dyDescent="0.3">
      <c r="A952" s="237" t="str">
        <f>name!E$12</f>
        <v>Elementary occupations</v>
      </c>
      <c r="B952" s="302">
        <v>3.3987319745853801</v>
      </c>
      <c r="C952" s="302">
        <v>1.296583698818532</v>
      </c>
      <c r="D952" s="302">
        <f t="shared" si="346"/>
        <v>4.6953156734039121</v>
      </c>
      <c r="E952" s="303"/>
      <c r="F952" s="302">
        <v>2.1062834951799361</v>
      </c>
      <c r="G952" s="302">
        <v>0.71815924582358237</v>
      </c>
      <c r="H952" s="302">
        <f t="shared" si="347"/>
        <v>2.8244427410035184</v>
      </c>
      <c r="I952" s="303"/>
      <c r="J952" s="302">
        <v>2.8101201184713007</v>
      </c>
      <c r="K952" s="302">
        <v>0.789546551727904</v>
      </c>
      <c r="L952" s="302">
        <f t="shared" si="348"/>
        <v>3.5996666701992046</v>
      </c>
      <c r="M952" s="236"/>
      <c r="N952" s="236"/>
    </row>
    <row r="953" spans="1:14" x14ac:dyDescent="0.3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  <c r="N953" s="236"/>
    </row>
    <row r="954" spans="1:14" x14ac:dyDescent="0.3">
      <c r="A954" s="244" t="s">
        <v>32</v>
      </c>
      <c r="B954" s="311">
        <f>SUM(B944:B952)</f>
        <v>155.73999999813802</v>
      </c>
      <c r="C954" s="311">
        <f t="shared" ref="C954:D954" si="349">SUM(C944:C952)</f>
        <v>113.47499999846892</v>
      </c>
      <c r="D954" s="311">
        <f t="shared" si="349"/>
        <v>269.21499999660693</v>
      </c>
      <c r="E954" s="311"/>
      <c r="F954" s="311">
        <f t="shared" ref="F954:H954" si="350">SUM(F944:F952)</f>
        <v>142.09099999895389</v>
      </c>
      <c r="G954" s="311">
        <f t="shared" si="350"/>
        <v>92.356000000847089</v>
      </c>
      <c r="H954" s="311">
        <f t="shared" si="350"/>
        <v>234.44699999980102</v>
      </c>
      <c r="I954" s="311"/>
      <c r="J954" s="311">
        <f t="shared" ref="J954:L954" si="351">SUM(J944:J952)</f>
        <v>180.8100000009307</v>
      </c>
      <c r="K954" s="311">
        <f t="shared" si="351"/>
        <v>113.6000000015307</v>
      </c>
      <c r="L954" s="311">
        <f t="shared" si="351"/>
        <v>294.4100000024614</v>
      </c>
      <c r="M954" s="236"/>
      <c r="N954" s="236"/>
    </row>
    <row r="955" spans="1:14" x14ac:dyDescent="0.3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  <c r="N955" s="236"/>
    </row>
    <row r="956" spans="1:14" x14ac:dyDescent="0.3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56" t="s">
        <v>35</v>
      </c>
      <c r="M956" s="236"/>
      <c r="N956" s="236"/>
    </row>
    <row r="957" spans="1:14" x14ac:dyDescent="0.3">
      <c r="A957" s="242"/>
      <c r="B957" s="250"/>
      <c r="C957" s="250"/>
      <c r="D957" s="250"/>
      <c r="E957" s="250"/>
      <c r="F957" s="250"/>
      <c r="G957" s="250"/>
      <c r="H957" s="250"/>
      <c r="I957" s="250"/>
      <c r="J957" s="250"/>
      <c r="K957" s="250"/>
      <c r="L957" s="236"/>
      <c r="M957" s="236"/>
      <c r="N957" s="236"/>
    </row>
    <row r="958" spans="1:14" x14ac:dyDescent="0.3">
      <c r="A958" s="241" t="str">
        <f>name!A59</f>
        <v>Other professional</v>
      </c>
      <c r="B958" s="373">
        <f>B$6</f>
        <v>2015</v>
      </c>
      <c r="C958" s="373"/>
      <c r="D958" s="373"/>
      <c r="E958" s="253"/>
      <c r="F958" s="373">
        <f>F$6</f>
        <v>2020</v>
      </c>
      <c r="G958" s="373"/>
      <c r="H958" s="373"/>
      <c r="I958" s="253"/>
      <c r="J958" s="373">
        <f>J$6</f>
        <v>2035</v>
      </c>
      <c r="K958" s="373"/>
      <c r="L958" s="373"/>
      <c r="M958" s="236"/>
      <c r="N958" s="236"/>
    </row>
    <row r="959" spans="1:14" x14ac:dyDescent="0.3">
      <c r="A959" s="254"/>
      <c r="B959" s="255" t="s">
        <v>352</v>
      </c>
      <c r="C959" s="255" t="s">
        <v>353</v>
      </c>
      <c r="D959" s="255" t="s">
        <v>32</v>
      </c>
      <c r="E959" s="255"/>
      <c r="F959" s="255" t="s">
        <v>352</v>
      </c>
      <c r="G959" s="255" t="s">
        <v>353</v>
      </c>
      <c r="H959" s="255" t="s">
        <v>32</v>
      </c>
      <c r="I959" s="255"/>
      <c r="J959" s="255" t="s">
        <v>352</v>
      </c>
      <c r="K959" s="255" t="s">
        <v>353</v>
      </c>
      <c r="L959" s="255" t="s">
        <v>32</v>
      </c>
      <c r="M959" s="236"/>
      <c r="N959" s="236"/>
    </row>
    <row r="960" spans="1:14" x14ac:dyDescent="0.3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  <c r="N960" s="236"/>
    </row>
    <row r="961" spans="1:14" x14ac:dyDescent="0.3">
      <c r="A961" s="237" t="str">
        <f>name!E$4</f>
        <v>Managers, directors and senior officials</v>
      </c>
      <c r="B961" s="302">
        <v>9.1467228018637936</v>
      </c>
      <c r="C961" s="302">
        <v>18.228131808658151</v>
      </c>
      <c r="D961" s="302">
        <f>SUM(B961:C961)</f>
        <v>27.374854610521943</v>
      </c>
      <c r="E961" s="303"/>
      <c r="F961" s="302">
        <v>12.92899305770492</v>
      </c>
      <c r="G961" s="302">
        <v>19.304109103374586</v>
      </c>
      <c r="H961" s="302">
        <f>SUM(F961:G961)</f>
        <v>32.233102161079508</v>
      </c>
      <c r="I961" s="303"/>
      <c r="J961" s="302">
        <v>18.36707970367376</v>
      </c>
      <c r="K961" s="302">
        <v>25.16970171013773</v>
      </c>
      <c r="L961" s="302">
        <f>SUM(J961:K961)</f>
        <v>43.536781413811489</v>
      </c>
      <c r="M961" s="236"/>
      <c r="N961" s="236"/>
    </row>
    <row r="962" spans="1:14" x14ac:dyDescent="0.3">
      <c r="A962" s="237" t="str">
        <f>name!E$5</f>
        <v>Professional occupations</v>
      </c>
      <c r="B962" s="302">
        <v>19.700804640169554</v>
      </c>
      <c r="C962" s="302">
        <v>45.506933622340107</v>
      </c>
      <c r="D962" s="302">
        <f t="shared" ref="D962:D969" si="352">SUM(B962:C962)</f>
        <v>65.207738262509665</v>
      </c>
      <c r="E962" s="303"/>
      <c r="F962" s="302">
        <v>29.91295537591067</v>
      </c>
      <c r="G962" s="302">
        <v>51.299112369962913</v>
      </c>
      <c r="H962" s="302">
        <f t="shared" ref="H962:H969" si="353">SUM(F962:G962)</f>
        <v>81.212067745873583</v>
      </c>
      <c r="I962" s="303"/>
      <c r="J962" s="302">
        <v>45.726638485220739</v>
      </c>
      <c r="K962" s="302">
        <v>66.315415524874155</v>
      </c>
      <c r="L962" s="302">
        <f t="shared" ref="L962:L969" si="354">SUM(J962:K962)</f>
        <v>112.04205401009489</v>
      </c>
      <c r="M962" s="236"/>
      <c r="N962" s="236"/>
    </row>
    <row r="963" spans="1:14" x14ac:dyDescent="0.3">
      <c r="A963" s="237" t="str">
        <f>name!E$6</f>
        <v>Associate professional occupations</v>
      </c>
      <c r="B963" s="302">
        <v>16.853318646463055</v>
      </c>
      <c r="C963" s="302">
        <v>24.587957554956546</v>
      </c>
      <c r="D963" s="302">
        <f t="shared" si="352"/>
        <v>41.441276201419598</v>
      </c>
      <c r="E963" s="303"/>
      <c r="F963" s="302">
        <v>21.580601693037021</v>
      </c>
      <c r="G963" s="302">
        <v>26.445952390872552</v>
      </c>
      <c r="H963" s="302">
        <f t="shared" si="353"/>
        <v>48.026554083909573</v>
      </c>
      <c r="I963" s="303"/>
      <c r="J963" s="302">
        <v>30.031836878892374</v>
      </c>
      <c r="K963" s="302">
        <v>28.820750163339987</v>
      </c>
      <c r="L963" s="302">
        <f t="shared" si="354"/>
        <v>58.852587042232358</v>
      </c>
      <c r="M963" s="236"/>
      <c r="N963" s="236"/>
    </row>
    <row r="964" spans="1:14" x14ac:dyDescent="0.3">
      <c r="A964" s="237" t="str">
        <f>name!E$7</f>
        <v>Administrative and secretarial occupations</v>
      </c>
      <c r="B964" s="302">
        <v>24.770515736776151</v>
      </c>
      <c r="C964" s="302">
        <v>8.1146899101694299</v>
      </c>
      <c r="D964" s="302">
        <f t="shared" si="352"/>
        <v>32.885205646945579</v>
      </c>
      <c r="E964" s="303"/>
      <c r="F964" s="302">
        <v>29.010137460271515</v>
      </c>
      <c r="G964" s="302">
        <v>8.4631957741722381</v>
      </c>
      <c r="H964" s="302">
        <f t="shared" si="353"/>
        <v>37.473333234443757</v>
      </c>
      <c r="I964" s="303"/>
      <c r="J964" s="302">
        <v>28.562805285803602</v>
      </c>
      <c r="K964" s="302">
        <v>10.963460178056923</v>
      </c>
      <c r="L964" s="302">
        <f t="shared" si="354"/>
        <v>39.526265463860526</v>
      </c>
      <c r="M964" s="236"/>
      <c r="N964" s="236"/>
    </row>
    <row r="965" spans="1:14" x14ac:dyDescent="0.3">
      <c r="A965" s="237" t="str">
        <f>name!E$8</f>
        <v>Skilled trades occupations</v>
      </c>
      <c r="B965" s="302">
        <v>1.0352657852894755</v>
      </c>
      <c r="C965" s="302">
        <v>6.9670588586903435</v>
      </c>
      <c r="D965" s="302">
        <f t="shared" si="352"/>
        <v>8.0023246439798186</v>
      </c>
      <c r="E965" s="303"/>
      <c r="F965" s="302">
        <v>1.3067951000733264</v>
      </c>
      <c r="G965" s="302">
        <v>5.1395750245479945</v>
      </c>
      <c r="H965" s="302">
        <f t="shared" si="353"/>
        <v>6.4463701246213212</v>
      </c>
      <c r="I965" s="303"/>
      <c r="J965" s="302">
        <v>2.7133271177214158</v>
      </c>
      <c r="K965" s="302">
        <v>5.5169355134596811</v>
      </c>
      <c r="L965" s="302">
        <f t="shared" si="354"/>
        <v>8.2302626311810965</v>
      </c>
      <c r="M965" s="236"/>
      <c r="N965" s="236"/>
    </row>
    <row r="966" spans="1:14" x14ac:dyDescent="0.3">
      <c r="A966" s="237" t="str">
        <f>name!E$9</f>
        <v>Caring, leisure and other service occupations</v>
      </c>
      <c r="B966" s="302">
        <v>5.2562937899517337</v>
      </c>
      <c r="C966" s="302">
        <v>2.1702019122307759</v>
      </c>
      <c r="D966" s="302">
        <f t="shared" si="352"/>
        <v>7.4264957021825095</v>
      </c>
      <c r="E966" s="303"/>
      <c r="F966" s="302">
        <v>6.1586117081050302</v>
      </c>
      <c r="G966" s="302">
        <v>2.2227825395122052</v>
      </c>
      <c r="H966" s="302">
        <f t="shared" si="353"/>
        <v>8.3813942476172354</v>
      </c>
      <c r="I966" s="303"/>
      <c r="J966" s="302">
        <v>7.9078272490147867</v>
      </c>
      <c r="K966" s="302">
        <v>3.5438091967107588</v>
      </c>
      <c r="L966" s="302">
        <f t="shared" si="354"/>
        <v>11.451636445725546</v>
      </c>
      <c r="M966" s="236"/>
      <c r="N966" s="236"/>
    </row>
    <row r="967" spans="1:14" x14ac:dyDescent="0.3">
      <c r="A967" s="237" t="str">
        <f>name!E$10</f>
        <v>Sales and customer service occupations</v>
      </c>
      <c r="B967" s="302">
        <v>5.7040753612255957</v>
      </c>
      <c r="C967" s="302">
        <v>4.8025844355725189</v>
      </c>
      <c r="D967" s="302">
        <f t="shared" si="352"/>
        <v>10.506659796798115</v>
      </c>
      <c r="E967" s="303"/>
      <c r="F967" s="302">
        <v>6.3768234445057725</v>
      </c>
      <c r="G967" s="302">
        <v>4.315368112961802</v>
      </c>
      <c r="H967" s="302">
        <f t="shared" si="353"/>
        <v>10.692191557467574</v>
      </c>
      <c r="I967" s="303"/>
      <c r="J967" s="302">
        <v>8.634124307108145</v>
      </c>
      <c r="K967" s="302">
        <v>6.0759554136429177</v>
      </c>
      <c r="L967" s="302">
        <f t="shared" si="354"/>
        <v>14.710079720751063</v>
      </c>
      <c r="M967" s="236"/>
      <c r="N967" s="236"/>
    </row>
    <row r="968" spans="1:14" x14ac:dyDescent="0.3">
      <c r="A968" s="237" t="str">
        <f>name!E$11</f>
        <v>Process, plant and machine operatives</v>
      </c>
      <c r="B968" s="302">
        <v>0.76149709006981769</v>
      </c>
      <c r="C968" s="302">
        <v>3.5800580313259922</v>
      </c>
      <c r="D968" s="302">
        <f t="shared" si="352"/>
        <v>4.3415551213958103</v>
      </c>
      <c r="E968" s="303"/>
      <c r="F968" s="302">
        <v>0.75135516872578179</v>
      </c>
      <c r="G968" s="302">
        <v>2.9524013062918333</v>
      </c>
      <c r="H968" s="302">
        <f t="shared" si="353"/>
        <v>3.7037564750176148</v>
      </c>
      <c r="I968" s="303"/>
      <c r="J968" s="302">
        <v>1.4846252946744485</v>
      </c>
      <c r="K968" s="302">
        <v>3.4785888006738741</v>
      </c>
      <c r="L968" s="302">
        <f t="shared" si="354"/>
        <v>4.9632140953483228</v>
      </c>
      <c r="M968" s="236"/>
      <c r="N968" s="236"/>
    </row>
    <row r="969" spans="1:14" x14ac:dyDescent="0.3">
      <c r="A969" s="237" t="str">
        <f>name!E$12</f>
        <v>Elementary occupations</v>
      </c>
      <c r="B969" s="302">
        <v>16.522506147780405</v>
      </c>
      <c r="C969" s="302">
        <v>18.03238386549992</v>
      </c>
      <c r="D969" s="302">
        <f t="shared" si="352"/>
        <v>34.554890013280328</v>
      </c>
      <c r="E969" s="303"/>
      <c r="F969" s="302">
        <v>15.583726990632208</v>
      </c>
      <c r="G969" s="302">
        <v>15.912503378798599</v>
      </c>
      <c r="H969" s="302">
        <f t="shared" si="353"/>
        <v>31.496230369430805</v>
      </c>
      <c r="I969" s="303"/>
      <c r="J969" s="302">
        <v>15.982735678682724</v>
      </c>
      <c r="K969" s="302">
        <v>18.470383500446118</v>
      </c>
      <c r="L969" s="302">
        <f t="shared" si="354"/>
        <v>34.453119179128841</v>
      </c>
      <c r="M969" s="236"/>
      <c r="N969" s="236"/>
    </row>
    <row r="970" spans="1:14" x14ac:dyDescent="0.3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  <c r="N970" s="236"/>
    </row>
    <row r="971" spans="1:14" x14ac:dyDescent="0.3">
      <c r="A971" s="244" t="s">
        <v>32</v>
      </c>
      <c r="B971" s="311">
        <f>SUM(B961:B969)</f>
        <v>99.750999999589581</v>
      </c>
      <c r="C971" s="311">
        <f t="shared" ref="C971:D971" si="355">SUM(C961:C969)</f>
        <v>131.9899999994438</v>
      </c>
      <c r="D971" s="311">
        <f t="shared" si="355"/>
        <v>231.74099999903336</v>
      </c>
      <c r="E971" s="311"/>
      <c r="F971" s="311">
        <f t="shared" ref="F971:H971" si="356">SUM(F961:F969)</f>
        <v>123.60999999896623</v>
      </c>
      <c r="G971" s="311">
        <f t="shared" si="356"/>
        <v>136.05500000049472</v>
      </c>
      <c r="H971" s="311">
        <f t="shared" si="356"/>
        <v>259.66499999946097</v>
      </c>
      <c r="I971" s="311"/>
      <c r="J971" s="311">
        <f t="shared" ref="J971:L971" si="357">SUM(J961:J969)</f>
        <v>159.41100000079203</v>
      </c>
      <c r="K971" s="311">
        <f t="shared" si="357"/>
        <v>168.35500000134215</v>
      </c>
      <c r="L971" s="311">
        <f t="shared" si="357"/>
        <v>327.76600000213426</v>
      </c>
      <c r="M971" s="236"/>
      <c r="N971" s="236"/>
    </row>
    <row r="972" spans="1:14" x14ac:dyDescent="0.3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  <c r="N972" s="236"/>
    </row>
    <row r="973" spans="1:14" x14ac:dyDescent="0.3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56" t="s">
        <v>35</v>
      </c>
      <c r="M973" s="236"/>
      <c r="N973" s="236"/>
    </row>
    <row r="974" spans="1:14" x14ac:dyDescent="0.3">
      <c r="A974" s="242"/>
      <c r="B974" s="250"/>
      <c r="C974" s="250"/>
      <c r="D974" s="250"/>
      <c r="E974" s="250"/>
      <c r="F974" s="250"/>
      <c r="G974" s="250"/>
      <c r="H974" s="250"/>
      <c r="I974" s="250"/>
      <c r="J974" s="250"/>
      <c r="K974" s="250"/>
      <c r="L974" s="236"/>
      <c r="M974" s="236"/>
      <c r="N974" s="236"/>
    </row>
    <row r="975" spans="1:14" x14ac:dyDescent="0.3">
      <c r="A975" s="241" t="str">
        <f>name!A60</f>
        <v>Veterinary</v>
      </c>
      <c r="B975" s="373">
        <f>B$6</f>
        <v>2015</v>
      </c>
      <c r="C975" s="373"/>
      <c r="D975" s="373"/>
      <c r="E975" s="253"/>
      <c r="F975" s="373">
        <f>F$6</f>
        <v>2020</v>
      </c>
      <c r="G975" s="373"/>
      <c r="H975" s="373"/>
      <c r="I975" s="253"/>
      <c r="J975" s="373">
        <f>J$6</f>
        <v>2035</v>
      </c>
      <c r="K975" s="373"/>
      <c r="L975" s="373"/>
      <c r="M975" s="236"/>
      <c r="N975" s="236"/>
    </row>
    <row r="976" spans="1:14" x14ac:dyDescent="0.3">
      <c r="A976" s="254"/>
      <c r="B976" s="255" t="s">
        <v>352</v>
      </c>
      <c r="C976" s="255" t="s">
        <v>353</v>
      </c>
      <c r="D976" s="255" t="s">
        <v>32</v>
      </c>
      <c r="E976" s="255"/>
      <c r="F976" s="255" t="s">
        <v>352</v>
      </c>
      <c r="G976" s="255" t="s">
        <v>353</v>
      </c>
      <c r="H976" s="255" t="s">
        <v>32</v>
      </c>
      <c r="I976" s="255"/>
      <c r="J976" s="255" t="s">
        <v>352</v>
      </c>
      <c r="K976" s="255" t="s">
        <v>353</v>
      </c>
      <c r="L976" s="255" t="s">
        <v>32</v>
      </c>
      <c r="M976" s="236"/>
      <c r="N976" s="236"/>
    </row>
    <row r="977" spans="1:14" x14ac:dyDescent="0.3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  <c r="N977" s="236"/>
    </row>
    <row r="978" spans="1:14" x14ac:dyDescent="0.3">
      <c r="A978" s="237" t="str">
        <f>name!E$4</f>
        <v>Managers, directors and senior officials</v>
      </c>
      <c r="B978" s="302">
        <v>1.9197420059270065</v>
      </c>
      <c r="C978" s="302">
        <v>2.2808241977832275</v>
      </c>
      <c r="D978" s="302">
        <f>SUM(B978:C978)</f>
        <v>4.2005662037102338</v>
      </c>
      <c r="E978" s="303"/>
      <c r="F978" s="302">
        <v>3.084878162347465</v>
      </c>
      <c r="G978" s="302">
        <v>3.0137040480994557</v>
      </c>
      <c r="H978" s="302">
        <f>SUM(F978:G978)</f>
        <v>6.0985822104469207</v>
      </c>
      <c r="I978" s="303"/>
      <c r="J978" s="302">
        <v>4.4568285271713348</v>
      </c>
      <c r="K978" s="302">
        <v>3.3782845036129898</v>
      </c>
      <c r="L978" s="302">
        <f>SUM(J978:K978)</f>
        <v>7.8351130307843242</v>
      </c>
      <c r="M978" s="236"/>
      <c r="N978" s="236"/>
    </row>
    <row r="979" spans="1:14" x14ac:dyDescent="0.3">
      <c r="A979" s="237" t="str">
        <f>name!E$5</f>
        <v>Professional occupations</v>
      </c>
      <c r="B979" s="302">
        <v>14.73965074786754</v>
      </c>
      <c r="C979" s="302">
        <v>11.530857596863182</v>
      </c>
      <c r="D979" s="302">
        <f t="shared" ref="D979:D986" si="358">SUM(B979:C979)</f>
        <v>26.270508344730722</v>
      </c>
      <c r="E979" s="303"/>
      <c r="F979" s="302">
        <v>23.620176510141491</v>
      </c>
      <c r="G979" s="302">
        <v>16.042054240799931</v>
      </c>
      <c r="H979" s="302">
        <f t="shared" ref="H979:H986" si="359">SUM(F979:G979)</f>
        <v>39.662230750941418</v>
      </c>
      <c r="I979" s="303"/>
      <c r="J979" s="302">
        <v>34.466610313289245</v>
      </c>
      <c r="K979" s="302">
        <v>19.821512665877052</v>
      </c>
      <c r="L979" s="302">
        <f t="shared" ref="L979:L986" si="360">SUM(J979:K979)</f>
        <v>54.288122979166296</v>
      </c>
      <c r="M979" s="236"/>
      <c r="N979" s="236"/>
    </row>
    <row r="980" spans="1:14" x14ac:dyDescent="0.3">
      <c r="A980" s="237" t="str">
        <f>name!E$6</f>
        <v>Associate professional occupations</v>
      </c>
      <c r="B980" s="302">
        <v>6.8747870125130417</v>
      </c>
      <c r="C980" s="302">
        <v>4.7460216428379152</v>
      </c>
      <c r="D980" s="302">
        <f t="shared" si="358"/>
        <v>11.620808655350956</v>
      </c>
      <c r="E980" s="303"/>
      <c r="F980" s="302">
        <v>10.151362201569253</v>
      </c>
      <c r="G980" s="302">
        <v>5.8478451756624219</v>
      </c>
      <c r="H980" s="302">
        <f t="shared" si="359"/>
        <v>15.999207377231674</v>
      </c>
      <c r="I980" s="303"/>
      <c r="J980" s="302">
        <v>14.215812166760626</v>
      </c>
      <c r="K980" s="302">
        <v>6.4818959540104419</v>
      </c>
      <c r="L980" s="302">
        <f t="shared" si="360"/>
        <v>20.697708120771068</v>
      </c>
      <c r="M980" s="236"/>
      <c r="N980" s="236"/>
    </row>
    <row r="981" spans="1:14" x14ac:dyDescent="0.3">
      <c r="A981" s="237" t="str">
        <f>name!E$7</f>
        <v>Administrative and secretarial occupations</v>
      </c>
      <c r="B981" s="302">
        <v>4.5858725187035594</v>
      </c>
      <c r="C981" s="302">
        <v>1.8567008300883729</v>
      </c>
      <c r="D981" s="302">
        <f t="shared" si="358"/>
        <v>6.4425733487919326</v>
      </c>
      <c r="E981" s="303"/>
      <c r="F981" s="302">
        <v>6.0992506819154562</v>
      </c>
      <c r="G981" s="302">
        <v>2.1526898622569033</v>
      </c>
      <c r="H981" s="302">
        <f t="shared" si="359"/>
        <v>8.2519405441723599</v>
      </c>
      <c r="I981" s="303"/>
      <c r="J981" s="302">
        <v>4.6259891044510599</v>
      </c>
      <c r="K981" s="302">
        <v>2.4005982909613781</v>
      </c>
      <c r="L981" s="302">
        <f t="shared" si="360"/>
        <v>7.026587395412438</v>
      </c>
      <c r="M981" s="236"/>
      <c r="N981" s="236"/>
    </row>
    <row r="982" spans="1:14" x14ac:dyDescent="0.3">
      <c r="A982" s="237" t="str">
        <f>name!E$8</f>
        <v>Skilled trades occupations</v>
      </c>
      <c r="B982" s="302">
        <v>0.34890059589888972</v>
      </c>
      <c r="C982" s="302">
        <v>1.0583834155150349</v>
      </c>
      <c r="D982" s="302">
        <f t="shared" si="358"/>
        <v>1.4072840114139247</v>
      </c>
      <c r="E982" s="303"/>
      <c r="F982" s="302">
        <v>0.41585153427259763</v>
      </c>
      <c r="G982" s="302">
        <v>0.96794318572218074</v>
      </c>
      <c r="H982" s="302">
        <f t="shared" si="359"/>
        <v>1.3837947199947784</v>
      </c>
      <c r="I982" s="303"/>
      <c r="J982" s="302">
        <v>0.36452085180067345</v>
      </c>
      <c r="K982" s="302">
        <v>0.88000580967313968</v>
      </c>
      <c r="L982" s="302">
        <f t="shared" si="360"/>
        <v>1.2445266614738131</v>
      </c>
      <c r="M982" s="236"/>
      <c r="N982" s="236"/>
    </row>
    <row r="983" spans="1:14" x14ac:dyDescent="0.3">
      <c r="A983" s="237" t="str">
        <f>name!E$9</f>
        <v>Caring, leisure and other service occupations</v>
      </c>
      <c r="B983" s="302">
        <v>20.670638571332908</v>
      </c>
      <c r="C983" s="302">
        <v>7.0641827924302643</v>
      </c>
      <c r="D983" s="302">
        <f t="shared" si="358"/>
        <v>27.734821363763174</v>
      </c>
      <c r="E983" s="303"/>
      <c r="F983" s="302">
        <v>28.341573040234103</v>
      </c>
      <c r="G983" s="302">
        <v>9.0657961093141637</v>
      </c>
      <c r="H983" s="302">
        <f t="shared" si="359"/>
        <v>37.407369149548266</v>
      </c>
      <c r="I983" s="303"/>
      <c r="J983" s="302">
        <v>37.781347074143042</v>
      </c>
      <c r="K983" s="302">
        <v>15.162268374886549</v>
      </c>
      <c r="L983" s="302">
        <f t="shared" si="360"/>
        <v>52.943615449029593</v>
      </c>
      <c r="M983" s="236"/>
      <c r="N983" s="236"/>
    </row>
    <row r="984" spans="1:14" x14ac:dyDescent="0.3">
      <c r="A984" s="237" t="str">
        <f>name!E$10</f>
        <v>Sales and customer service occupations</v>
      </c>
      <c r="B984" s="302">
        <v>0.67086016184057962</v>
      </c>
      <c r="C984" s="302">
        <v>0.40344032237966032</v>
      </c>
      <c r="D984" s="302">
        <f t="shared" si="358"/>
        <v>1.0743004842202399</v>
      </c>
      <c r="E984" s="303"/>
      <c r="F984" s="302">
        <v>0.82995053006944686</v>
      </c>
      <c r="G984" s="302">
        <v>0.42968556739700092</v>
      </c>
      <c r="H984" s="302">
        <f t="shared" si="359"/>
        <v>1.2596360974664478</v>
      </c>
      <c r="I984" s="303"/>
      <c r="J984" s="302">
        <v>1.1053519882113636</v>
      </c>
      <c r="K984" s="302">
        <v>0.49670746520790959</v>
      </c>
      <c r="L984" s="302">
        <f t="shared" si="360"/>
        <v>1.6020594534192731</v>
      </c>
      <c r="M984" s="236"/>
      <c r="N984" s="236"/>
    </row>
    <row r="985" spans="1:14" x14ac:dyDescent="0.3">
      <c r="A985" s="237" t="str">
        <f>name!E$11</f>
        <v>Process, plant and machine operatives</v>
      </c>
      <c r="B985" s="302">
        <v>0.10628628593397989</v>
      </c>
      <c r="C985" s="302">
        <v>0.53956396456996458</v>
      </c>
      <c r="D985" s="302">
        <f t="shared" si="358"/>
        <v>0.64585025050394451</v>
      </c>
      <c r="E985" s="303"/>
      <c r="F985" s="302">
        <v>0.11279186636189972</v>
      </c>
      <c r="G985" s="302">
        <v>0.53591297367542934</v>
      </c>
      <c r="H985" s="302">
        <f t="shared" si="359"/>
        <v>0.64870484003732909</v>
      </c>
      <c r="I985" s="303"/>
      <c r="J985" s="302">
        <v>0.11772783874823706</v>
      </c>
      <c r="K985" s="302">
        <v>0.50181067914172495</v>
      </c>
      <c r="L985" s="302">
        <f t="shared" si="360"/>
        <v>0.61953851788996195</v>
      </c>
      <c r="M985" s="236"/>
      <c r="N985" s="236"/>
    </row>
    <row r="986" spans="1:14" x14ac:dyDescent="0.3">
      <c r="A986" s="237" t="str">
        <f>name!E$12</f>
        <v>Elementary occupations</v>
      </c>
      <c r="B986" s="302">
        <v>1.1832620982440873</v>
      </c>
      <c r="C986" s="302">
        <v>1.4030252375191994</v>
      </c>
      <c r="D986" s="302">
        <f t="shared" si="358"/>
        <v>2.586287335763287</v>
      </c>
      <c r="E986" s="303"/>
      <c r="F986" s="302">
        <v>1.2611654740715972</v>
      </c>
      <c r="G986" s="302">
        <v>1.3103688371112858</v>
      </c>
      <c r="H986" s="302">
        <f t="shared" si="359"/>
        <v>2.5715343111828828</v>
      </c>
      <c r="I986" s="303"/>
      <c r="J986" s="302">
        <v>1.0248121355238931</v>
      </c>
      <c r="K986" s="302">
        <v>1.2899162567407332</v>
      </c>
      <c r="L986" s="302">
        <f t="shared" si="360"/>
        <v>2.3147283922646262</v>
      </c>
      <c r="M986" s="236"/>
      <c r="N986" s="236"/>
    </row>
    <row r="987" spans="1:14" x14ac:dyDescent="0.3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  <c r="N987" s="236"/>
    </row>
    <row r="988" spans="1:14" x14ac:dyDescent="0.3">
      <c r="A988" s="244" t="s">
        <v>32</v>
      </c>
      <c r="B988" s="311">
        <f>SUM(B978:B986)</f>
        <v>51.099999998261595</v>
      </c>
      <c r="C988" s="311">
        <f t="shared" ref="C988:D988" si="361">SUM(C978:C986)</f>
        <v>30.882999999986819</v>
      </c>
      <c r="D988" s="311">
        <f t="shared" si="361"/>
        <v>81.982999998248417</v>
      </c>
      <c r="E988" s="311"/>
      <c r="F988" s="311">
        <f t="shared" ref="F988:H988" si="362">SUM(F978:F986)</f>
        <v>73.917000000983322</v>
      </c>
      <c r="G988" s="311">
        <f t="shared" si="362"/>
        <v>39.366000000038774</v>
      </c>
      <c r="H988" s="311">
        <f t="shared" si="362"/>
        <v>113.28300000102207</v>
      </c>
      <c r="I988" s="311"/>
      <c r="J988" s="311">
        <f t="shared" ref="J988:L988" si="363">SUM(J978:J986)</f>
        <v>98.159000000099468</v>
      </c>
      <c r="K988" s="311">
        <f t="shared" si="363"/>
        <v>50.413000000111914</v>
      </c>
      <c r="L988" s="311">
        <f t="shared" si="363"/>
        <v>148.57200000021137</v>
      </c>
      <c r="M988" s="236"/>
      <c r="N988" s="236"/>
    </row>
    <row r="989" spans="1:14" x14ac:dyDescent="0.3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  <c r="N989" s="236"/>
    </row>
    <row r="990" spans="1:14" x14ac:dyDescent="0.3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56" t="s">
        <v>35</v>
      </c>
      <c r="M990" s="236"/>
      <c r="N990" s="236"/>
    </row>
    <row r="991" spans="1:14" x14ac:dyDescent="0.3">
      <c r="A991" s="242"/>
      <c r="B991" s="250"/>
      <c r="C991" s="250"/>
      <c r="D991" s="250"/>
      <c r="E991" s="250"/>
      <c r="F991" s="250"/>
      <c r="G991" s="250"/>
      <c r="H991" s="250"/>
      <c r="I991" s="250"/>
      <c r="J991" s="250"/>
      <c r="K991" s="250"/>
      <c r="L991" s="236"/>
      <c r="M991" s="236"/>
      <c r="N991" s="236"/>
    </row>
    <row r="992" spans="1:14" x14ac:dyDescent="0.3">
      <c r="A992" s="241" t="str">
        <f>name!A61</f>
        <v>Rental and leasing</v>
      </c>
      <c r="B992" s="373">
        <f>B$6</f>
        <v>2015</v>
      </c>
      <c r="C992" s="373"/>
      <c r="D992" s="373"/>
      <c r="E992" s="253"/>
      <c r="F992" s="373">
        <f>F$6</f>
        <v>2020</v>
      </c>
      <c r="G992" s="373"/>
      <c r="H992" s="373"/>
      <c r="I992" s="253"/>
      <c r="J992" s="373">
        <f>J$6</f>
        <v>2035</v>
      </c>
      <c r="K992" s="373"/>
      <c r="L992" s="373"/>
      <c r="M992" s="236"/>
      <c r="N992" s="236"/>
    </row>
    <row r="993" spans="1:14" x14ac:dyDescent="0.3">
      <c r="A993" s="254"/>
      <c r="B993" s="255" t="s">
        <v>352</v>
      </c>
      <c r="C993" s="255" t="s">
        <v>353</v>
      </c>
      <c r="D993" s="255" t="s">
        <v>32</v>
      </c>
      <c r="E993" s="255"/>
      <c r="F993" s="255" t="s">
        <v>352</v>
      </c>
      <c r="G993" s="255" t="s">
        <v>353</v>
      </c>
      <c r="H993" s="255" t="s">
        <v>32</v>
      </c>
      <c r="I993" s="255"/>
      <c r="J993" s="255" t="s">
        <v>352</v>
      </c>
      <c r="K993" s="255" t="s">
        <v>353</v>
      </c>
      <c r="L993" s="255" t="s">
        <v>32</v>
      </c>
      <c r="M993" s="236"/>
      <c r="N993" s="236"/>
    </row>
    <row r="994" spans="1:14" x14ac:dyDescent="0.3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  <c r="N994" s="236"/>
    </row>
    <row r="995" spans="1:14" x14ac:dyDescent="0.3">
      <c r="A995" s="237" t="str">
        <f>name!E$4</f>
        <v>Managers, directors and senior officials</v>
      </c>
      <c r="B995" s="302">
        <v>3.583201833341116</v>
      </c>
      <c r="C995" s="302">
        <v>26.841355239840457</v>
      </c>
      <c r="D995" s="302">
        <f>SUM(B995:C995)</f>
        <v>30.424557073181575</v>
      </c>
      <c r="E995" s="303"/>
      <c r="F995" s="302">
        <v>4.2933796730539528</v>
      </c>
      <c r="G995" s="302">
        <v>26.691514246319965</v>
      </c>
      <c r="H995" s="302">
        <f>SUM(F995:G995)</f>
        <v>30.984893919373917</v>
      </c>
      <c r="I995" s="303"/>
      <c r="J995" s="302">
        <v>5.2432659314275956</v>
      </c>
      <c r="K995" s="302">
        <v>31.436705721541635</v>
      </c>
      <c r="L995" s="302">
        <f>SUM(J995:K995)</f>
        <v>36.679971652969229</v>
      </c>
      <c r="M995" s="236"/>
      <c r="N995" s="236"/>
    </row>
    <row r="996" spans="1:14" x14ac:dyDescent="0.3">
      <c r="A996" s="237" t="str">
        <f>name!E$5</f>
        <v>Professional occupations</v>
      </c>
      <c r="B996" s="302">
        <v>4.131589972153777</v>
      </c>
      <c r="C996" s="302">
        <v>22.116483340117274</v>
      </c>
      <c r="D996" s="302">
        <f t="shared" ref="D996:D1003" si="364">SUM(B996:C996)</f>
        <v>26.24807331227105</v>
      </c>
      <c r="E996" s="303"/>
      <c r="F996" s="302">
        <v>5.2920686294969368</v>
      </c>
      <c r="G996" s="302">
        <v>24.150111218264271</v>
      </c>
      <c r="H996" s="302">
        <f t="shared" ref="H996:H1003" si="365">SUM(F996:G996)</f>
        <v>29.44217984776121</v>
      </c>
      <c r="I996" s="303"/>
      <c r="J996" s="302">
        <v>6.8031047582841415</v>
      </c>
      <c r="K996" s="302">
        <v>32.080163271714312</v>
      </c>
      <c r="L996" s="302">
        <f t="shared" ref="L996:L1003" si="366">SUM(J996:K996)</f>
        <v>38.883268029998455</v>
      </c>
      <c r="M996" s="236"/>
      <c r="N996" s="236"/>
    </row>
    <row r="997" spans="1:14" x14ac:dyDescent="0.3">
      <c r="A997" s="237" t="str">
        <f>name!E$6</f>
        <v>Associate professional occupations</v>
      </c>
      <c r="B997" s="302">
        <v>4.2855957389771389</v>
      </c>
      <c r="C997" s="302">
        <v>16.953323469425612</v>
      </c>
      <c r="D997" s="302">
        <f t="shared" si="364"/>
        <v>21.238919208402752</v>
      </c>
      <c r="E997" s="303"/>
      <c r="F997" s="302">
        <v>4.8499106999427735</v>
      </c>
      <c r="G997" s="302">
        <v>17.211937547584558</v>
      </c>
      <c r="H997" s="302">
        <f t="shared" si="365"/>
        <v>22.06184824752733</v>
      </c>
      <c r="I997" s="303"/>
      <c r="J997" s="302">
        <v>5.5926069373060487</v>
      </c>
      <c r="K997" s="302">
        <v>18.092312296833136</v>
      </c>
      <c r="L997" s="302">
        <f t="shared" si="366"/>
        <v>23.684919234139183</v>
      </c>
      <c r="M997" s="236"/>
      <c r="N997" s="236"/>
    </row>
    <row r="998" spans="1:14" x14ac:dyDescent="0.3">
      <c r="A998" s="237" t="str">
        <f>name!E$7</f>
        <v>Administrative and secretarial occupations</v>
      </c>
      <c r="B998" s="302">
        <v>10.028448696764773</v>
      </c>
      <c r="C998" s="302">
        <v>11.211524526938865</v>
      </c>
      <c r="D998" s="302">
        <f t="shared" si="364"/>
        <v>21.239973223703636</v>
      </c>
      <c r="E998" s="303"/>
      <c r="F998" s="302">
        <v>9.3439345948782098</v>
      </c>
      <c r="G998" s="302">
        <v>10.598101071914472</v>
      </c>
      <c r="H998" s="302">
        <f t="shared" si="365"/>
        <v>19.942035666792684</v>
      </c>
      <c r="I998" s="303"/>
      <c r="J998" s="302">
        <v>8.138473219234438</v>
      </c>
      <c r="K998" s="302">
        <v>12.895138778619659</v>
      </c>
      <c r="L998" s="302">
        <f t="shared" si="366"/>
        <v>21.033611997854095</v>
      </c>
      <c r="M998" s="236"/>
      <c r="N998" s="236"/>
    </row>
    <row r="999" spans="1:14" x14ac:dyDescent="0.3">
      <c r="A999" s="237" t="str">
        <f>name!E$8</f>
        <v>Skilled trades occupations</v>
      </c>
      <c r="B999" s="302">
        <v>0.77762021452454311</v>
      </c>
      <c r="C999" s="302">
        <v>19.588634102131525</v>
      </c>
      <c r="D999" s="302">
        <f t="shared" si="364"/>
        <v>20.366254316656068</v>
      </c>
      <c r="E999" s="303"/>
      <c r="F999" s="302">
        <v>0.90416760869493473</v>
      </c>
      <c r="G999" s="302">
        <v>13.901246792505024</v>
      </c>
      <c r="H999" s="302">
        <f t="shared" si="365"/>
        <v>14.805414401199959</v>
      </c>
      <c r="I999" s="303"/>
      <c r="J999" s="302">
        <v>1.817720802024549</v>
      </c>
      <c r="K999" s="302">
        <v>12.700839865199276</v>
      </c>
      <c r="L999" s="302">
        <f t="shared" si="366"/>
        <v>14.518560667223825</v>
      </c>
      <c r="M999" s="236"/>
      <c r="N999" s="236"/>
    </row>
    <row r="1000" spans="1:14" x14ac:dyDescent="0.3">
      <c r="A1000" s="237" t="str">
        <f>name!E$9</f>
        <v>Caring, leisure and other service occupations</v>
      </c>
      <c r="B1000" s="302">
        <v>0.94565724759782843</v>
      </c>
      <c r="C1000" s="302">
        <v>4.418543825010917</v>
      </c>
      <c r="D1000" s="302">
        <f t="shared" si="364"/>
        <v>5.3642010726087452</v>
      </c>
      <c r="E1000" s="303"/>
      <c r="F1000" s="302">
        <v>0.98585909657986892</v>
      </c>
      <c r="G1000" s="302">
        <v>4.1805770316777098</v>
      </c>
      <c r="H1000" s="302">
        <f t="shared" si="365"/>
        <v>5.1664361282575788</v>
      </c>
      <c r="I1000" s="303"/>
      <c r="J1000" s="302">
        <v>1.0212604189200762</v>
      </c>
      <c r="K1000" s="302">
        <v>6.5532138539217266</v>
      </c>
      <c r="L1000" s="302">
        <f t="shared" si="366"/>
        <v>7.5744742728418029</v>
      </c>
      <c r="M1000" s="236"/>
      <c r="N1000" s="236"/>
    </row>
    <row r="1001" spans="1:14" x14ac:dyDescent="0.3">
      <c r="A1001" s="237" t="str">
        <f>name!E$10</f>
        <v>Sales and customer service occupations</v>
      </c>
      <c r="B1001" s="302">
        <v>7.4732165400089219</v>
      </c>
      <c r="C1001" s="302">
        <v>9.246542321006304</v>
      </c>
      <c r="D1001" s="302">
        <f t="shared" si="364"/>
        <v>16.719758861015226</v>
      </c>
      <c r="E1001" s="303"/>
      <c r="F1001" s="302">
        <v>6.709404507678685</v>
      </c>
      <c r="G1001" s="302">
        <v>7.3027617313087756</v>
      </c>
      <c r="H1001" s="302">
        <f t="shared" si="365"/>
        <v>14.012166238987461</v>
      </c>
      <c r="I1001" s="303"/>
      <c r="J1001" s="302">
        <v>8.0706429830713766</v>
      </c>
      <c r="K1001" s="302">
        <v>7.3994762463314636</v>
      </c>
      <c r="L1001" s="302">
        <f t="shared" si="366"/>
        <v>15.47011922940284</v>
      </c>
      <c r="M1001" s="236"/>
      <c r="N1001" s="236"/>
    </row>
    <row r="1002" spans="1:14" x14ac:dyDescent="0.3">
      <c r="A1002" s="237" t="str">
        <f>name!E$11</f>
        <v>Process, plant and machine operatives</v>
      </c>
      <c r="B1002" s="302">
        <v>0.88440024905082737</v>
      </c>
      <c r="C1002" s="302">
        <v>23.789325431999753</v>
      </c>
      <c r="D1002" s="302">
        <f t="shared" si="364"/>
        <v>24.673725681050581</v>
      </c>
      <c r="E1002" s="303"/>
      <c r="F1002" s="302">
        <v>0.62127050781399218</v>
      </c>
      <c r="G1002" s="302">
        <v>19.405066019661724</v>
      </c>
      <c r="H1002" s="302">
        <f t="shared" si="365"/>
        <v>20.026336527475717</v>
      </c>
      <c r="I1002" s="303"/>
      <c r="J1002" s="302">
        <v>1.1490086418446026</v>
      </c>
      <c r="K1002" s="302">
        <v>19.454019535431964</v>
      </c>
      <c r="L1002" s="302">
        <f t="shared" si="366"/>
        <v>20.603028177276567</v>
      </c>
      <c r="M1002" s="236"/>
      <c r="N1002" s="236"/>
    </row>
    <row r="1003" spans="1:14" x14ac:dyDescent="0.3">
      <c r="A1003" s="237" t="str">
        <f>name!E$12</f>
        <v>Elementary occupations</v>
      </c>
      <c r="B1003" s="302">
        <v>1.9292695076817488</v>
      </c>
      <c r="C1003" s="302">
        <v>4.4152677438005759</v>
      </c>
      <c r="D1003" s="302">
        <f t="shared" si="364"/>
        <v>6.3445372514823246</v>
      </c>
      <c r="E1003" s="303"/>
      <c r="F1003" s="302">
        <v>1.6600046818308023</v>
      </c>
      <c r="G1003" s="302">
        <v>3.0086843407443977</v>
      </c>
      <c r="H1003" s="302">
        <f t="shared" si="365"/>
        <v>4.6686890225752</v>
      </c>
      <c r="I1003" s="303"/>
      <c r="J1003" s="302">
        <v>1.9369163077454701</v>
      </c>
      <c r="K1003" s="302">
        <v>3.0301304308692338</v>
      </c>
      <c r="L1003" s="302">
        <f t="shared" si="366"/>
        <v>4.9670467386147035</v>
      </c>
      <c r="M1003" s="236"/>
      <c r="N1003" s="236"/>
    </row>
    <row r="1004" spans="1:14" x14ac:dyDescent="0.3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  <c r="N1004" s="236"/>
    </row>
    <row r="1005" spans="1:14" x14ac:dyDescent="0.3">
      <c r="A1005" s="244" t="s">
        <v>32</v>
      </c>
      <c r="B1005" s="311">
        <f>SUM(B995:B1003)</f>
        <v>34.039000000100671</v>
      </c>
      <c r="C1005" s="311">
        <f t="shared" ref="C1005:D1005" si="367">SUM(C995:C1003)</f>
        <v>138.58100000027125</v>
      </c>
      <c r="D1005" s="311">
        <f t="shared" si="367"/>
        <v>172.62000000037196</v>
      </c>
      <c r="E1005" s="311"/>
      <c r="F1005" s="311">
        <f t="shared" ref="F1005:H1005" si="368">SUM(F995:F1003)</f>
        <v>34.659999999970154</v>
      </c>
      <c r="G1005" s="311">
        <f t="shared" si="368"/>
        <v>126.44999999998089</v>
      </c>
      <c r="H1005" s="311">
        <f t="shared" si="368"/>
        <v>161.10999999995101</v>
      </c>
      <c r="I1005" s="311"/>
      <c r="J1005" s="311">
        <f t="shared" ref="J1005:L1005" si="369">SUM(J995:J1003)</f>
        <v>39.772999999858293</v>
      </c>
      <c r="K1005" s="311">
        <f t="shared" si="369"/>
        <v>143.64200000046239</v>
      </c>
      <c r="L1005" s="311">
        <f t="shared" si="369"/>
        <v>183.41500000032073</v>
      </c>
      <c r="M1005" s="236"/>
      <c r="N1005" s="236"/>
    </row>
    <row r="1006" spans="1:14" x14ac:dyDescent="0.3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  <c r="N1006" s="236"/>
    </row>
    <row r="1007" spans="1:14" x14ac:dyDescent="0.3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56" t="s">
        <v>35</v>
      </c>
      <c r="M1007" s="236"/>
      <c r="N1007" s="236"/>
    </row>
    <row r="1008" spans="1:14" x14ac:dyDescent="0.3">
      <c r="A1008" s="242"/>
      <c r="B1008" s="250"/>
      <c r="C1008" s="250"/>
      <c r="D1008" s="250"/>
      <c r="E1008" s="250"/>
      <c r="F1008" s="250"/>
      <c r="G1008" s="250"/>
      <c r="H1008" s="250"/>
      <c r="I1008" s="250"/>
      <c r="J1008" s="250"/>
      <c r="K1008" s="250"/>
      <c r="L1008" s="236"/>
      <c r="M1008" s="236"/>
      <c r="N1008" s="236"/>
    </row>
    <row r="1009" spans="1:14" x14ac:dyDescent="0.3">
      <c r="A1009" s="241" t="str">
        <f>name!A62</f>
        <v>Employment activities</v>
      </c>
      <c r="B1009" s="373">
        <f>B$6</f>
        <v>2015</v>
      </c>
      <c r="C1009" s="373"/>
      <c r="D1009" s="373"/>
      <c r="E1009" s="253"/>
      <c r="F1009" s="373">
        <f>F$6</f>
        <v>2020</v>
      </c>
      <c r="G1009" s="373"/>
      <c r="H1009" s="373"/>
      <c r="I1009" s="253"/>
      <c r="J1009" s="373">
        <f>J$6</f>
        <v>2035</v>
      </c>
      <c r="K1009" s="373"/>
      <c r="L1009" s="373"/>
      <c r="M1009" s="236"/>
      <c r="N1009" s="236"/>
    </row>
    <row r="1010" spans="1:14" x14ac:dyDescent="0.3">
      <c r="A1010" s="254"/>
      <c r="B1010" s="255" t="s">
        <v>352</v>
      </c>
      <c r="C1010" s="255" t="s">
        <v>353</v>
      </c>
      <c r="D1010" s="255" t="s">
        <v>32</v>
      </c>
      <c r="E1010" s="255"/>
      <c r="F1010" s="255" t="s">
        <v>352</v>
      </c>
      <c r="G1010" s="255" t="s">
        <v>353</v>
      </c>
      <c r="H1010" s="255" t="s">
        <v>32</v>
      </c>
      <c r="I1010" s="255"/>
      <c r="J1010" s="255" t="s">
        <v>352</v>
      </c>
      <c r="K1010" s="255" t="s">
        <v>353</v>
      </c>
      <c r="L1010" s="255" t="s">
        <v>32</v>
      </c>
      <c r="M1010" s="236"/>
      <c r="N1010" s="236"/>
    </row>
    <row r="1011" spans="1:14" x14ac:dyDescent="0.3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  <c r="N1011" s="236"/>
    </row>
    <row r="1012" spans="1:14" x14ac:dyDescent="0.3">
      <c r="A1012" s="237" t="str">
        <f>name!E$4</f>
        <v>Managers, directors and senior officials</v>
      </c>
      <c r="B1012" s="302">
        <v>29.611680045925851</v>
      </c>
      <c r="C1012" s="302">
        <v>60.650035478638763</v>
      </c>
      <c r="D1012" s="302">
        <f>SUM(B1012:C1012)</f>
        <v>90.261715524564607</v>
      </c>
      <c r="E1012" s="303"/>
      <c r="F1012" s="302">
        <v>33.770174358441736</v>
      </c>
      <c r="G1012" s="302">
        <v>61.784755788105365</v>
      </c>
      <c r="H1012" s="302">
        <f>SUM(F1012:G1012)</f>
        <v>95.554930146547093</v>
      </c>
      <c r="I1012" s="303"/>
      <c r="J1012" s="302">
        <v>45.498946970115576</v>
      </c>
      <c r="K1012" s="302">
        <v>70.970923063301498</v>
      </c>
      <c r="L1012" s="302">
        <f>SUM(J1012:K1012)</f>
        <v>116.46987003341707</v>
      </c>
      <c r="M1012" s="236"/>
      <c r="N1012" s="236"/>
    </row>
    <row r="1013" spans="1:14" x14ac:dyDescent="0.3">
      <c r="A1013" s="237" t="str">
        <f>name!E$5</f>
        <v>Professional occupations</v>
      </c>
      <c r="B1013" s="302">
        <v>41.937452682211344</v>
      </c>
      <c r="C1013" s="302">
        <v>65.584888588768649</v>
      </c>
      <c r="D1013" s="302">
        <f t="shared" ref="D1013:D1020" si="370">SUM(B1013:C1013)</f>
        <v>107.52234127097999</v>
      </c>
      <c r="E1013" s="303"/>
      <c r="F1013" s="302">
        <v>52.276779340368634</v>
      </c>
      <c r="G1013" s="302">
        <v>75.525512864417365</v>
      </c>
      <c r="H1013" s="302">
        <f t="shared" ref="H1013:H1020" si="371">SUM(F1013:G1013)</f>
        <v>127.802292204786</v>
      </c>
      <c r="I1013" s="303"/>
      <c r="J1013" s="302">
        <v>69.342327605598015</v>
      </c>
      <c r="K1013" s="302">
        <v>100.99433357220047</v>
      </c>
      <c r="L1013" s="302">
        <f t="shared" ref="L1013:L1020" si="372">SUM(J1013:K1013)</f>
        <v>170.33666117779848</v>
      </c>
      <c r="M1013" s="236"/>
      <c r="N1013" s="236"/>
    </row>
    <row r="1014" spans="1:14" x14ac:dyDescent="0.3">
      <c r="A1014" s="237" t="str">
        <f>name!E$6</f>
        <v>Associate professional occupations</v>
      </c>
      <c r="B1014" s="302">
        <v>57.263637584943865</v>
      </c>
      <c r="C1014" s="302">
        <v>102.98411032746185</v>
      </c>
      <c r="D1014" s="302">
        <f t="shared" si="370"/>
        <v>160.24774791240571</v>
      </c>
      <c r="E1014" s="303"/>
      <c r="F1014" s="302">
        <v>64.489914318093668</v>
      </c>
      <c r="G1014" s="302">
        <v>102.5628879016655</v>
      </c>
      <c r="H1014" s="302">
        <f t="shared" si="371"/>
        <v>167.05280221975917</v>
      </c>
      <c r="I1014" s="303"/>
      <c r="J1014" s="302">
        <v>74.111524675727338</v>
      </c>
      <c r="K1014" s="302">
        <v>104.5811636870713</v>
      </c>
      <c r="L1014" s="302">
        <f t="shared" si="372"/>
        <v>178.69268836279863</v>
      </c>
      <c r="M1014" s="236"/>
      <c r="N1014" s="236"/>
    </row>
    <row r="1015" spans="1:14" x14ac:dyDescent="0.3">
      <c r="A1015" s="237" t="str">
        <f>name!E$7</f>
        <v>Administrative and secretarial occupations</v>
      </c>
      <c r="B1015" s="302">
        <v>72.64218322395476</v>
      </c>
      <c r="C1015" s="302">
        <v>40.581335805105653</v>
      </c>
      <c r="D1015" s="302">
        <f t="shared" si="370"/>
        <v>113.22351902906041</v>
      </c>
      <c r="E1015" s="303"/>
      <c r="F1015" s="302">
        <v>67.993047818764268</v>
      </c>
      <c r="G1015" s="302">
        <v>43.04558203515073</v>
      </c>
      <c r="H1015" s="302">
        <f t="shared" si="371"/>
        <v>111.038629853915</v>
      </c>
      <c r="I1015" s="303"/>
      <c r="J1015" s="302">
        <v>62.6972356082468</v>
      </c>
      <c r="K1015" s="302">
        <v>48.374555226641625</v>
      </c>
      <c r="L1015" s="302">
        <f t="shared" si="372"/>
        <v>111.07179083488842</v>
      </c>
      <c r="M1015" s="236"/>
      <c r="N1015" s="236"/>
    </row>
    <row r="1016" spans="1:14" x14ac:dyDescent="0.3">
      <c r="A1016" s="237" t="str">
        <f>name!E$8</f>
        <v>Skilled trades occupations</v>
      </c>
      <c r="B1016" s="302">
        <v>5.6653886073080892</v>
      </c>
      <c r="C1016" s="302">
        <v>33.875881689838664</v>
      </c>
      <c r="D1016" s="302">
        <f t="shared" si="370"/>
        <v>39.541270297146752</v>
      </c>
      <c r="E1016" s="303"/>
      <c r="F1016" s="302">
        <v>6.4699855437819496</v>
      </c>
      <c r="G1016" s="302">
        <v>22.975672465370987</v>
      </c>
      <c r="H1016" s="302">
        <f t="shared" si="371"/>
        <v>29.445658009152936</v>
      </c>
      <c r="I1016" s="303"/>
      <c r="J1016" s="302">
        <v>11.230259030492107</v>
      </c>
      <c r="K1016" s="302">
        <v>21.109645603610485</v>
      </c>
      <c r="L1016" s="302">
        <f t="shared" si="372"/>
        <v>32.339904634102595</v>
      </c>
      <c r="M1016" s="236"/>
      <c r="N1016" s="236"/>
    </row>
    <row r="1017" spans="1:14" x14ac:dyDescent="0.3">
      <c r="A1017" s="237" t="str">
        <f>name!E$9</f>
        <v>Caring, leisure and other service occupations</v>
      </c>
      <c r="B1017" s="302">
        <v>40.387468773953493</v>
      </c>
      <c r="C1017" s="302">
        <v>23.629573209057611</v>
      </c>
      <c r="D1017" s="302">
        <f t="shared" si="370"/>
        <v>64.017041983011097</v>
      </c>
      <c r="E1017" s="303"/>
      <c r="F1017" s="302">
        <v>39.462462345362795</v>
      </c>
      <c r="G1017" s="302">
        <v>25.843359646291063</v>
      </c>
      <c r="H1017" s="302">
        <f t="shared" si="371"/>
        <v>65.305821991653858</v>
      </c>
      <c r="I1017" s="303"/>
      <c r="J1017" s="302">
        <v>48.78087375614502</v>
      </c>
      <c r="K1017" s="302">
        <v>31.290817296656609</v>
      </c>
      <c r="L1017" s="302">
        <f t="shared" si="372"/>
        <v>80.071691052801626</v>
      </c>
      <c r="M1017" s="236"/>
      <c r="N1017" s="236"/>
    </row>
    <row r="1018" spans="1:14" x14ac:dyDescent="0.3">
      <c r="A1018" s="237" t="str">
        <f>name!E$10</f>
        <v>Sales and customer service occupations</v>
      </c>
      <c r="B1018" s="302">
        <v>25.164901845196464</v>
      </c>
      <c r="C1018" s="302">
        <v>44.05018411178996</v>
      </c>
      <c r="D1018" s="302">
        <f t="shared" si="370"/>
        <v>69.215085956986428</v>
      </c>
      <c r="E1018" s="303"/>
      <c r="F1018" s="302">
        <v>24.498700951414499</v>
      </c>
      <c r="G1018" s="302">
        <v>40.456242282565221</v>
      </c>
      <c r="H1018" s="302">
        <f t="shared" si="371"/>
        <v>64.954943233979719</v>
      </c>
      <c r="I1018" s="303"/>
      <c r="J1018" s="302">
        <v>34.861373142710043</v>
      </c>
      <c r="K1018" s="302">
        <v>52.570091004050433</v>
      </c>
      <c r="L1018" s="302">
        <f t="shared" si="372"/>
        <v>87.431464146760476</v>
      </c>
      <c r="M1018" s="236"/>
      <c r="N1018" s="236"/>
    </row>
    <row r="1019" spans="1:14" x14ac:dyDescent="0.3">
      <c r="A1019" s="237" t="str">
        <f>name!E$11</f>
        <v>Process, plant and machine operatives</v>
      </c>
      <c r="B1019" s="302">
        <v>4.4239153339726478</v>
      </c>
      <c r="C1019" s="302">
        <v>34.679041862783514</v>
      </c>
      <c r="D1019" s="302">
        <f t="shared" si="370"/>
        <v>39.102957196756165</v>
      </c>
      <c r="E1019" s="303"/>
      <c r="F1019" s="302">
        <v>3.5021531819921323</v>
      </c>
      <c r="G1019" s="302">
        <v>31.33934616155712</v>
      </c>
      <c r="H1019" s="302">
        <f t="shared" si="371"/>
        <v>34.841499343549252</v>
      </c>
      <c r="I1019" s="303"/>
      <c r="J1019" s="302">
        <v>5.7731807088900124</v>
      </c>
      <c r="K1019" s="302">
        <v>32.707517431059614</v>
      </c>
      <c r="L1019" s="302">
        <f t="shared" si="372"/>
        <v>38.480698139949624</v>
      </c>
      <c r="M1019" s="236"/>
      <c r="N1019" s="236"/>
    </row>
    <row r="1020" spans="1:14" ht="13.5" customHeight="1" x14ac:dyDescent="0.3">
      <c r="A1020" s="237" t="str">
        <f>name!E$12</f>
        <v>Elementary occupations</v>
      </c>
      <c r="B1020" s="302">
        <v>96.547371905010138</v>
      </c>
      <c r="C1020" s="302">
        <v>235.54894893096039</v>
      </c>
      <c r="D1020" s="302">
        <f t="shared" si="370"/>
        <v>332.09632083597052</v>
      </c>
      <c r="E1020" s="303"/>
      <c r="F1020" s="302">
        <v>82.364782140594897</v>
      </c>
      <c r="G1020" s="302">
        <v>198.26564085584448</v>
      </c>
      <c r="H1020" s="302">
        <f t="shared" si="371"/>
        <v>280.63042299643939</v>
      </c>
      <c r="I1020" s="303"/>
      <c r="J1020" s="302">
        <v>75.852278500637496</v>
      </c>
      <c r="K1020" s="302">
        <v>219.00095311804233</v>
      </c>
      <c r="L1020" s="302">
        <f t="shared" si="372"/>
        <v>294.85323161867984</v>
      </c>
      <c r="M1020" s="236"/>
      <c r="N1020" s="236"/>
    </row>
    <row r="1021" spans="1:14" ht="13.5" customHeight="1" x14ac:dyDescent="0.3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  <c r="N1021" s="236"/>
    </row>
    <row r="1022" spans="1:14" x14ac:dyDescent="0.3">
      <c r="A1022" s="244" t="s">
        <v>32</v>
      </c>
      <c r="B1022" s="311">
        <f>SUM(B1012:B1020)</f>
        <v>373.64400000247667</v>
      </c>
      <c r="C1022" s="311">
        <f t="shared" ref="C1022:D1022" si="373">SUM(C1012:C1020)</f>
        <v>641.58400000440508</v>
      </c>
      <c r="D1022" s="311">
        <f t="shared" si="373"/>
        <v>1015.2280000068818</v>
      </c>
      <c r="E1022" s="311"/>
      <c r="F1022" s="311">
        <f t="shared" ref="F1022:H1022" si="374">SUM(F1012:F1020)</f>
        <v>374.82799999881456</v>
      </c>
      <c r="G1022" s="311">
        <f t="shared" si="374"/>
        <v>601.79900000096768</v>
      </c>
      <c r="H1022" s="311">
        <f t="shared" si="374"/>
        <v>976.62699999978236</v>
      </c>
      <c r="I1022" s="311"/>
      <c r="J1022" s="311">
        <f t="shared" ref="J1022:L1022" si="375">SUM(J1012:J1020)</f>
        <v>428.1479999985624</v>
      </c>
      <c r="K1022" s="311">
        <f t="shared" si="375"/>
        <v>681.60000000263437</v>
      </c>
      <c r="L1022" s="311">
        <f t="shared" si="375"/>
        <v>1109.7480000011967</v>
      </c>
      <c r="M1022" s="236"/>
      <c r="N1022" s="236"/>
    </row>
    <row r="1023" spans="1:14" x14ac:dyDescent="0.3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  <c r="N1023" s="236"/>
    </row>
    <row r="1024" spans="1:14" x14ac:dyDescent="0.3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56" t="s">
        <v>35</v>
      </c>
      <c r="M1024" s="236"/>
      <c r="N1024" s="236"/>
    </row>
    <row r="1025" spans="1:14" x14ac:dyDescent="0.3">
      <c r="A1025" s="242"/>
      <c r="B1025" s="250"/>
      <c r="C1025" s="250"/>
      <c r="D1025" s="250"/>
      <c r="E1025" s="250"/>
      <c r="F1025" s="250"/>
      <c r="G1025" s="250"/>
      <c r="H1025" s="250"/>
      <c r="I1025" s="250"/>
      <c r="J1025" s="250"/>
      <c r="K1025" s="250"/>
      <c r="L1025" s="236"/>
      <c r="M1025" s="236"/>
      <c r="N1025" s="236"/>
    </row>
    <row r="1026" spans="1:14" x14ac:dyDescent="0.3">
      <c r="A1026" s="241" t="str">
        <f>name!A63</f>
        <v>Travel, etc</v>
      </c>
      <c r="B1026" s="373">
        <f>B$6</f>
        <v>2015</v>
      </c>
      <c r="C1026" s="373"/>
      <c r="D1026" s="373"/>
      <c r="E1026" s="253"/>
      <c r="F1026" s="373">
        <f>F$6</f>
        <v>2020</v>
      </c>
      <c r="G1026" s="373"/>
      <c r="H1026" s="373"/>
      <c r="I1026" s="253"/>
      <c r="J1026" s="373">
        <f>J$6</f>
        <v>2035</v>
      </c>
      <c r="K1026" s="373"/>
      <c r="L1026" s="373"/>
      <c r="M1026" s="236"/>
      <c r="N1026" s="236"/>
    </row>
    <row r="1027" spans="1:14" x14ac:dyDescent="0.3">
      <c r="A1027" s="254"/>
      <c r="B1027" s="255" t="s">
        <v>352</v>
      </c>
      <c r="C1027" s="255" t="s">
        <v>353</v>
      </c>
      <c r="D1027" s="255" t="s">
        <v>32</v>
      </c>
      <c r="E1027" s="255"/>
      <c r="F1027" s="255" t="s">
        <v>352</v>
      </c>
      <c r="G1027" s="255" t="s">
        <v>353</v>
      </c>
      <c r="H1027" s="255" t="s">
        <v>32</v>
      </c>
      <c r="I1027" s="255"/>
      <c r="J1027" s="255" t="s">
        <v>352</v>
      </c>
      <c r="K1027" s="255" t="s">
        <v>353</v>
      </c>
      <c r="L1027" s="255" t="s">
        <v>32</v>
      </c>
      <c r="M1027" s="236"/>
      <c r="N1027" s="236"/>
    </row>
    <row r="1028" spans="1:14" x14ac:dyDescent="0.3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  <c r="N1028" s="236"/>
    </row>
    <row r="1029" spans="1:14" x14ac:dyDescent="0.3">
      <c r="A1029" s="237" t="str">
        <f>name!E$4</f>
        <v>Managers, directors and senior officials</v>
      </c>
      <c r="B1029" s="302">
        <v>2.1961684786796019</v>
      </c>
      <c r="C1029" s="302">
        <v>7.8040781854919805</v>
      </c>
      <c r="D1029" s="302">
        <f>SUM(B1029:C1029)</f>
        <v>10.000246664171582</v>
      </c>
      <c r="E1029" s="303"/>
      <c r="F1029" s="302">
        <v>3.0355526838590254</v>
      </c>
      <c r="G1029" s="302">
        <v>9.0169031539700129</v>
      </c>
      <c r="H1029" s="302">
        <f>SUM(F1029:G1029)</f>
        <v>12.052455837829038</v>
      </c>
      <c r="I1029" s="303"/>
      <c r="J1029" s="302">
        <v>3.7327891541018761</v>
      </c>
      <c r="K1029" s="302">
        <v>10.587800511625955</v>
      </c>
      <c r="L1029" s="302">
        <f>SUM(J1029:K1029)</f>
        <v>14.320589665727832</v>
      </c>
      <c r="M1029" s="236"/>
      <c r="N1029" s="236"/>
    </row>
    <row r="1030" spans="1:14" x14ac:dyDescent="0.3">
      <c r="A1030" s="237" t="str">
        <f>name!E$5</f>
        <v>Professional occupations</v>
      </c>
      <c r="B1030" s="302">
        <v>1.3141443163856956</v>
      </c>
      <c r="C1030" s="302">
        <v>4.9017564526443351</v>
      </c>
      <c r="D1030" s="302">
        <f t="shared" ref="D1030:D1037" si="376">SUM(B1030:C1030)</f>
        <v>6.2159007690300303</v>
      </c>
      <c r="E1030" s="303"/>
      <c r="F1030" s="302">
        <v>1.9223609061620766</v>
      </c>
      <c r="G1030" s="302">
        <v>6.2925899680294757</v>
      </c>
      <c r="H1030" s="302">
        <f t="shared" ref="H1030:H1037" si="377">SUM(F1030:G1030)</f>
        <v>8.2149508741915529</v>
      </c>
      <c r="I1030" s="303"/>
      <c r="J1030" s="302">
        <v>2.6349377088701003</v>
      </c>
      <c r="K1030" s="302">
        <v>8.941658231605075</v>
      </c>
      <c r="L1030" s="302">
        <f t="shared" ref="L1030:L1037" si="378">SUM(J1030:K1030)</f>
        <v>11.576595940475176</v>
      </c>
      <c r="M1030" s="236"/>
      <c r="N1030" s="236"/>
    </row>
    <row r="1031" spans="1:14" x14ac:dyDescent="0.3">
      <c r="A1031" s="237" t="str">
        <f>name!E$6</f>
        <v>Associate professional occupations</v>
      </c>
      <c r="B1031" s="302">
        <v>1.6131755947911466</v>
      </c>
      <c r="C1031" s="302">
        <v>4.3276538351312617</v>
      </c>
      <c r="D1031" s="302">
        <f t="shared" si="376"/>
        <v>5.9408294299224078</v>
      </c>
      <c r="E1031" s="303"/>
      <c r="F1031" s="302">
        <v>1.9868157257692012</v>
      </c>
      <c r="G1031" s="302">
        <v>4.9957916437231216</v>
      </c>
      <c r="H1031" s="302">
        <f t="shared" si="377"/>
        <v>6.9826073694923227</v>
      </c>
      <c r="I1031" s="303"/>
      <c r="J1031" s="302">
        <v>2.4896853440572655</v>
      </c>
      <c r="K1031" s="302">
        <v>5.4148485618270561</v>
      </c>
      <c r="L1031" s="302">
        <f t="shared" si="378"/>
        <v>7.9045339058843211</v>
      </c>
      <c r="M1031" s="236"/>
      <c r="N1031" s="236"/>
    </row>
    <row r="1032" spans="1:14" x14ac:dyDescent="0.3">
      <c r="A1032" s="237" t="str">
        <f>name!E$7</f>
        <v>Administrative and secretarial occupations</v>
      </c>
      <c r="B1032" s="302">
        <v>6.4649084781010027</v>
      </c>
      <c r="C1032" s="302">
        <v>5.6836865034772268</v>
      </c>
      <c r="D1032" s="302">
        <f t="shared" si="376"/>
        <v>12.148594981578229</v>
      </c>
      <c r="E1032" s="303"/>
      <c r="F1032" s="302">
        <v>6.5689467219056361</v>
      </c>
      <c r="G1032" s="302">
        <v>6.5724025666428574</v>
      </c>
      <c r="H1032" s="302">
        <f t="shared" si="377"/>
        <v>13.141349288548493</v>
      </c>
      <c r="I1032" s="303"/>
      <c r="J1032" s="302">
        <v>6.0713304480022137</v>
      </c>
      <c r="K1032" s="302">
        <v>7.5599463463533949</v>
      </c>
      <c r="L1032" s="302">
        <f t="shared" si="378"/>
        <v>13.631276794355609</v>
      </c>
      <c r="M1032" s="236"/>
      <c r="N1032" s="236"/>
    </row>
    <row r="1033" spans="1:14" x14ac:dyDescent="0.3">
      <c r="A1033" s="237" t="str">
        <f>name!E$8</f>
        <v>Skilled trades occupations</v>
      </c>
      <c r="B1033" s="302">
        <v>0.25313236134530948</v>
      </c>
      <c r="C1033" s="302">
        <v>2.440094774641504</v>
      </c>
      <c r="D1033" s="302">
        <f t="shared" si="376"/>
        <v>2.6932271359868136</v>
      </c>
      <c r="E1033" s="303"/>
      <c r="F1033" s="302">
        <v>0.30067360821108641</v>
      </c>
      <c r="G1033" s="302">
        <v>1.863370298285536</v>
      </c>
      <c r="H1033" s="302">
        <f t="shared" si="377"/>
        <v>2.1640439064966226</v>
      </c>
      <c r="I1033" s="303"/>
      <c r="J1033" s="302">
        <v>0.67633204412000347</v>
      </c>
      <c r="K1033" s="302">
        <v>2.2399699646729103</v>
      </c>
      <c r="L1033" s="302">
        <f t="shared" si="378"/>
        <v>2.9163020087929139</v>
      </c>
      <c r="M1033" s="236"/>
      <c r="N1033" s="236"/>
    </row>
    <row r="1034" spans="1:14" x14ac:dyDescent="0.3">
      <c r="A1034" s="237" t="str">
        <f>name!E$9</f>
        <v>Caring, leisure and other service occupations</v>
      </c>
      <c r="B1034" s="302">
        <v>12.636637870629578</v>
      </c>
      <c r="C1034" s="302">
        <v>4.0601183283547888</v>
      </c>
      <c r="D1034" s="302">
        <f t="shared" si="376"/>
        <v>16.696756198984367</v>
      </c>
      <c r="E1034" s="303"/>
      <c r="F1034" s="302">
        <v>11.969719315419541</v>
      </c>
      <c r="G1034" s="302">
        <v>4.346499793673102</v>
      </c>
      <c r="H1034" s="302">
        <f t="shared" si="377"/>
        <v>16.316219109092643</v>
      </c>
      <c r="I1034" s="303"/>
      <c r="J1034" s="302">
        <v>12.558328160978435</v>
      </c>
      <c r="K1034" s="302">
        <v>5.3744422719115104</v>
      </c>
      <c r="L1034" s="302">
        <f t="shared" si="378"/>
        <v>17.932770432889946</v>
      </c>
      <c r="M1034" s="236"/>
      <c r="N1034" s="236"/>
    </row>
    <row r="1035" spans="1:14" x14ac:dyDescent="0.3">
      <c r="A1035" s="237" t="str">
        <f>name!E$10</f>
        <v>Sales and customer service occupations</v>
      </c>
      <c r="B1035" s="302">
        <v>2.4272580910446151</v>
      </c>
      <c r="C1035" s="302">
        <v>3.4757651472811038</v>
      </c>
      <c r="D1035" s="302">
        <f t="shared" si="376"/>
        <v>5.9030232383257193</v>
      </c>
      <c r="E1035" s="303"/>
      <c r="F1035" s="302">
        <v>2.3752594577222981</v>
      </c>
      <c r="G1035" s="302">
        <v>3.394083874898226</v>
      </c>
      <c r="H1035" s="302">
        <f t="shared" si="377"/>
        <v>5.7693433326205241</v>
      </c>
      <c r="I1035" s="303"/>
      <c r="J1035" s="302">
        <v>3.1285137190359755</v>
      </c>
      <c r="K1035" s="302">
        <v>4.3618892136464478</v>
      </c>
      <c r="L1035" s="302">
        <f t="shared" si="378"/>
        <v>7.4904029326824233</v>
      </c>
      <c r="M1035" s="236"/>
      <c r="N1035" s="236"/>
    </row>
    <row r="1036" spans="1:14" x14ac:dyDescent="0.3">
      <c r="A1036" s="237" t="str">
        <f>name!E$11</f>
        <v>Process, plant and machine operatives</v>
      </c>
      <c r="B1036" s="302">
        <v>0.99684006601312003</v>
      </c>
      <c r="C1036" s="302">
        <v>17.203276587347041</v>
      </c>
      <c r="D1036" s="302">
        <f t="shared" si="376"/>
        <v>18.200116653360162</v>
      </c>
      <c r="E1036" s="303"/>
      <c r="F1036" s="302">
        <v>0.97643892948156785</v>
      </c>
      <c r="G1036" s="302">
        <v>15.961335709835197</v>
      </c>
      <c r="H1036" s="302">
        <f t="shared" si="377"/>
        <v>16.937774639316764</v>
      </c>
      <c r="I1036" s="303"/>
      <c r="J1036" s="302">
        <v>2.1682060825331235</v>
      </c>
      <c r="K1036" s="302">
        <v>18.29201918336236</v>
      </c>
      <c r="L1036" s="302">
        <f t="shared" si="378"/>
        <v>20.460225265895485</v>
      </c>
      <c r="M1036" s="236"/>
      <c r="N1036" s="236"/>
    </row>
    <row r="1037" spans="1:14" x14ac:dyDescent="0.3">
      <c r="A1037" s="237" t="str">
        <f>name!E$12</f>
        <v>Elementary occupations</v>
      </c>
      <c r="B1037" s="302">
        <v>3.5107347432691887</v>
      </c>
      <c r="C1037" s="302">
        <v>16.983570186300181</v>
      </c>
      <c r="D1037" s="302">
        <f t="shared" si="376"/>
        <v>20.49430492956937</v>
      </c>
      <c r="E1037" s="303"/>
      <c r="F1037" s="302">
        <v>2.8152326512298407</v>
      </c>
      <c r="G1037" s="302">
        <v>13.768022990662343</v>
      </c>
      <c r="H1037" s="302">
        <f t="shared" si="377"/>
        <v>16.583255641892183</v>
      </c>
      <c r="I1037" s="303"/>
      <c r="J1037" s="302">
        <v>3.0588773381300345</v>
      </c>
      <c r="K1037" s="302">
        <v>12.023425715049678</v>
      </c>
      <c r="L1037" s="302">
        <f t="shared" si="378"/>
        <v>15.082303053179713</v>
      </c>
      <c r="M1037" s="236"/>
      <c r="N1037" s="236"/>
    </row>
    <row r="1038" spans="1:14" x14ac:dyDescent="0.3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  <c r="N1038" s="236"/>
    </row>
    <row r="1039" spans="1:14" x14ac:dyDescent="0.3">
      <c r="A1039" s="244" t="s">
        <v>32</v>
      </c>
      <c r="B1039" s="311">
        <f>SUM(B1029:B1037)</f>
        <v>31.41300000025926</v>
      </c>
      <c r="C1039" s="311">
        <f t="shared" ref="C1039:D1039" si="379">SUM(C1029:C1037)</f>
        <v>66.880000000669426</v>
      </c>
      <c r="D1039" s="311">
        <f t="shared" si="379"/>
        <v>98.293000000928672</v>
      </c>
      <c r="E1039" s="311"/>
      <c r="F1039" s="311">
        <f t="shared" ref="F1039:H1039" si="380">SUM(F1029:F1037)</f>
        <v>31.950999999760274</v>
      </c>
      <c r="G1039" s="311">
        <f t="shared" si="380"/>
        <v>66.210999999719874</v>
      </c>
      <c r="H1039" s="311">
        <f t="shared" si="380"/>
        <v>98.161999999480145</v>
      </c>
      <c r="I1039" s="311"/>
      <c r="J1039" s="311">
        <f t="shared" ref="J1039:L1039" si="381">SUM(J1029:J1037)</f>
        <v>36.518999999829028</v>
      </c>
      <c r="K1039" s="311">
        <f t="shared" si="381"/>
        <v>74.796000000054391</v>
      </c>
      <c r="L1039" s="311">
        <f t="shared" si="381"/>
        <v>111.31499999988343</v>
      </c>
      <c r="M1039" s="236"/>
      <c r="N1039" s="236"/>
    </row>
    <row r="1040" spans="1:14" x14ac:dyDescent="0.3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  <c r="N1040" s="236"/>
    </row>
    <row r="1041" spans="1:14" x14ac:dyDescent="0.3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56" t="s">
        <v>35</v>
      </c>
      <c r="M1041" s="236"/>
      <c r="N1041" s="236"/>
    </row>
    <row r="1042" spans="1:14" x14ac:dyDescent="0.3">
      <c r="A1042" s="242"/>
      <c r="B1042" s="250"/>
      <c r="C1042" s="250"/>
      <c r="D1042" s="250"/>
      <c r="E1042" s="250"/>
      <c r="F1042" s="250"/>
      <c r="G1042" s="250"/>
      <c r="H1042" s="250"/>
      <c r="I1042" s="250"/>
      <c r="J1042" s="250"/>
      <c r="K1042" s="250"/>
      <c r="L1042" s="236"/>
      <c r="M1042" s="236"/>
      <c r="N1042" s="236"/>
    </row>
    <row r="1043" spans="1:14" x14ac:dyDescent="0.3">
      <c r="A1043" s="241" t="str">
        <f>name!A64</f>
        <v>Security, etc</v>
      </c>
      <c r="B1043" s="373">
        <f>B$6</f>
        <v>2015</v>
      </c>
      <c r="C1043" s="373"/>
      <c r="D1043" s="373"/>
      <c r="E1043" s="253"/>
      <c r="F1043" s="373">
        <f>F$6</f>
        <v>2020</v>
      </c>
      <c r="G1043" s="373"/>
      <c r="H1043" s="373"/>
      <c r="I1043" s="253"/>
      <c r="J1043" s="373">
        <f>J$6</f>
        <v>2035</v>
      </c>
      <c r="K1043" s="373"/>
      <c r="L1043" s="373"/>
      <c r="M1043" s="236"/>
      <c r="N1043" s="236"/>
    </row>
    <row r="1044" spans="1:14" x14ac:dyDescent="0.3">
      <c r="A1044" s="254"/>
      <c r="B1044" s="255" t="s">
        <v>352</v>
      </c>
      <c r="C1044" s="255" t="s">
        <v>353</v>
      </c>
      <c r="D1044" s="255" t="s">
        <v>32</v>
      </c>
      <c r="E1044" s="255"/>
      <c r="F1044" s="255" t="s">
        <v>352</v>
      </c>
      <c r="G1044" s="255" t="s">
        <v>353</v>
      </c>
      <c r="H1044" s="255" t="s">
        <v>32</v>
      </c>
      <c r="I1044" s="255"/>
      <c r="J1044" s="255" t="s">
        <v>352</v>
      </c>
      <c r="K1044" s="255" t="s">
        <v>353</v>
      </c>
      <c r="L1044" s="255" t="s">
        <v>32</v>
      </c>
      <c r="M1044" s="236"/>
      <c r="N1044" s="236"/>
    </row>
    <row r="1045" spans="1:14" x14ac:dyDescent="0.3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  <c r="N1045" s="236"/>
    </row>
    <row r="1046" spans="1:14" x14ac:dyDescent="0.3">
      <c r="A1046" s="237" t="str">
        <f>name!E$4</f>
        <v>Managers, directors and senior officials</v>
      </c>
      <c r="B1046" s="302">
        <v>4.0867523827679957</v>
      </c>
      <c r="C1046" s="302">
        <v>15.575669055989387</v>
      </c>
      <c r="D1046" s="302">
        <f>SUM(B1046:C1046)</f>
        <v>19.662421438757384</v>
      </c>
      <c r="E1046" s="303"/>
      <c r="F1046" s="302">
        <v>5.1269333350247779</v>
      </c>
      <c r="G1046" s="302">
        <v>17.192608777572591</v>
      </c>
      <c r="H1046" s="302">
        <f>SUM(F1046:G1046)</f>
        <v>22.319542112597368</v>
      </c>
      <c r="I1046" s="303"/>
      <c r="J1046" s="302">
        <v>6.7499436762311067</v>
      </c>
      <c r="K1046" s="302">
        <v>19.747634843566882</v>
      </c>
      <c r="L1046" s="302">
        <f>SUM(J1046:K1046)</f>
        <v>26.49757851979799</v>
      </c>
      <c r="M1046" s="236"/>
      <c r="N1046" s="236"/>
    </row>
    <row r="1047" spans="1:14" x14ac:dyDescent="0.3">
      <c r="A1047" s="237" t="str">
        <f>name!E$5</f>
        <v>Professional occupations</v>
      </c>
      <c r="B1047" s="302">
        <v>5.9243809711478939</v>
      </c>
      <c r="C1047" s="302">
        <v>17.063134578049794</v>
      </c>
      <c r="D1047" s="302">
        <f t="shared" ref="D1047:D1054" si="382">SUM(B1047:C1047)</f>
        <v>22.987515549197688</v>
      </c>
      <c r="E1047" s="303"/>
      <c r="F1047" s="302">
        <v>8.0447047627681716</v>
      </c>
      <c r="G1047" s="302">
        <v>20.838950015849441</v>
      </c>
      <c r="H1047" s="302">
        <f t="shared" ref="H1047:H1054" si="383">SUM(F1047:G1047)</f>
        <v>28.883654778617611</v>
      </c>
      <c r="I1047" s="303"/>
      <c r="J1047" s="302">
        <v>10.664201265144976</v>
      </c>
      <c r="K1047" s="302">
        <v>27.129804539821027</v>
      </c>
      <c r="L1047" s="302">
        <f t="shared" ref="L1047:L1054" si="384">SUM(J1047:K1047)</f>
        <v>37.794005804966005</v>
      </c>
      <c r="M1047" s="236"/>
      <c r="N1047" s="236"/>
    </row>
    <row r="1048" spans="1:14" x14ac:dyDescent="0.3">
      <c r="A1048" s="237" t="str">
        <f>name!E$6</f>
        <v>Associate professional occupations</v>
      </c>
      <c r="B1048" s="302">
        <v>7.0273446565041811</v>
      </c>
      <c r="C1048" s="302">
        <v>25.920358873974642</v>
      </c>
      <c r="D1048" s="302">
        <f t="shared" si="382"/>
        <v>32.947703530478826</v>
      </c>
      <c r="E1048" s="303"/>
      <c r="F1048" s="302">
        <v>8.8448001995978203</v>
      </c>
      <c r="G1048" s="302">
        <v>28.099203463510634</v>
      </c>
      <c r="H1048" s="302">
        <f t="shared" si="383"/>
        <v>36.944003663108454</v>
      </c>
      <c r="I1048" s="303"/>
      <c r="J1048" s="302">
        <v>10.127767541456761</v>
      </c>
      <c r="K1048" s="302">
        <v>28.5646986814413</v>
      </c>
      <c r="L1048" s="302">
        <f t="shared" si="384"/>
        <v>38.692466222898062</v>
      </c>
      <c r="M1048" s="236"/>
      <c r="N1048" s="236"/>
    </row>
    <row r="1049" spans="1:14" x14ac:dyDescent="0.3">
      <c r="A1049" s="237" t="str">
        <f>name!E$7</f>
        <v>Administrative and secretarial occupations</v>
      </c>
      <c r="B1049" s="302">
        <v>10.146522332081197</v>
      </c>
      <c r="C1049" s="302">
        <v>9.1072847398989278</v>
      </c>
      <c r="D1049" s="302">
        <f t="shared" si="382"/>
        <v>19.253807071980127</v>
      </c>
      <c r="E1049" s="303"/>
      <c r="F1049" s="302">
        <v>11.084311407786712</v>
      </c>
      <c r="G1049" s="302">
        <v>10.780477851225371</v>
      </c>
      <c r="H1049" s="302">
        <f t="shared" si="383"/>
        <v>21.864789259012085</v>
      </c>
      <c r="I1049" s="303"/>
      <c r="J1049" s="302">
        <v>10.034150928452892</v>
      </c>
      <c r="K1049" s="302">
        <v>12.702831278976767</v>
      </c>
      <c r="L1049" s="302">
        <f t="shared" si="384"/>
        <v>22.736982207429659</v>
      </c>
      <c r="M1049" s="236"/>
      <c r="N1049" s="236"/>
    </row>
    <row r="1050" spans="1:14" x14ac:dyDescent="0.3">
      <c r="A1050" s="237" t="str">
        <f>name!E$8</f>
        <v>Skilled trades occupations</v>
      </c>
      <c r="B1050" s="302">
        <v>0.53364020471578599</v>
      </c>
      <c r="C1050" s="302">
        <v>7.4202527863872394</v>
      </c>
      <c r="D1050" s="302">
        <f t="shared" si="382"/>
        <v>7.9538929911030252</v>
      </c>
      <c r="E1050" s="303"/>
      <c r="F1050" s="302">
        <v>0.63162636526549709</v>
      </c>
      <c r="G1050" s="302">
        <v>5.7058743938085899</v>
      </c>
      <c r="H1050" s="302">
        <f t="shared" si="383"/>
        <v>6.3375007590740866</v>
      </c>
      <c r="I1050" s="303"/>
      <c r="J1050" s="302">
        <v>1.0584545159623626</v>
      </c>
      <c r="K1050" s="302">
        <v>5.0470334619160964</v>
      </c>
      <c r="L1050" s="302">
        <f t="shared" si="384"/>
        <v>6.1054879778784592</v>
      </c>
      <c r="M1050" s="236"/>
      <c r="N1050" s="236"/>
    </row>
    <row r="1051" spans="1:14" x14ac:dyDescent="0.3">
      <c r="A1051" s="237" t="str">
        <f>name!E$9</f>
        <v>Caring, leisure and other service occupations</v>
      </c>
      <c r="B1051" s="302">
        <v>5.2867444075943411</v>
      </c>
      <c r="C1051" s="302">
        <v>4.6117703098335543</v>
      </c>
      <c r="D1051" s="302">
        <f t="shared" si="382"/>
        <v>9.8985147174278953</v>
      </c>
      <c r="E1051" s="303"/>
      <c r="F1051" s="302">
        <v>5.8199253851036863</v>
      </c>
      <c r="G1051" s="302">
        <v>5.3314420095320569</v>
      </c>
      <c r="H1051" s="302">
        <f t="shared" si="383"/>
        <v>11.151367394635743</v>
      </c>
      <c r="I1051" s="303"/>
      <c r="J1051" s="302">
        <v>7.2397759119741441</v>
      </c>
      <c r="K1051" s="302">
        <v>6.5366201511782069</v>
      </c>
      <c r="L1051" s="302">
        <f t="shared" si="384"/>
        <v>13.776396063152351</v>
      </c>
      <c r="M1051" s="236"/>
      <c r="N1051" s="236"/>
    </row>
    <row r="1052" spans="1:14" x14ac:dyDescent="0.3">
      <c r="A1052" s="237" t="str">
        <f>name!E$10</f>
        <v>Sales and customer service occupations</v>
      </c>
      <c r="B1052" s="302">
        <v>3.5460970747494964</v>
      </c>
      <c r="C1052" s="302">
        <v>9.8436916802828467</v>
      </c>
      <c r="D1052" s="302">
        <f t="shared" si="382"/>
        <v>13.389788755032344</v>
      </c>
      <c r="E1052" s="303"/>
      <c r="F1052" s="302">
        <v>4.1057760585900178</v>
      </c>
      <c r="G1052" s="302">
        <v>10.048256444565432</v>
      </c>
      <c r="H1052" s="302">
        <f t="shared" si="383"/>
        <v>14.154032503155449</v>
      </c>
      <c r="I1052" s="303"/>
      <c r="J1052" s="302">
        <v>5.8968792172233986</v>
      </c>
      <c r="K1052" s="302">
        <v>12.985422726016809</v>
      </c>
      <c r="L1052" s="302">
        <f t="shared" si="384"/>
        <v>18.882301943240208</v>
      </c>
      <c r="M1052" s="236"/>
      <c r="N1052" s="236"/>
    </row>
    <row r="1053" spans="1:14" x14ac:dyDescent="0.3">
      <c r="A1053" s="237" t="str">
        <f>name!E$11</f>
        <v>Process, plant and machine operatives</v>
      </c>
      <c r="B1053" s="302">
        <v>0.66284570578013335</v>
      </c>
      <c r="C1053" s="302">
        <v>7.1928005278052165</v>
      </c>
      <c r="D1053" s="302">
        <f t="shared" si="382"/>
        <v>7.8556462335853503</v>
      </c>
      <c r="E1053" s="303"/>
      <c r="F1053" s="302">
        <v>0.60101046165288596</v>
      </c>
      <c r="G1053" s="302">
        <v>6.8183881196134859</v>
      </c>
      <c r="H1053" s="302">
        <f t="shared" si="383"/>
        <v>7.4193985812663721</v>
      </c>
      <c r="I1053" s="303"/>
      <c r="J1053" s="302">
        <v>1.0344134503327918</v>
      </c>
      <c r="K1053" s="302">
        <v>6.8285193034672798</v>
      </c>
      <c r="L1053" s="302">
        <f t="shared" si="384"/>
        <v>7.8629327538000719</v>
      </c>
      <c r="M1053" s="236"/>
      <c r="N1053" s="236"/>
    </row>
    <row r="1054" spans="1:14" x14ac:dyDescent="0.3">
      <c r="A1054" s="237" t="str">
        <f>name!E$12</f>
        <v>Elementary occupations</v>
      </c>
      <c r="B1054" s="302">
        <v>13.444672264989562</v>
      </c>
      <c r="C1054" s="302">
        <v>52.162037448997339</v>
      </c>
      <c r="D1054" s="302">
        <f t="shared" si="382"/>
        <v>65.606709713986902</v>
      </c>
      <c r="E1054" s="303"/>
      <c r="F1054" s="302">
        <v>12.6159120241457</v>
      </c>
      <c r="G1054" s="302">
        <v>47.78479892456874</v>
      </c>
      <c r="H1054" s="302">
        <f t="shared" si="383"/>
        <v>60.40071094871444</v>
      </c>
      <c r="I1054" s="303"/>
      <c r="J1054" s="302">
        <v>12.288413492973254</v>
      </c>
      <c r="K1054" s="302">
        <v>52.969435014254003</v>
      </c>
      <c r="L1054" s="302">
        <f t="shared" si="384"/>
        <v>65.257848507227251</v>
      </c>
      <c r="M1054" s="236"/>
      <c r="N1054" s="236"/>
    </row>
    <row r="1055" spans="1:14" x14ac:dyDescent="0.3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  <c r="N1055" s="236"/>
    </row>
    <row r="1056" spans="1:14" x14ac:dyDescent="0.3">
      <c r="A1056" s="244" t="s">
        <v>32</v>
      </c>
      <c r="B1056" s="311">
        <f>SUM(B1046:B1054)</f>
        <v>50.659000000330593</v>
      </c>
      <c r="C1056" s="311">
        <f t="shared" ref="C1056:D1056" si="385">SUM(C1046:C1054)</f>
        <v>148.89700000121894</v>
      </c>
      <c r="D1056" s="311">
        <f t="shared" si="385"/>
        <v>199.55600000154956</v>
      </c>
      <c r="E1056" s="311"/>
      <c r="F1056" s="311">
        <f t="shared" ref="F1056:H1056" si="386">SUM(F1046:F1054)</f>
        <v>56.87499999993527</v>
      </c>
      <c r="G1056" s="311">
        <f t="shared" si="386"/>
        <v>152.60000000024633</v>
      </c>
      <c r="H1056" s="311">
        <f t="shared" si="386"/>
        <v>209.47500000018161</v>
      </c>
      <c r="I1056" s="311"/>
      <c r="J1056" s="311">
        <f t="shared" ref="J1056:L1056" si="387">SUM(J1046:J1054)</f>
        <v>65.093999999751674</v>
      </c>
      <c r="K1056" s="311">
        <f t="shared" si="387"/>
        <v>172.51200000063835</v>
      </c>
      <c r="L1056" s="311">
        <f t="shared" si="387"/>
        <v>237.60600000039005</v>
      </c>
      <c r="M1056" s="236"/>
      <c r="N1056" s="236"/>
    </row>
    <row r="1057" spans="1:14" x14ac:dyDescent="0.3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  <c r="N1057" s="236"/>
    </row>
    <row r="1058" spans="1:14" x14ac:dyDescent="0.3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56" t="s">
        <v>35</v>
      </c>
      <c r="M1058" s="236"/>
      <c r="N1058" s="236"/>
    </row>
    <row r="1059" spans="1:14" x14ac:dyDescent="0.3">
      <c r="A1059" s="242"/>
      <c r="B1059" s="250"/>
      <c r="C1059" s="250"/>
      <c r="D1059" s="250"/>
      <c r="E1059" s="250"/>
      <c r="F1059" s="250"/>
      <c r="G1059" s="250"/>
      <c r="H1059" s="250"/>
      <c r="I1059" s="250"/>
      <c r="J1059" s="250"/>
      <c r="K1059" s="250"/>
      <c r="L1059" s="236"/>
      <c r="M1059" s="236"/>
      <c r="N1059" s="236"/>
    </row>
    <row r="1060" spans="1:14" x14ac:dyDescent="0.3">
      <c r="A1060" s="241" t="str">
        <f>name!A65</f>
        <v>Services to buildings</v>
      </c>
      <c r="B1060" s="373">
        <f>B$6</f>
        <v>2015</v>
      </c>
      <c r="C1060" s="373"/>
      <c r="D1060" s="373"/>
      <c r="E1060" s="253"/>
      <c r="F1060" s="373">
        <f>F$6</f>
        <v>2020</v>
      </c>
      <c r="G1060" s="373"/>
      <c r="H1060" s="373"/>
      <c r="I1060" s="253"/>
      <c r="J1060" s="373">
        <f>J$6</f>
        <v>2035</v>
      </c>
      <c r="K1060" s="373"/>
      <c r="L1060" s="373"/>
      <c r="M1060" s="236"/>
      <c r="N1060" s="236"/>
    </row>
    <row r="1061" spans="1:14" x14ac:dyDescent="0.3">
      <c r="A1061" s="254"/>
      <c r="B1061" s="255" t="s">
        <v>352</v>
      </c>
      <c r="C1061" s="255" t="s">
        <v>353</v>
      </c>
      <c r="D1061" s="255" t="s">
        <v>32</v>
      </c>
      <c r="E1061" s="255"/>
      <c r="F1061" s="255" t="s">
        <v>352</v>
      </c>
      <c r="G1061" s="255" t="s">
        <v>353</v>
      </c>
      <c r="H1061" s="255" t="s">
        <v>32</v>
      </c>
      <c r="I1061" s="255"/>
      <c r="J1061" s="255" t="s">
        <v>352</v>
      </c>
      <c r="K1061" s="255" t="s">
        <v>353</v>
      </c>
      <c r="L1061" s="255" t="s">
        <v>32</v>
      </c>
      <c r="M1061" s="236"/>
      <c r="N1061" s="236"/>
    </row>
    <row r="1062" spans="1:14" x14ac:dyDescent="0.3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  <c r="N1062" s="236"/>
    </row>
    <row r="1063" spans="1:14" x14ac:dyDescent="0.3">
      <c r="A1063" s="237" t="str">
        <f>name!E$4</f>
        <v>Managers, directors and senior officials</v>
      </c>
      <c r="B1063" s="302">
        <v>40.333245645244986</v>
      </c>
      <c r="C1063" s="302">
        <v>33.353816000751991</v>
      </c>
      <c r="D1063" s="302">
        <f>SUM(B1063:C1063)</f>
        <v>73.687061645996977</v>
      </c>
      <c r="E1063" s="303"/>
      <c r="F1063" s="302">
        <v>49.149546291102261</v>
      </c>
      <c r="G1063" s="302">
        <v>35.754729344409341</v>
      </c>
      <c r="H1063" s="302">
        <f>SUM(F1063:G1063)</f>
        <v>84.904275635511596</v>
      </c>
      <c r="I1063" s="303"/>
      <c r="J1063" s="302">
        <v>62.472123936690771</v>
      </c>
      <c r="K1063" s="302">
        <v>42.149370702871472</v>
      </c>
      <c r="L1063" s="302">
        <f>SUM(J1063:K1063)</f>
        <v>104.62149463956224</v>
      </c>
      <c r="M1063" s="236"/>
      <c r="N1063" s="236"/>
    </row>
    <row r="1064" spans="1:14" x14ac:dyDescent="0.3">
      <c r="A1064" s="237" t="str">
        <f>name!E$5</f>
        <v>Professional occupations</v>
      </c>
      <c r="B1064" s="302">
        <v>63.711396711003815</v>
      </c>
      <c r="C1064" s="302">
        <v>31.801758067228779</v>
      </c>
      <c r="D1064" s="302">
        <f t="shared" ref="D1064:D1071" si="388">SUM(B1064:C1064)</f>
        <v>95.51315477823259</v>
      </c>
      <c r="E1064" s="303"/>
      <c r="F1064" s="302">
        <v>77.410394716285808</v>
      </c>
      <c r="G1064" s="302">
        <v>38.920089140721437</v>
      </c>
      <c r="H1064" s="302">
        <f t="shared" ref="H1064:H1071" si="389">SUM(F1064:G1064)</f>
        <v>116.33048385700724</v>
      </c>
      <c r="I1064" s="303"/>
      <c r="J1064" s="302">
        <v>100.50385415676035</v>
      </c>
      <c r="K1064" s="302">
        <v>50.41218649686752</v>
      </c>
      <c r="L1064" s="302">
        <f t="shared" ref="L1064:L1071" si="390">SUM(J1064:K1064)</f>
        <v>150.91604065362787</v>
      </c>
      <c r="M1064" s="236"/>
      <c r="N1064" s="236"/>
    </row>
    <row r="1065" spans="1:14" x14ac:dyDescent="0.3">
      <c r="A1065" s="237" t="str">
        <f>name!E$6</f>
        <v>Associate professional occupations</v>
      </c>
      <c r="B1065" s="302">
        <v>68.666341779541227</v>
      </c>
      <c r="C1065" s="302">
        <v>42.83434524621768</v>
      </c>
      <c r="D1065" s="302">
        <f t="shared" si="388"/>
        <v>111.50068702575891</v>
      </c>
      <c r="E1065" s="303"/>
      <c r="F1065" s="302">
        <v>77.673713161743706</v>
      </c>
      <c r="G1065" s="302">
        <v>45.768012474388726</v>
      </c>
      <c r="H1065" s="302">
        <f t="shared" si="389"/>
        <v>123.44172563613243</v>
      </c>
      <c r="I1065" s="303"/>
      <c r="J1065" s="302">
        <v>92.24562637614585</v>
      </c>
      <c r="K1065" s="302">
        <v>46.037198577122815</v>
      </c>
      <c r="L1065" s="302">
        <f t="shared" si="390"/>
        <v>138.28282495326866</v>
      </c>
      <c r="M1065" s="236"/>
      <c r="N1065" s="236"/>
    </row>
    <row r="1066" spans="1:14" x14ac:dyDescent="0.3">
      <c r="A1066" s="237" t="str">
        <f>name!E$7</f>
        <v>Administrative and secretarial occupations</v>
      </c>
      <c r="B1066" s="302">
        <v>112.011586059731</v>
      </c>
      <c r="C1066" s="302">
        <v>17.86747057450328</v>
      </c>
      <c r="D1066" s="302">
        <f t="shared" si="388"/>
        <v>129.87905663423427</v>
      </c>
      <c r="E1066" s="303"/>
      <c r="F1066" s="302">
        <v>107.50614736267339</v>
      </c>
      <c r="G1066" s="302">
        <v>19.270796634652136</v>
      </c>
      <c r="H1066" s="302">
        <f t="shared" si="389"/>
        <v>126.77694399732553</v>
      </c>
      <c r="I1066" s="303"/>
      <c r="J1066" s="302">
        <v>105.38294455749245</v>
      </c>
      <c r="K1066" s="302">
        <v>22.22686512069923</v>
      </c>
      <c r="L1066" s="302">
        <f t="shared" si="390"/>
        <v>127.60980967819168</v>
      </c>
      <c r="M1066" s="236"/>
      <c r="N1066" s="236"/>
    </row>
    <row r="1067" spans="1:14" x14ac:dyDescent="0.3">
      <c r="A1067" s="237" t="str">
        <f>name!E$8</f>
        <v>Skilled trades occupations</v>
      </c>
      <c r="B1067" s="302">
        <v>7.6858162557025569</v>
      </c>
      <c r="C1067" s="302">
        <v>18.314683919353833</v>
      </c>
      <c r="D1067" s="302">
        <f t="shared" si="388"/>
        <v>26.000500175056388</v>
      </c>
      <c r="E1067" s="303"/>
      <c r="F1067" s="302">
        <v>8.5782565159177242</v>
      </c>
      <c r="G1067" s="302">
        <v>12.902427564235429</v>
      </c>
      <c r="H1067" s="302">
        <f t="shared" si="389"/>
        <v>21.480684080153154</v>
      </c>
      <c r="I1067" s="303"/>
      <c r="J1067" s="302">
        <v>16.055763440286636</v>
      </c>
      <c r="K1067" s="302">
        <v>12.01782470360628</v>
      </c>
      <c r="L1067" s="302">
        <f t="shared" si="390"/>
        <v>28.073588143892916</v>
      </c>
      <c r="M1067" s="236"/>
      <c r="N1067" s="236"/>
    </row>
    <row r="1068" spans="1:14" x14ac:dyDescent="0.3">
      <c r="A1068" s="237" t="str">
        <f>name!E$9</f>
        <v>Caring, leisure and other service occupations</v>
      </c>
      <c r="B1068" s="302">
        <v>65.635177522460154</v>
      </c>
      <c r="C1068" s="302">
        <v>11.467699964766647</v>
      </c>
      <c r="D1068" s="302">
        <f t="shared" si="388"/>
        <v>77.102877487226806</v>
      </c>
      <c r="E1068" s="303"/>
      <c r="F1068" s="302">
        <v>64.063648195265273</v>
      </c>
      <c r="G1068" s="302">
        <v>12.30214328325258</v>
      </c>
      <c r="H1068" s="302">
        <f t="shared" si="389"/>
        <v>76.365791478517849</v>
      </c>
      <c r="I1068" s="303"/>
      <c r="J1068" s="302">
        <v>76.222322157880839</v>
      </c>
      <c r="K1068" s="302">
        <v>15.848131336777348</v>
      </c>
      <c r="L1068" s="302">
        <f t="shared" si="390"/>
        <v>92.070453494658182</v>
      </c>
      <c r="M1068" s="236"/>
      <c r="N1068" s="236"/>
    </row>
    <row r="1069" spans="1:14" x14ac:dyDescent="0.3">
      <c r="A1069" s="237" t="str">
        <f>name!E$10</f>
        <v>Sales and customer service occupations</v>
      </c>
      <c r="B1069" s="302">
        <v>40.387372447860571</v>
      </c>
      <c r="C1069" s="302">
        <v>20.212176900613549</v>
      </c>
      <c r="D1069" s="302">
        <f t="shared" si="388"/>
        <v>60.59954934847412</v>
      </c>
      <c r="E1069" s="303"/>
      <c r="F1069" s="302">
        <v>40.246955570534517</v>
      </c>
      <c r="G1069" s="302">
        <v>18.650670717109918</v>
      </c>
      <c r="H1069" s="302">
        <f t="shared" si="389"/>
        <v>58.897626287644435</v>
      </c>
      <c r="I1069" s="303"/>
      <c r="J1069" s="302">
        <v>59.328740346738329</v>
      </c>
      <c r="K1069" s="302">
        <v>23.549173930390818</v>
      </c>
      <c r="L1069" s="302">
        <f t="shared" si="390"/>
        <v>82.87791427712915</v>
      </c>
      <c r="M1069" s="236"/>
      <c r="N1069" s="236"/>
    </row>
    <row r="1070" spans="1:14" x14ac:dyDescent="0.3">
      <c r="A1070" s="237" t="str">
        <f>name!E$11</f>
        <v>Process, plant and machine operatives</v>
      </c>
      <c r="B1070" s="302">
        <v>5.0690347726680809</v>
      </c>
      <c r="C1070" s="302">
        <v>14.82257806720766</v>
      </c>
      <c r="D1070" s="302">
        <f t="shared" si="388"/>
        <v>19.891612839875741</v>
      </c>
      <c r="E1070" s="303"/>
      <c r="F1070" s="302">
        <v>4.1747727959964687</v>
      </c>
      <c r="G1070" s="302">
        <v>13.205912668737438</v>
      </c>
      <c r="H1070" s="302">
        <f t="shared" si="389"/>
        <v>17.380685464733908</v>
      </c>
      <c r="I1070" s="303"/>
      <c r="J1070" s="302">
        <v>8.3373836772369732</v>
      </c>
      <c r="K1070" s="302">
        <v>13.470735482932092</v>
      </c>
      <c r="L1070" s="302">
        <f t="shared" si="390"/>
        <v>21.808119160169063</v>
      </c>
      <c r="M1070" s="236"/>
      <c r="N1070" s="236"/>
    </row>
    <row r="1071" spans="1:14" x14ac:dyDescent="0.3">
      <c r="A1071" s="237" t="str">
        <f>name!E$12</f>
        <v>Elementary occupations</v>
      </c>
      <c r="B1071" s="302">
        <v>175.75802881093773</v>
      </c>
      <c r="C1071" s="302">
        <v>97.839471261493699</v>
      </c>
      <c r="D1071" s="302">
        <f t="shared" si="388"/>
        <v>273.59750007243144</v>
      </c>
      <c r="E1071" s="303"/>
      <c r="F1071" s="302">
        <v>143.37056539119828</v>
      </c>
      <c r="G1071" s="302">
        <v>80.855218172670021</v>
      </c>
      <c r="H1071" s="302">
        <f t="shared" si="389"/>
        <v>224.2257835638683</v>
      </c>
      <c r="I1071" s="303"/>
      <c r="J1071" s="302">
        <v>121.44524134970075</v>
      </c>
      <c r="K1071" s="302">
        <v>88.841513649921168</v>
      </c>
      <c r="L1071" s="302">
        <f t="shared" si="390"/>
        <v>210.28675499962191</v>
      </c>
      <c r="M1071" s="236"/>
      <c r="N1071" s="236"/>
    </row>
    <row r="1072" spans="1:14" x14ac:dyDescent="0.3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  <c r="N1072" s="236"/>
    </row>
    <row r="1073" spans="1:14" x14ac:dyDescent="0.3">
      <c r="A1073" s="244" t="s">
        <v>32</v>
      </c>
      <c r="B1073" s="311">
        <f>SUM(B1063:B1071)</f>
        <v>579.25800000515005</v>
      </c>
      <c r="C1073" s="311">
        <f t="shared" ref="C1073:D1073" si="391">SUM(C1063:C1071)</f>
        <v>288.5140000021371</v>
      </c>
      <c r="D1073" s="311">
        <f t="shared" si="391"/>
        <v>867.77200000728726</v>
      </c>
      <c r="E1073" s="311"/>
      <c r="F1073" s="311">
        <f t="shared" ref="F1073:H1073" si="392">SUM(F1063:F1071)</f>
        <v>572.17400000071734</v>
      </c>
      <c r="G1073" s="311">
        <f t="shared" si="392"/>
        <v>277.63000000017701</v>
      </c>
      <c r="H1073" s="311">
        <f t="shared" si="392"/>
        <v>849.80400000089446</v>
      </c>
      <c r="I1073" s="311"/>
      <c r="J1073" s="311">
        <f t="shared" ref="J1073:L1073" si="393">SUM(J1063:J1071)</f>
        <v>641.99399999893296</v>
      </c>
      <c r="K1073" s="311">
        <f t="shared" si="393"/>
        <v>314.55300000118871</v>
      </c>
      <c r="L1073" s="311">
        <f t="shared" si="393"/>
        <v>956.5470000001219</v>
      </c>
      <c r="M1073" s="236"/>
      <c r="N1073" s="236"/>
    </row>
    <row r="1074" spans="1:14" x14ac:dyDescent="0.3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  <c r="N1074" s="236"/>
    </row>
    <row r="1075" spans="1:14" x14ac:dyDescent="0.3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56" t="s">
        <v>35</v>
      </c>
      <c r="M1075" s="236"/>
      <c r="N1075" s="236"/>
    </row>
    <row r="1076" spans="1:14" x14ac:dyDescent="0.3">
      <c r="A1076" s="242"/>
      <c r="B1076" s="250"/>
      <c r="C1076" s="250"/>
      <c r="D1076" s="250"/>
      <c r="E1076" s="250"/>
      <c r="F1076" s="250"/>
      <c r="G1076" s="250"/>
      <c r="H1076" s="250"/>
      <c r="I1076" s="250"/>
      <c r="J1076" s="250"/>
      <c r="K1076" s="250"/>
      <c r="L1076" s="236"/>
      <c r="M1076" s="236"/>
      <c r="N1076" s="236"/>
    </row>
    <row r="1077" spans="1:14" x14ac:dyDescent="0.3">
      <c r="A1077" s="241" t="str">
        <f>name!A66</f>
        <v>Office administrative</v>
      </c>
      <c r="B1077" s="373">
        <f>B$6</f>
        <v>2015</v>
      </c>
      <c r="C1077" s="373"/>
      <c r="D1077" s="373"/>
      <c r="E1077" s="253"/>
      <c r="F1077" s="373">
        <f>F$6</f>
        <v>2020</v>
      </c>
      <c r="G1077" s="373"/>
      <c r="H1077" s="373"/>
      <c r="I1077" s="253"/>
      <c r="J1077" s="373">
        <f>J$6</f>
        <v>2035</v>
      </c>
      <c r="K1077" s="373"/>
      <c r="L1077" s="373"/>
      <c r="M1077" s="236"/>
      <c r="N1077" s="236"/>
    </row>
    <row r="1078" spans="1:14" x14ac:dyDescent="0.3">
      <c r="A1078" s="254"/>
      <c r="B1078" s="255" t="s">
        <v>352</v>
      </c>
      <c r="C1078" s="255" t="s">
        <v>353</v>
      </c>
      <c r="D1078" s="255" t="s">
        <v>32</v>
      </c>
      <c r="E1078" s="255"/>
      <c r="F1078" s="255" t="s">
        <v>352</v>
      </c>
      <c r="G1078" s="255" t="s">
        <v>353</v>
      </c>
      <c r="H1078" s="255" t="s">
        <v>32</v>
      </c>
      <c r="I1078" s="255"/>
      <c r="J1078" s="255" t="s">
        <v>352</v>
      </c>
      <c r="K1078" s="255" t="s">
        <v>353</v>
      </c>
      <c r="L1078" s="255" t="s">
        <v>32</v>
      </c>
      <c r="M1078" s="236"/>
      <c r="N1078" s="236"/>
    </row>
    <row r="1079" spans="1:14" x14ac:dyDescent="0.3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  <c r="N1079" s="236"/>
    </row>
    <row r="1080" spans="1:14" x14ac:dyDescent="0.3">
      <c r="A1080" s="237" t="str">
        <f>name!E$4</f>
        <v>Managers, directors and senior officials</v>
      </c>
      <c r="B1080" s="302">
        <v>11.66515300798995</v>
      </c>
      <c r="C1080" s="302">
        <v>33.134031790485729</v>
      </c>
      <c r="D1080" s="302">
        <f>SUM(B1080:C1080)</f>
        <v>44.799184798475679</v>
      </c>
      <c r="E1080" s="303"/>
      <c r="F1080" s="302">
        <v>16.192908663510952</v>
      </c>
      <c r="G1080" s="302">
        <v>40.075068665025199</v>
      </c>
      <c r="H1080" s="302">
        <f>SUM(F1080:G1080)</f>
        <v>56.267977328536148</v>
      </c>
      <c r="I1080" s="303"/>
      <c r="J1080" s="302">
        <v>20.742127268256915</v>
      </c>
      <c r="K1080" s="302">
        <v>45.505155128963452</v>
      </c>
      <c r="L1080" s="302">
        <f>SUM(J1080:K1080)</f>
        <v>66.247282397220374</v>
      </c>
      <c r="M1080" s="236"/>
      <c r="N1080" s="236"/>
    </row>
    <row r="1081" spans="1:14" x14ac:dyDescent="0.3">
      <c r="A1081" s="237" t="str">
        <f>name!E$5</f>
        <v>Professional occupations</v>
      </c>
      <c r="B1081" s="302">
        <v>16.29740437419083</v>
      </c>
      <c r="C1081" s="302">
        <v>36.31720695519072</v>
      </c>
      <c r="D1081" s="302">
        <f t="shared" ref="D1081:D1088" si="394">SUM(B1081:C1081)</f>
        <v>52.614611329381546</v>
      </c>
      <c r="E1081" s="303"/>
      <c r="F1081" s="302">
        <v>24.65643102857431</v>
      </c>
      <c r="G1081" s="302">
        <v>50.093885792042258</v>
      </c>
      <c r="H1081" s="302">
        <f t="shared" ref="H1081:H1088" si="395">SUM(F1081:G1081)</f>
        <v>74.750316820616575</v>
      </c>
      <c r="I1081" s="303"/>
      <c r="J1081" s="302">
        <v>32.107246897923531</v>
      </c>
      <c r="K1081" s="302">
        <v>65.925335259548234</v>
      </c>
      <c r="L1081" s="302">
        <f t="shared" ref="L1081:L1088" si="396">SUM(J1081:K1081)</f>
        <v>98.032582157471765</v>
      </c>
      <c r="M1081" s="236"/>
      <c r="N1081" s="236"/>
    </row>
    <row r="1082" spans="1:14" x14ac:dyDescent="0.3">
      <c r="A1082" s="237" t="str">
        <f>name!E$6</f>
        <v>Associate professional occupations</v>
      </c>
      <c r="B1082" s="302">
        <v>22.280464332974041</v>
      </c>
      <c r="C1082" s="302">
        <v>54.338998313249846</v>
      </c>
      <c r="D1082" s="302">
        <f t="shared" si="394"/>
        <v>76.619462646223894</v>
      </c>
      <c r="E1082" s="303"/>
      <c r="F1082" s="302">
        <v>30.20384223438867</v>
      </c>
      <c r="G1082" s="302">
        <v>66.161467833768896</v>
      </c>
      <c r="H1082" s="302">
        <f t="shared" si="395"/>
        <v>96.365310068157569</v>
      </c>
      <c r="I1082" s="303"/>
      <c r="J1082" s="302">
        <v>34.298686746706906</v>
      </c>
      <c r="K1082" s="302">
        <v>67.215575915771183</v>
      </c>
      <c r="L1082" s="302">
        <f t="shared" si="396"/>
        <v>101.51426266247809</v>
      </c>
      <c r="M1082" s="236"/>
      <c r="N1082" s="236"/>
    </row>
    <row r="1083" spans="1:14" x14ac:dyDescent="0.3">
      <c r="A1083" s="237" t="str">
        <f>name!E$7</f>
        <v>Administrative and secretarial occupations</v>
      </c>
      <c r="B1083" s="302">
        <v>28.345694424818046</v>
      </c>
      <c r="C1083" s="302">
        <v>22.784852224184224</v>
      </c>
      <c r="D1083" s="302">
        <f t="shared" si="394"/>
        <v>51.13054664900227</v>
      </c>
      <c r="E1083" s="303"/>
      <c r="F1083" s="302">
        <v>30.524175999923909</v>
      </c>
      <c r="G1083" s="302">
        <v>27.464447975160439</v>
      </c>
      <c r="H1083" s="302">
        <f t="shared" si="395"/>
        <v>57.988623975084352</v>
      </c>
      <c r="I1083" s="303"/>
      <c r="J1083" s="302">
        <v>27.590673664388181</v>
      </c>
      <c r="K1083" s="302">
        <v>32.461212922620881</v>
      </c>
      <c r="L1083" s="302">
        <f t="shared" si="396"/>
        <v>60.051886587009065</v>
      </c>
      <c r="M1083" s="236"/>
      <c r="N1083" s="236"/>
    </row>
    <row r="1084" spans="1:14" x14ac:dyDescent="0.3">
      <c r="A1084" s="237" t="str">
        <f>name!E$8</f>
        <v>Skilled trades occupations</v>
      </c>
      <c r="B1084" s="302">
        <v>1.7951521490190607</v>
      </c>
      <c r="C1084" s="302">
        <v>16.49561848642826</v>
      </c>
      <c r="D1084" s="302">
        <f t="shared" si="394"/>
        <v>18.29077063544732</v>
      </c>
      <c r="E1084" s="303"/>
      <c r="F1084" s="302">
        <v>2.2706868970215885</v>
      </c>
      <c r="G1084" s="302">
        <v>12.709096205701048</v>
      </c>
      <c r="H1084" s="302">
        <f t="shared" si="395"/>
        <v>14.979783102722637</v>
      </c>
      <c r="I1084" s="303"/>
      <c r="J1084" s="302">
        <v>3.7909875131985165</v>
      </c>
      <c r="K1084" s="302">
        <v>11.295166119954072</v>
      </c>
      <c r="L1084" s="302">
        <f t="shared" si="396"/>
        <v>15.086153633152588</v>
      </c>
      <c r="M1084" s="236"/>
      <c r="N1084" s="236"/>
    </row>
    <row r="1085" spans="1:14" x14ac:dyDescent="0.3">
      <c r="A1085" s="237" t="str">
        <f>name!E$9</f>
        <v>Caring, leisure and other service occupations</v>
      </c>
      <c r="B1085" s="302">
        <v>16.542292555347849</v>
      </c>
      <c r="C1085" s="302">
        <v>10.079236408525391</v>
      </c>
      <c r="D1085" s="302">
        <f t="shared" si="394"/>
        <v>26.621528963873239</v>
      </c>
      <c r="E1085" s="303"/>
      <c r="F1085" s="302">
        <v>18.920389121525357</v>
      </c>
      <c r="G1085" s="302">
        <v>12.090592962741637</v>
      </c>
      <c r="H1085" s="302">
        <f t="shared" si="395"/>
        <v>31.010982084266992</v>
      </c>
      <c r="I1085" s="303"/>
      <c r="J1085" s="302">
        <v>23.18898874049918</v>
      </c>
      <c r="K1085" s="302">
        <v>14.544316623727331</v>
      </c>
      <c r="L1085" s="302">
        <f t="shared" si="396"/>
        <v>37.73330536422651</v>
      </c>
      <c r="M1085" s="236"/>
      <c r="N1085" s="236"/>
    </row>
    <row r="1086" spans="1:14" x14ac:dyDescent="0.3">
      <c r="A1086" s="237" t="str">
        <f>name!E$10</f>
        <v>Sales and customer service occupations</v>
      </c>
      <c r="B1086" s="302">
        <v>9.9697995767592662</v>
      </c>
      <c r="C1086" s="302">
        <v>23.710241768662687</v>
      </c>
      <c r="D1086" s="302">
        <f t="shared" si="394"/>
        <v>33.680041345421955</v>
      </c>
      <c r="E1086" s="303"/>
      <c r="F1086" s="302">
        <v>11.127027515043688</v>
      </c>
      <c r="G1086" s="302">
        <v>25.204410127455958</v>
      </c>
      <c r="H1086" s="302">
        <f t="shared" si="395"/>
        <v>36.331437642499644</v>
      </c>
      <c r="I1086" s="303"/>
      <c r="J1086" s="302">
        <v>15.706539130673304</v>
      </c>
      <c r="K1086" s="302">
        <v>32.982925252891704</v>
      </c>
      <c r="L1086" s="302">
        <f t="shared" si="396"/>
        <v>48.68946438356501</v>
      </c>
      <c r="M1086" s="236"/>
      <c r="N1086" s="236"/>
    </row>
    <row r="1087" spans="1:14" x14ac:dyDescent="0.3">
      <c r="A1087" s="237" t="str">
        <f>name!E$11</f>
        <v>Process, plant and machine operatives</v>
      </c>
      <c r="B1087" s="302">
        <v>2.023344388509297</v>
      </c>
      <c r="C1087" s="302">
        <v>18.523908850801362</v>
      </c>
      <c r="D1087" s="302">
        <f t="shared" si="394"/>
        <v>20.54725323931066</v>
      </c>
      <c r="E1087" s="303"/>
      <c r="F1087" s="302">
        <v>1.749875379333343</v>
      </c>
      <c r="G1087" s="302">
        <v>16.804631918943407</v>
      </c>
      <c r="H1087" s="302">
        <f t="shared" si="395"/>
        <v>18.55450729827675</v>
      </c>
      <c r="I1087" s="303"/>
      <c r="J1087" s="302">
        <v>2.9916079741893795</v>
      </c>
      <c r="K1087" s="302">
        <v>16.602918078853051</v>
      </c>
      <c r="L1087" s="302">
        <f t="shared" si="396"/>
        <v>19.594526053042429</v>
      </c>
      <c r="M1087" s="236"/>
      <c r="N1087" s="236"/>
    </row>
    <row r="1088" spans="1:14" x14ac:dyDescent="0.3">
      <c r="A1088" s="237" t="str">
        <f>name!E$12</f>
        <v>Elementary occupations</v>
      </c>
      <c r="B1088" s="302">
        <v>43.17569519150539</v>
      </c>
      <c r="C1088" s="302">
        <v>124.86690520457023</v>
      </c>
      <c r="D1088" s="302">
        <f t="shared" si="394"/>
        <v>168.04260039607561</v>
      </c>
      <c r="E1088" s="303"/>
      <c r="F1088" s="302">
        <v>41.819663159913368</v>
      </c>
      <c r="G1088" s="302">
        <v>113.7693985193626</v>
      </c>
      <c r="H1088" s="302">
        <f t="shared" si="395"/>
        <v>155.58906167927597</v>
      </c>
      <c r="I1088" s="303"/>
      <c r="J1088" s="302">
        <v>42.615142063466529</v>
      </c>
      <c r="K1088" s="302">
        <v>125.80239469868845</v>
      </c>
      <c r="L1088" s="302">
        <f t="shared" si="396"/>
        <v>168.41753676215498</v>
      </c>
      <c r="M1088" s="236"/>
      <c r="N1088" s="236"/>
    </row>
    <row r="1089" spans="1:14" x14ac:dyDescent="0.3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  <c r="N1089" s="236"/>
    </row>
    <row r="1090" spans="1:14" x14ac:dyDescent="0.3">
      <c r="A1090" s="244" t="s">
        <v>32</v>
      </c>
      <c r="B1090" s="311">
        <f>SUM(B1080:B1088)</f>
        <v>152.09500000111376</v>
      </c>
      <c r="C1090" s="311">
        <f t="shared" ref="C1090:D1090" si="397">SUM(C1080:C1088)</f>
        <v>340.25100000209846</v>
      </c>
      <c r="D1090" s="311">
        <f t="shared" si="397"/>
        <v>492.34600000321217</v>
      </c>
      <c r="E1090" s="311"/>
      <c r="F1090" s="311">
        <f t="shared" ref="F1090:H1090" si="398">SUM(F1080:F1088)</f>
        <v>177.4649999992352</v>
      </c>
      <c r="G1090" s="311">
        <f t="shared" si="398"/>
        <v>364.37300000020144</v>
      </c>
      <c r="H1090" s="311">
        <f t="shared" si="398"/>
        <v>541.83799999943653</v>
      </c>
      <c r="I1090" s="311"/>
      <c r="J1090" s="311">
        <f t="shared" ref="J1090:L1090" si="399">SUM(J1080:J1088)</f>
        <v>203.03199999930243</v>
      </c>
      <c r="K1090" s="311">
        <f t="shared" si="399"/>
        <v>412.33500000101839</v>
      </c>
      <c r="L1090" s="311">
        <f t="shared" si="399"/>
        <v>615.36700000032079</v>
      </c>
      <c r="M1090" s="236"/>
      <c r="N1090" s="236"/>
    </row>
    <row r="1091" spans="1:14" x14ac:dyDescent="0.3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  <c r="N1091" s="236"/>
    </row>
    <row r="1092" spans="1:14" x14ac:dyDescent="0.3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56" t="s">
        <v>35</v>
      </c>
      <c r="M1092" s="236"/>
      <c r="N1092" s="236"/>
    </row>
    <row r="1093" spans="1:14" x14ac:dyDescent="0.3">
      <c r="A1093" s="242"/>
      <c r="B1093" s="250"/>
      <c r="C1093" s="250"/>
      <c r="D1093" s="250"/>
      <c r="E1093" s="250"/>
      <c r="F1093" s="250"/>
      <c r="G1093" s="250"/>
      <c r="H1093" s="250"/>
      <c r="I1093" s="250"/>
      <c r="J1093" s="250"/>
      <c r="K1093" s="250"/>
      <c r="L1093" s="236"/>
      <c r="M1093" s="236"/>
      <c r="N1093" s="236"/>
    </row>
    <row r="1094" spans="1:14" x14ac:dyDescent="0.3">
      <c r="A1094" s="241" t="str">
        <f>name!A67</f>
        <v>Public administration and defence</v>
      </c>
      <c r="B1094" s="373">
        <f>B$6</f>
        <v>2015</v>
      </c>
      <c r="C1094" s="373"/>
      <c r="D1094" s="373"/>
      <c r="E1094" s="253"/>
      <c r="F1094" s="373">
        <f>F$6</f>
        <v>2020</v>
      </c>
      <c r="G1094" s="373"/>
      <c r="H1094" s="373"/>
      <c r="I1094" s="253"/>
      <c r="J1094" s="373">
        <f>J$6</f>
        <v>2035</v>
      </c>
      <c r="K1094" s="373"/>
      <c r="L1094" s="373"/>
      <c r="M1094" s="236"/>
      <c r="N1094" s="236"/>
    </row>
    <row r="1095" spans="1:14" x14ac:dyDescent="0.3">
      <c r="A1095" s="254"/>
      <c r="B1095" s="255" t="s">
        <v>352</v>
      </c>
      <c r="C1095" s="255" t="s">
        <v>353</v>
      </c>
      <c r="D1095" s="255" t="s">
        <v>32</v>
      </c>
      <c r="E1095" s="255"/>
      <c r="F1095" s="255" t="s">
        <v>352</v>
      </c>
      <c r="G1095" s="255" t="s">
        <v>353</v>
      </c>
      <c r="H1095" s="255" t="s">
        <v>32</v>
      </c>
      <c r="I1095" s="255"/>
      <c r="J1095" s="255" t="s">
        <v>352</v>
      </c>
      <c r="K1095" s="255" t="s">
        <v>353</v>
      </c>
      <c r="L1095" s="255" t="s">
        <v>32</v>
      </c>
      <c r="M1095" s="236"/>
      <c r="N1095" s="236"/>
    </row>
    <row r="1096" spans="1:14" x14ac:dyDescent="0.3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  <c r="N1096" s="236"/>
    </row>
    <row r="1097" spans="1:14" x14ac:dyDescent="0.3">
      <c r="A1097" s="237" t="str">
        <f>name!E$4</f>
        <v>Managers, directors and senior officials</v>
      </c>
      <c r="B1097" s="302">
        <v>38.033800823174225</v>
      </c>
      <c r="C1097" s="302">
        <v>60.820285556900423</v>
      </c>
      <c r="D1097" s="302">
        <f>SUM(B1097:C1097)</f>
        <v>98.854086380074648</v>
      </c>
      <c r="E1097" s="303"/>
      <c r="F1097" s="302">
        <v>47.603738094022354</v>
      </c>
      <c r="G1097" s="302">
        <v>66.495634173954073</v>
      </c>
      <c r="H1097" s="302">
        <f>SUM(F1097:G1097)</f>
        <v>114.09937226797643</v>
      </c>
      <c r="I1097" s="303"/>
      <c r="J1097" s="302">
        <v>53.81160485876142</v>
      </c>
      <c r="K1097" s="302">
        <v>64.617538500083384</v>
      </c>
      <c r="L1097" s="302">
        <f>SUM(J1097:K1097)</f>
        <v>118.42914335884481</v>
      </c>
      <c r="M1097" s="236"/>
      <c r="N1097" s="236"/>
    </row>
    <row r="1098" spans="1:14" x14ac:dyDescent="0.3">
      <c r="A1098" s="237" t="str">
        <f>name!E$5</f>
        <v>Professional occupations</v>
      </c>
      <c r="B1098" s="302">
        <v>163.49301044635655</v>
      </c>
      <c r="C1098" s="302">
        <v>109.53555544457414</v>
      </c>
      <c r="D1098" s="302">
        <f t="shared" ref="D1098:D1105" si="400">SUM(B1098:C1098)</f>
        <v>273.02856589093068</v>
      </c>
      <c r="E1098" s="303"/>
      <c r="F1098" s="302">
        <v>208.01195137166482</v>
      </c>
      <c r="G1098" s="302">
        <v>136.81226561244287</v>
      </c>
      <c r="H1098" s="302">
        <f t="shared" ref="H1098:H1105" si="401">SUM(F1098:G1098)</f>
        <v>344.82421698410769</v>
      </c>
      <c r="I1098" s="303"/>
      <c r="J1098" s="302">
        <v>241.18076832849121</v>
      </c>
      <c r="K1098" s="302">
        <v>155.8773459564101</v>
      </c>
      <c r="L1098" s="302">
        <f t="shared" ref="L1098:L1105" si="402">SUM(J1098:K1098)</f>
        <v>397.05811428490131</v>
      </c>
      <c r="M1098" s="236"/>
      <c r="N1098" s="236"/>
    </row>
    <row r="1099" spans="1:14" x14ac:dyDescent="0.3">
      <c r="A1099" s="237" t="str">
        <f>name!E$6</f>
        <v>Associate professional occupations</v>
      </c>
      <c r="B1099" s="302">
        <v>160.88348913986923</v>
      </c>
      <c r="C1099" s="302">
        <v>236.11879628305016</v>
      </c>
      <c r="D1099" s="302">
        <f t="shared" si="400"/>
        <v>397.00228542291939</v>
      </c>
      <c r="E1099" s="303"/>
      <c r="F1099" s="302">
        <v>186.91772740374307</v>
      </c>
      <c r="G1099" s="302">
        <v>248.97155393674839</v>
      </c>
      <c r="H1099" s="302">
        <f t="shared" si="401"/>
        <v>435.88928134049149</v>
      </c>
      <c r="I1099" s="303"/>
      <c r="J1099" s="302">
        <v>243.76559822541338</v>
      </c>
      <c r="K1099" s="302">
        <v>247.23870879684983</v>
      </c>
      <c r="L1099" s="302">
        <f t="shared" si="402"/>
        <v>491.00430702226322</v>
      </c>
      <c r="M1099" s="236"/>
      <c r="N1099" s="236"/>
    </row>
    <row r="1100" spans="1:14" x14ac:dyDescent="0.3">
      <c r="A1100" s="237" t="str">
        <f>name!E$7</f>
        <v>Administrative and secretarial occupations</v>
      </c>
      <c r="B1100" s="302">
        <v>282.59833489358749</v>
      </c>
      <c r="C1100" s="302">
        <v>88.837649145639276</v>
      </c>
      <c r="D1100" s="302">
        <f t="shared" si="400"/>
        <v>371.43598403922675</v>
      </c>
      <c r="E1100" s="303"/>
      <c r="F1100" s="302">
        <v>251.00016271702034</v>
      </c>
      <c r="G1100" s="302">
        <v>90.425812757370053</v>
      </c>
      <c r="H1100" s="302">
        <f t="shared" si="401"/>
        <v>341.42597547439038</v>
      </c>
      <c r="I1100" s="303"/>
      <c r="J1100" s="302">
        <v>178.13391499154594</v>
      </c>
      <c r="K1100" s="302">
        <v>80.315506682202511</v>
      </c>
      <c r="L1100" s="302">
        <f t="shared" si="402"/>
        <v>258.44942167374847</v>
      </c>
      <c r="M1100" s="236"/>
      <c r="N1100" s="236"/>
    </row>
    <row r="1101" spans="1:14" x14ac:dyDescent="0.3">
      <c r="A1101" s="237" t="str">
        <f>name!E$8</f>
        <v>Skilled trades occupations</v>
      </c>
      <c r="B1101" s="302">
        <v>2.9827269992344507</v>
      </c>
      <c r="C1101" s="302">
        <v>18.036007201625747</v>
      </c>
      <c r="D1101" s="302">
        <f t="shared" si="400"/>
        <v>21.018734200860198</v>
      </c>
      <c r="E1101" s="303"/>
      <c r="F1101" s="302">
        <v>3.2448577923269522</v>
      </c>
      <c r="G1101" s="302">
        <v>13.014443313775377</v>
      </c>
      <c r="H1101" s="302">
        <f t="shared" si="401"/>
        <v>16.259301106102328</v>
      </c>
      <c r="I1101" s="303"/>
      <c r="J1101" s="302">
        <v>7.3986382836480766</v>
      </c>
      <c r="K1101" s="302">
        <v>11.735160333575564</v>
      </c>
      <c r="L1101" s="302">
        <f t="shared" si="402"/>
        <v>19.13379861722364</v>
      </c>
      <c r="M1101" s="236"/>
      <c r="N1101" s="236"/>
    </row>
    <row r="1102" spans="1:14" x14ac:dyDescent="0.3">
      <c r="A1102" s="237" t="str">
        <f>name!E$9</f>
        <v>Caring, leisure and other service occupations</v>
      </c>
      <c r="B1102" s="302">
        <v>44.252441893269747</v>
      </c>
      <c r="C1102" s="302">
        <v>15.156681751475872</v>
      </c>
      <c r="D1102" s="302">
        <f t="shared" si="400"/>
        <v>59.40912364474562</v>
      </c>
      <c r="E1102" s="303"/>
      <c r="F1102" s="302">
        <v>41.51552132411652</v>
      </c>
      <c r="G1102" s="302">
        <v>15.015000096858733</v>
      </c>
      <c r="H1102" s="302">
        <f t="shared" si="401"/>
        <v>56.530521420975255</v>
      </c>
      <c r="I1102" s="303"/>
      <c r="J1102" s="302">
        <v>45.830937783453344</v>
      </c>
      <c r="K1102" s="302">
        <v>16.325535809557458</v>
      </c>
      <c r="L1102" s="302">
        <f t="shared" si="402"/>
        <v>62.156473593010801</v>
      </c>
      <c r="M1102" s="236"/>
      <c r="N1102" s="236"/>
    </row>
    <row r="1103" spans="1:14" x14ac:dyDescent="0.3">
      <c r="A1103" s="237" t="str">
        <f>name!E$10</f>
        <v>Sales and customer service occupations</v>
      </c>
      <c r="B1103" s="302">
        <v>24.813073124811893</v>
      </c>
      <c r="C1103" s="302">
        <v>10.554707877911886</v>
      </c>
      <c r="D1103" s="302">
        <f t="shared" si="400"/>
        <v>35.367781002723781</v>
      </c>
      <c r="E1103" s="303"/>
      <c r="F1103" s="302">
        <v>24.085059754498815</v>
      </c>
      <c r="G1103" s="302">
        <v>9.8191105954848865</v>
      </c>
      <c r="H1103" s="302">
        <f t="shared" si="401"/>
        <v>33.904170349983701</v>
      </c>
      <c r="I1103" s="303"/>
      <c r="J1103" s="302">
        <v>27.649908235911312</v>
      </c>
      <c r="K1103" s="302">
        <v>12.567286154399014</v>
      </c>
      <c r="L1103" s="302">
        <f t="shared" si="402"/>
        <v>40.217194390310326</v>
      </c>
      <c r="M1103" s="236"/>
      <c r="N1103" s="236"/>
    </row>
    <row r="1104" spans="1:14" x14ac:dyDescent="0.3">
      <c r="A1104" s="237" t="str">
        <f>name!E$11</f>
        <v>Process, plant and machine operatives</v>
      </c>
      <c r="B1104" s="302">
        <v>2.6306605993083578</v>
      </c>
      <c r="C1104" s="302">
        <v>13.997993089838841</v>
      </c>
      <c r="D1104" s="302">
        <f t="shared" si="400"/>
        <v>16.6286536891472</v>
      </c>
      <c r="E1104" s="303"/>
      <c r="F1104" s="302">
        <v>2.0595165791382959</v>
      </c>
      <c r="G1104" s="302">
        <v>10.822669489337864</v>
      </c>
      <c r="H1104" s="302">
        <f t="shared" si="401"/>
        <v>12.882186068476159</v>
      </c>
      <c r="I1104" s="303"/>
      <c r="J1104" s="302">
        <v>4.0750753736164498</v>
      </c>
      <c r="K1104" s="302">
        <v>11.651373463724378</v>
      </c>
      <c r="L1104" s="302">
        <f t="shared" si="402"/>
        <v>15.726448837340827</v>
      </c>
      <c r="M1104" s="236"/>
      <c r="N1104" s="236"/>
    </row>
    <row r="1105" spans="1:14" x14ac:dyDescent="0.3">
      <c r="A1105" s="237" t="str">
        <f>name!E$12</f>
        <v>Elementary occupations</v>
      </c>
      <c r="B1105" s="302">
        <v>31.262462074810824</v>
      </c>
      <c r="C1105" s="302">
        <v>26.906323644856624</v>
      </c>
      <c r="D1105" s="302">
        <f t="shared" si="400"/>
        <v>58.168785719667447</v>
      </c>
      <c r="E1105" s="303"/>
      <c r="F1105" s="302">
        <v>25.543464961363284</v>
      </c>
      <c r="G1105" s="302">
        <v>21.636510023241939</v>
      </c>
      <c r="H1105" s="302">
        <f t="shared" si="401"/>
        <v>47.179974984605224</v>
      </c>
      <c r="I1105" s="303"/>
      <c r="J1105" s="302">
        <v>28.190553922466535</v>
      </c>
      <c r="K1105" s="302">
        <v>20.883544302102475</v>
      </c>
      <c r="L1105" s="302">
        <f t="shared" si="402"/>
        <v>49.074098224569013</v>
      </c>
      <c r="M1105" s="236"/>
      <c r="N1105" s="236"/>
    </row>
    <row r="1106" spans="1:14" x14ac:dyDescent="0.3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  <c r="N1106" s="236"/>
    </row>
    <row r="1107" spans="1:14" x14ac:dyDescent="0.3">
      <c r="A1107" s="244" t="s">
        <v>32</v>
      </c>
      <c r="B1107" s="311">
        <f>SUM(B1097:B1105)</f>
        <v>750.94999999442291</v>
      </c>
      <c r="C1107" s="311">
        <f t="shared" ref="C1107:D1107" si="403">SUM(C1097:C1105)</f>
        <v>579.96399999587288</v>
      </c>
      <c r="D1107" s="311">
        <f t="shared" si="403"/>
        <v>1330.9139999902959</v>
      </c>
      <c r="E1107" s="311"/>
      <c r="F1107" s="311">
        <f t="shared" ref="F1107:H1107" si="404">SUM(F1097:F1105)</f>
        <v>789.98199999789449</v>
      </c>
      <c r="G1107" s="311">
        <f t="shared" si="404"/>
        <v>613.01299999921423</v>
      </c>
      <c r="H1107" s="311">
        <f t="shared" si="404"/>
        <v>1402.9949999971084</v>
      </c>
      <c r="I1107" s="311"/>
      <c r="J1107" s="311">
        <f t="shared" ref="J1107:L1107" si="405">SUM(J1097:J1105)</f>
        <v>830.03700000330753</v>
      </c>
      <c r="K1107" s="311">
        <f t="shared" si="405"/>
        <v>621.21199999890462</v>
      </c>
      <c r="L1107" s="311">
        <f t="shared" si="405"/>
        <v>1451.2490000022124</v>
      </c>
      <c r="M1107" s="236"/>
      <c r="N1107" s="236"/>
    </row>
    <row r="1108" spans="1:14" x14ac:dyDescent="0.3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  <c r="N1108" s="236"/>
    </row>
    <row r="1109" spans="1:14" x14ac:dyDescent="0.3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56" t="s">
        <v>35</v>
      </c>
      <c r="M1109" s="236"/>
      <c r="N1109" s="236"/>
    </row>
    <row r="1110" spans="1:14" x14ac:dyDescent="0.3">
      <c r="A1110" s="242"/>
      <c r="B1110" s="250"/>
      <c r="C1110" s="250"/>
      <c r="D1110" s="250"/>
      <c r="E1110" s="250"/>
      <c r="F1110" s="250"/>
      <c r="G1110" s="250"/>
      <c r="H1110" s="250"/>
      <c r="I1110" s="250"/>
      <c r="J1110" s="250"/>
      <c r="K1110" s="250"/>
      <c r="L1110" s="236"/>
      <c r="M1110" s="236"/>
      <c r="N1110" s="236"/>
    </row>
    <row r="1111" spans="1:14" x14ac:dyDescent="0.3">
      <c r="A1111" s="241" t="str">
        <f>name!A68</f>
        <v xml:space="preserve">Education </v>
      </c>
      <c r="B1111" s="373">
        <f>B$6</f>
        <v>2015</v>
      </c>
      <c r="C1111" s="373"/>
      <c r="D1111" s="373"/>
      <c r="E1111" s="253"/>
      <c r="F1111" s="373">
        <f>F$6</f>
        <v>2020</v>
      </c>
      <c r="G1111" s="373"/>
      <c r="H1111" s="373"/>
      <c r="I1111" s="253"/>
      <c r="J1111" s="373">
        <f>J$6</f>
        <v>2035</v>
      </c>
      <c r="K1111" s="373"/>
      <c r="L1111" s="373"/>
      <c r="M1111" s="236"/>
      <c r="N1111" s="236"/>
    </row>
    <row r="1112" spans="1:14" x14ac:dyDescent="0.3">
      <c r="A1112" s="254"/>
      <c r="B1112" s="255" t="s">
        <v>352</v>
      </c>
      <c r="C1112" s="255" t="s">
        <v>353</v>
      </c>
      <c r="D1112" s="255" t="s">
        <v>32</v>
      </c>
      <c r="E1112" s="255"/>
      <c r="F1112" s="255" t="s">
        <v>352</v>
      </c>
      <c r="G1112" s="255" t="s">
        <v>353</v>
      </c>
      <c r="H1112" s="255" t="s">
        <v>32</v>
      </c>
      <c r="I1112" s="255"/>
      <c r="J1112" s="255" t="s">
        <v>352</v>
      </c>
      <c r="K1112" s="255" t="s">
        <v>353</v>
      </c>
      <c r="L1112" s="255" t="s">
        <v>32</v>
      </c>
      <c r="M1112" s="236"/>
      <c r="N1112" s="236"/>
    </row>
    <row r="1113" spans="1:14" x14ac:dyDescent="0.3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  <c r="N1113" s="236"/>
    </row>
    <row r="1114" spans="1:14" x14ac:dyDescent="0.3">
      <c r="A1114" s="237" t="str">
        <f>name!E$4</f>
        <v>Managers, directors and senior officials</v>
      </c>
      <c r="B1114" s="302">
        <v>34.648628962036661</v>
      </c>
      <c r="C1114" s="302">
        <v>39.752827781607891</v>
      </c>
      <c r="D1114" s="302">
        <f>SUM(B1114:C1114)</f>
        <v>74.401456743644559</v>
      </c>
      <c r="E1114" s="303"/>
      <c r="F1114" s="302">
        <v>40.963332911970831</v>
      </c>
      <c r="G1114" s="302">
        <v>38.571586470732782</v>
      </c>
      <c r="H1114" s="302">
        <f>SUM(F1114:G1114)</f>
        <v>79.534919382703606</v>
      </c>
      <c r="I1114" s="303"/>
      <c r="J1114" s="302">
        <v>47.547571113851561</v>
      </c>
      <c r="K1114" s="302">
        <v>37.903612394647311</v>
      </c>
      <c r="L1114" s="302">
        <f>SUM(J1114:K1114)</f>
        <v>85.451183508498872</v>
      </c>
      <c r="M1114" s="236"/>
      <c r="N1114" s="236"/>
    </row>
    <row r="1115" spans="1:14" x14ac:dyDescent="0.3">
      <c r="A1115" s="237" t="str">
        <f>name!E$5</f>
        <v>Professional occupations</v>
      </c>
      <c r="B1115" s="302">
        <v>979.37551478938883</v>
      </c>
      <c r="C1115" s="302">
        <v>565.48819602081721</v>
      </c>
      <c r="D1115" s="302">
        <f t="shared" ref="D1115:D1122" si="406">SUM(B1115:C1115)</f>
        <v>1544.8637108102062</v>
      </c>
      <c r="E1115" s="303"/>
      <c r="F1115" s="302">
        <v>1091.0385186041754</v>
      </c>
      <c r="G1115" s="302">
        <v>575.05129402042371</v>
      </c>
      <c r="H1115" s="302">
        <f t="shared" ref="H1115:H1122" si="407">SUM(F1115:G1115)</f>
        <v>1666.0898126245991</v>
      </c>
      <c r="I1115" s="303"/>
      <c r="J1115" s="302">
        <v>1266.2886544833943</v>
      </c>
      <c r="K1115" s="302">
        <v>629.72511281627271</v>
      </c>
      <c r="L1115" s="302">
        <f t="shared" ref="L1115:L1122" si="408">SUM(J1115:K1115)</f>
        <v>1896.0137672996671</v>
      </c>
      <c r="M1115" s="236"/>
      <c r="N1115" s="236"/>
    </row>
    <row r="1116" spans="1:14" x14ac:dyDescent="0.3">
      <c r="A1116" s="237" t="str">
        <f>name!E$6</f>
        <v>Associate professional occupations</v>
      </c>
      <c r="B1116" s="302">
        <v>132.88392778309009</v>
      </c>
      <c r="C1116" s="302">
        <v>97.473768713242578</v>
      </c>
      <c r="D1116" s="302">
        <f t="shared" si="406"/>
        <v>230.35769649633266</v>
      </c>
      <c r="E1116" s="303"/>
      <c r="F1116" s="302">
        <v>141.0491311624354</v>
      </c>
      <c r="G1116" s="302">
        <v>94.123496153541012</v>
      </c>
      <c r="H1116" s="302">
        <f t="shared" si="407"/>
        <v>235.1726273159764</v>
      </c>
      <c r="I1116" s="303"/>
      <c r="J1116" s="302">
        <v>151.3727884446518</v>
      </c>
      <c r="K1116" s="302">
        <v>74.78939549586201</v>
      </c>
      <c r="L1116" s="302">
        <f t="shared" si="408"/>
        <v>226.16218394051381</v>
      </c>
      <c r="M1116" s="236"/>
      <c r="N1116" s="236"/>
    </row>
    <row r="1117" spans="1:14" x14ac:dyDescent="0.3">
      <c r="A1117" s="237" t="str">
        <f>name!E$7</f>
        <v>Administrative and secretarial occupations</v>
      </c>
      <c r="B1117" s="302">
        <v>142.49335719231661</v>
      </c>
      <c r="C1117" s="302">
        <v>27.582446279658008</v>
      </c>
      <c r="D1117" s="302">
        <f t="shared" si="406"/>
        <v>170.07580347197461</v>
      </c>
      <c r="E1117" s="303"/>
      <c r="F1117" s="302">
        <v>125.65941014936354</v>
      </c>
      <c r="G1117" s="302">
        <v>22.633019119964683</v>
      </c>
      <c r="H1117" s="302">
        <f t="shared" si="407"/>
        <v>148.29242926932821</v>
      </c>
      <c r="I1117" s="303"/>
      <c r="J1117" s="302">
        <v>60.168491370228338</v>
      </c>
      <c r="K1117" s="302">
        <v>19.678844015839584</v>
      </c>
      <c r="L1117" s="302">
        <f t="shared" si="408"/>
        <v>79.847335386067925</v>
      </c>
      <c r="M1117" s="236"/>
      <c r="N1117" s="236"/>
    </row>
    <row r="1118" spans="1:14" x14ac:dyDescent="0.3">
      <c r="A1118" s="237" t="str">
        <f>name!E$8</f>
        <v>Skilled trades occupations</v>
      </c>
      <c r="B1118" s="302">
        <v>20.428074509986882</v>
      </c>
      <c r="C1118" s="302">
        <v>24.758134397825167</v>
      </c>
      <c r="D1118" s="302">
        <f t="shared" si="406"/>
        <v>45.186208907812045</v>
      </c>
      <c r="E1118" s="303"/>
      <c r="F1118" s="302">
        <v>16.812532500779824</v>
      </c>
      <c r="G1118" s="302">
        <v>15.826102683727296</v>
      </c>
      <c r="H1118" s="302">
        <f t="shared" si="407"/>
        <v>32.638635184507123</v>
      </c>
      <c r="I1118" s="303"/>
      <c r="J1118" s="302">
        <v>11.683742347394976</v>
      </c>
      <c r="K1118" s="302">
        <v>12.747541851414898</v>
      </c>
      <c r="L1118" s="302">
        <f t="shared" si="408"/>
        <v>24.431284198809873</v>
      </c>
      <c r="M1118" s="236"/>
      <c r="N1118" s="236"/>
    </row>
    <row r="1119" spans="1:14" x14ac:dyDescent="0.3">
      <c r="A1119" s="237" t="str">
        <f>name!E$9</f>
        <v>Caring, leisure and other service occupations</v>
      </c>
      <c r="B1119" s="302">
        <v>540.91825820655959</v>
      </c>
      <c r="C1119" s="302">
        <v>74.679795028478836</v>
      </c>
      <c r="D1119" s="302">
        <f t="shared" si="406"/>
        <v>615.59805323503838</v>
      </c>
      <c r="E1119" s="303"/>
      <c r="F1119" s="302">
        <v>501.37122335144966</v>
      </c>
      <c r="G1119" s="302">
        <v>66.250172389545753</v>
      </c>
      <c r="H1119" s="302">
        <f t="shared" si="407"/>
        <v>567.62139574099547</v>
      </c>
      <c r="I1119" s="303"/>
      <c r="J1119" s="302">
        <v>550.32604004484608</v>
      </c>
      <c r="K1119" s="302">
        <v>72.658958500147804</v>
      </c>
      <c r="L1119" s="302">
        <f t="shared" si="408"/>
        <v>622.98499854499391</v>
      </c>
      <c r="M1119" s="236"/>
      <c r="N1119" s="236"/>
    </row>
    <row r="1120" spans="1:14" x14ac:dyDescent="0.3">
      <c r="A1120" s="237" t="str">
        <f>name!E$10</f>
        <v>Sales and customer service occupations</v>
      </c>
      <c r="B1120" s="302">
        <v>13.143650064564117</v>
      </c>
      <c r="C1120" s="302">
        <v>5.7828151880265706</v>
      </c>
      <c r="D1120" s="302">
        <f t="shared" si="406"/>
        <v>18.926465252590688</v>
      </c>
      <c r="E1120" s="303"/>
      <c r="F1120" s="302">
        <v>11.361646827226592</v>
      </c>
      <c r="G1120" s="302">
        <v>4.4749364559182041</v>
      </c>
      <c r="H1120" s="302">
        <f t="shared" si="407"/>
        <v>15.836583283144796</v>
      </c>
      <c r="I1120" s="303"/>
      <c r="J1120" s="302">
        <v>10.885056334637357</v>
      </c>
      <c r="K1120" s="302">
        <v>5.0270333993920584</v>
      </c>
      <c r="L1120" s="302">
        <f t="shared" si="408"/>
        <v>15.912089734029415</v>
      </c>
      <c r="M1120" s="236"/>
      <c r="N1120" s="236"/>
    </row>
    <row r="1121" spans="1:14" x14ac:dyDescent="0.3">
      <c r="A1121" s="237" t="str">
        <f>name!E$11</f>
        <v>Process, plant and machine operatives</v>
      </c>
      <c r="B1121" s="302">
        <v>13.192754601813069</v>
      </c>
      <c r="C1121" s="302">
        <v>46.695780966964058</v>
      </c>
      <c r="D1121" s="302">
        <f t="shared" si="406"/>
        <v>59.888535568777129</v>
      </c>
      <c r="E1121" s="303"/>
      <c r="F1121" s="302">
        <v>13.521638157881002</v>
      </c>
      <c r="G1121" s="302">
        <v>46.670541435708998</v>
      </c>
      <c r="H1121" s="302">
        <f t="shared" si="407"/>
        <v>60.192179593589998</v>
      </c>
      <c r="I1121" s="303"/>
      <c r="J1121" s="302">
        <v>14.537024038636327</v>
      </c>
      <c r="K1121" s="302">
        <v>52.619795755931797</v>
      </c>
      <c r="L1121" s="302">
        <f t="shared" si="408"/>
        <v>67.156819794568122</v>
      </c>
      <c r="M1121" s="236"/>
      <c r="N1121" s="236"/>
    </row>
    <row r="1122" spans="1:14" x14ac:dyDescent="0.3">
      <c r="A1122" s="237" t="str">
        <f>name!E$12</f>
        <v>Elementary occupations</v>
      </c>
      <c r="B1122" s="302">
        <v>166.64683386622673</v>
      </c>
      <c r="C1122" s="302">
        <v>29.868235629469652</v>
      </c>
      <c r="D1122" s="302">
        <f t="shared" si="406"/>
        <v>196.51506949569637</v>
      </c>
      <c r="E1122" s="303"/>
      <c r="F1122" s="302">
        <v>131.22156632321358</v>
      </c>
      <c r="G1122" s="302">
        <v>19.398851301483482</v>
      </c>
      <c r="H1122" s="302">
        <f t="shared" si="407"/>
        <v>150.62041762469707</v>
      </c>
      <c r="I1122" s="303"/>
      <c r="J1122" s="302">
        <v>66.817631858776934</v>
      </c>
      <c r="K1122" s="302">
        <v>15.572705767878283</v>
      </c>
      <c r="L1122" s="302">
        <f t="shared" si="408"/>
        <v>82.390337626655224</v>
      </c>
      <c r="M1122" s="236"/>
      <c r="N1122" s="236"/>
    </row>
    <row r="1123" spans="1:14" x14ac:dyDescent="0.3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  <c r="N1123" s="236"/>
    </row>
    <row r="1124" spans="1:14" x14ac:dyDescent="0.3">
      <c r="A1124" s="244" t="s">
        <v>32</v>
      </c>
      <c r="B1124" s="311">
        <f>SUM(B1114:B1122)</f>
        <v>2043.7309999759823</v>
      </c>
      <c r="C1124" s="311">
        <f t="shared" ref="C1124:D1124" si="409">SUM(C1114:C1122)</f>
        <v>912.08200000609008</v>
      </c>
      <c r="D1124" s="311">
        <f t="shared" si="409"/>
        <v>2955.8129999820731</v>
      </c>
      <c r="E1124" s="311"/>
      <c r="F1124" s="311">
        <f t="shared" ref="F1124:H1124" si="410">SUM(F1114:F1122)</f>
        <v>2072.9989999884956</v>
      </c>
      <c r="G1124" s="311">
        <f t="shared" si="410"/>
        <v>883.00000003104583</v>
      </c>
      <c r="H1124" s="311">
        <f t="shared" si="410"/>
        <v>2955.9990000195412</v>
      </c>
      <c r="I1124" s="311"/>
      <c r="J1124" s="311">
        <f t="shared" ref="J1124:L1124" si="411">SUM(J1114:J1122)</f>
        <v>2179.6270000364179</v>
      </c>
      <c r="K1124" s="311">
        <f t="shared" si="411"/>
        <v>920.72299999738641</v>
      </c>
      <c r="L1124" s="311">
        <f t="shared" si="411"/>
        <v>3100.350000033804</v>
      </c>
      <c r="M1124" s="236"/>
      <c r="N1124" s="236"/>
    </row>
    <row r="1125" spans="1:14" x14ac:dyDescent="0.3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  <c r="N1125" s="236"/>
    </row>
    <row r="1126" spans="1:14" x14ac:dyDescent="0.3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56" t="s">
        <v>35</v>
      </c>
      <c r="M1126" s="236"/>
      <c r="N1126" s="236"/>
    </row>
    <row r="1127" spans="1:14" x14ac:dyDescent="0.3">
      <c r="A1127" s="242"/>
      <c r="B1127" s="250"/>
      <c r="C1127" s="250"/>
      <c r="D1127" s="250"/>
      <c r="E1127" s="250"/>
      <c r="F1127" s="250"/>
      <c r="G1127" s="250"/>
      <c r="H1127" s="250"/>
      <c r="I1127" s="250"/>
      <c r="J1127" s="250"/>
      <c r="K1127" s="250"/>
      <c r="L1127" s="236"/>
      <c r="M1127" s="236"/>
      <c r="N1127" s="236"/>
    </row>
    <row r="1128" spans="1:14" x14ac:dyDescent="0.3">
      <c r="A1128" s="241" t="str">
        <f>name!A69</f>
        <v>Health</v>
      </c>
      <c r="B1128" s="373">
        <f>B$6</f>
        <v>2015</v>
      </c>
      <c r="C1128" s="373"/>
      <c r="D1128" s="373"/>
      <c r="E1128" s="253"/>
      <c r="F1128" s="373">
        <f>F$6</f>
        <v>2020</v>
      </c>
      <c r="G1128" s="373"/>
      <c r="H1128" s="373"/>
      <c r="I1128" s="253"/>
      <c r="J1128" s="373">
        <f>J$6</f>
        <v>2035</v>
      </c>
      <c r="K1128" s="373"/>
      <c r="L1128" s="373"/>
      <c r="M1128" s="236"/>
      <c r="N1128" s="236"/>
    </row>
    <row r="1129" spans="1:14" x14ac:dyDescent="0.3">
      <c r="A1129" s="254"/>
      <c r="B1129" s="255" t="s">
        <v>352</v>
      </c>
      <c r="C1129" s="255" t="s">
        <v>353</v>
      </c>
      <c r="D1129" s="255" t="s">
        <v>32</v>
      </c>
      <c r="E1129" s="255"/>
      <c r="F1129" s="255" t="s">
        <v>352</v>
      </c>
      <c r="G1129" s="255" t="s">
        <v>353</v>
      </c>
      <c r="H1129" s="255" t="s">
        <v>32</v>
      </c>
      <c r="I1129" s="255"/>
      <c r="J1129" s="255" t="s">
        <v>352</v>
      </c>
      <c r="K1129" s="255" t="s">
        <v>353</v>
      </c>
      <c r="L1129" s="255" t="s">
        <v>32</v>
      </c>
      <c r="M1129" s="236"/>
      <c r="N1129" s="236"/>
    </row>
    <row r="1130" spans="1:14" x14ac:dyDescent="0.3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  <c r="N1130" s="236"/>
    </row>
    <row r="1131" spans="1:14" x14ac:dyDescent="0.3">
      <c r="A1131" s="237" t="str">
        <f>name!E$4</f>
        <v>Managers, directors and senior officials</v>
      </c>
      <c r="B1131" s="302">
        <v>61.431123434533781</v>
      </c>
      <c r="C1131" s="302">
        <v>39.42263737804177</v>
      </c>
      <c r="D1131" s="302">
        <f>SUM(B1131:C1131)</f>
        <v>100.85376081257556</v>
      </c>
      <c r="E1131" s="303"/>
      <c r="F1131" s="302">
        <v>79.38155033534386</v>
      </c>
      <c r="G1131" s="302">
        <v>47.279412972745966</v>
      </c>
      <c r="H1131" s="302">
        <f>SUM(F1131:G1131)</f>
        <v>126.66096330808983</v>
      </c>
      <c r="I1131" s="303"/>
      <c r="J1131" s="302">
        <v>102.10263316346236</v>
      </c>
      <c r="K1131" s="302">
        <v>49.303538995971323</v>
      </c>
      <c r="L1131" s="302">
        <f>SUM(J1131:K1131)</f>
        <v>151.40617215943368</v>
      </c>
      <c r="M1131" s="236"/>
      <c r="N1131" s="236"/>
    </row>
    <row r="1132" spans="1:14" x14ac:dyDescent="0.3">
      <c r="A1132" s="237" t="str">
        <f>name!E$5</f>
        <v>Professional occupations</v>
      </c>
      <c r="B1132" s="302">
        <v>549.71685313573607</v>
      </c>
      <c r="C1132" s="302">
        <v>199.01797072347247</v>
      </c>
      <c r="D1132" s="302">
        <f t="shared" ref="D1132:D1139" si="412">SUM(B1132:C1132)</f>
        <v>748.73482385920852</v>
      </c>
      <c r="E1132" s="303"/>
      <c r="F1132" s="302">
        <v>665.46527143753326</v>
      </c>
      <c r="G1132" s="302">
        <v>255.08221059603815</v>
      </c>
      <c r="H1132" s="302">
        <f t="shared" ref="H1132:H1139" si="413">SUM(F1132:G1132)</f>
        <v>920.54748203357144</v>
      </c>
      <c r="I1132" s="303"/>
      <c r="J1132" s="302">
        <v>838.95641854243604</v>
      </c>
      <c r="K1132" s="302">
        <v>289.0982941262875</v>
      </c>
      <c r="L1132" s="302">
        <f t="shared" ref="L1132:L1139" si="414">SUM(J1132:K1132)</f>
        <v>1128.0547126687236</v>
      </c>
      <c r="M1132" s="236"/>
      <c r="N1132" s="236"/>
    </row>
    <row r="1133" spans="1:14" x14ac:dyDescent="0.3">
      <c r="A1133" s="237" t="str">
        <f>name!E$6</f>
        <v>Associate professional occupations</v>
      </c>
      <c r="B1133" s="302">
        <v>232.6331564553565</v>
      </c>
      <c r="C1133" s="302">
        <v>84.901718306570956</v>
      </c>
      <c r="D1133" s="302">
        <f t="shared" si="412"/>
        <v>317.53487476192743</v>
      </c>
      <c r="E1133" s="303"/>
      <c r="F1133" s="302">
        <v>280.3135840097782</v>
      </c>
      <c r="G1133" s="302">
        <v>97.184926826752147</v>
      </c>
      <c r="H1133" s="302">
        <f t="shared" si="413"/>
        <v>377.49851083653033</v>
      </c>
      <c r="I1133" s="303"/>
      <c r="J1133" s="302">
        <v>328.45531519709795</v>
      </c>
      <c r="K1133" s="302">
        <v>94.524474812483319</v>
      </c>
      <c r="L1133" s="302">
        <f t="shared" si="414"/>
        <v>422.97979000958128</v>
      </c>
      <c r="M1133" s="236"/>
      <c r="N1133" s="236"/>
    </row>
    <row r="1134" spans="1:14" x14ac:dyDescent="0.3">
      <c r="A1134" s="237" t="str">
        <f>name!E$7</f>
        <v>Administrative and secretarial occupations</v>
      </c>
      <c r="B1134" s="302">
        <v>190.94197851424153</v>
      </c>
      <c r="C1134" s="302">
        <v>31.988561287953761</v>
      </c>
      <c r="D1134" s="302">
        <f t="shared" si="412"/>
        <v>222.93053980219528</v>
      </c>
      <c r="E1134" s="303"/>
      <c r="F1134" s="302">
        <v>186.53251392705394</v>
      </c>
      <c r="G1134" s="302">
        <v>33.729201777454172</v>
      </c>
      <c r="H1134" s="302">
        <f t="shared" si="413"/>
        <v>220.26171570450811</v>
      </c>
      <c r="I1134" s="303"/>
      <c r="J1134" s="302">
        <v>117.57991148952853</v>
      </c>
      <c r="K1134" s="302">
        <v>31.883735641111155</v>
      </c>
      <c r="L1134" s="302">
        <f t="shared" si="414"/>
        <v>149.46364713063969</v>
      </c>
      <c r="M1134" s="236"/>
      <c r="N1134" s="236"/>
    </row>
    <row r="1135" spans="1:14" x14ac:dyDescent="0.3">
      <c r="A1135" s="237" t="str">
        <f>name!E$8</f>
        <v>Skilled trades occupations</v>
      </c>
      <c r="B1135" s="302">
        <v>12.93190835577688</v>
      </c>
      <c r="C1135" s="302">
        <v>17.839401060522594</v>
      </c>
      <c r="D1135" s="302">
        <f t="shared" si="412"/>
        <v>30.771309416299474</v>
      </c>
      <c r="E1135" s="303"/>
      <c r="F1135" s="302">
        <v>11.612083196311016</v>
      </c>
      <c r="G1135" s="302">
        <v>15.202055997826308</v>
      </c>
      <c r="H1135" s="302">
        <f t="shared" si="413"/>
        <v>26.814139194137326</v>
      </c>
      <c r="I1135" s="303"/>
      <c r="J1135" s="302">
        <v>8.7728913505376909</v>
      </c>
      <c r="K1135" s="302">
        <v>13.234262831890641</v>
      </c>
      <c r="L1135" s="302">
        <f t="shared" si="414"/>
        <v>22.00715418242833</v>
      </c>
      <c r="M1135" s="236"/>
      <c r="N1135" s="236"/>
    </row>
    <row r="1136" spans="1:14" x14ac:dyDescent="0.3">
      <c r="A1136" s="237" t="str">
        <f>name!E$9</f>
        <v>Caring, leisure and other service occupations</v>
      </c>
      <c r="B1136" s="302">
        <v>703.58718202933755</v>
      </c>
      <c r="C1136" s="302">
        <v>125.90475515054166</v>
      </c>
      <c r="D1136" s="302">
        <f t="shared" si="412"/>
        <v>829.49193717987919</v>
      </c>
      <c r="E1136" s="303"/>
      <c r="F1136" s="302">
        <v>741.33855431749714</v>
      </c>
      <c r="G1136" s="302">
        <v>137.04396046119965</v>
      </c>
      <c r="H1136" s="302">
        <f t="shared" si="413"/>
        <v>878.38251477869676</v>
      </c>
      <c r="I1136" s="303"/>
      <c r="J1136" s="302">
        <v>864.32788836810073</v>
      </c>
      <c r="K1136" s="302">
        <v>198.06866636049952</v>
      </c>
      <c r="L1136" s="302">
        <f t="shared" si="414"/>
        <v>1062.3965547286002</v>
      </c>
      <c r="M1136" s="236"/>
      <c r="N1136" s="236"/>
    </row>
    <row r="1137" spans="1:14" x14ac:dyDescent="0.3">
      <c r="A1137" s="237" t="str">
        <f>name!E$10</f>
        <v>Sales and customer service occupations</v>
      </c>
      <c r="B1137" s="302">
        <v>25.359076551914889</v>
      </c>
      <c r="C1137" s="302">
        <v>6.8841116965597173</v>
      </c>
      <c r="D1137" s="302">
        <f t="shared" si="412"/>
        <v>32.24318824847461</v>
      </c>
      <c r="E1137" s="303"/>
      <c r="F1137" s="302">
        <v>25.058604075447096</v>
      </c>
      <c r="G1137" s="302">
        <v>6.5694256123868033</v>
      </c>
      <c r="H1137" s="302">
        <f t="shared" si="413"/>
        <v>31.628029687833902</v>
      </c>
      <c r="I1137" s="303"/>
      <c r="J1137" s="302">
        <v>28.831584667895953</v>
      </c>
      <c r="K1137" s="302">
        <v>6.9235729216439905</v>
      </c>
      <c r="L1137" s="302">
        <f t="shared" si="414"/>
        <v>35.755157589539941</v>
      </c>
      <c r="M1137" s="236"/>
      <c r="N1137" s="236"/>
    </row>
    <row r="1138" spans="1:14" x14ac:dyDescent="0.3">
      <c r="A1138" s="237" t="str">
        <f>name!E$11</f>
        <v>Process, plant and machine operatives</v>
      </c>
      <c r="B1138" s="302">
        <v>4.9139546313601299</v>
      </c>
      <c r="C1138" s="302">
        <v>9.7764731184026399</v>
      </c>
      <c r="D1138" s="302">
        <f t="shared" si="412"/>
        <v>14.690427749762769</v>
      </c>
      <c r="E1138" s="303"/>
      <c r="F1138" s="302">
        <v>4.0702064156464823</v>
      </c>
      <c r="G1138" s="302">
        <v>9.2217108650653756</v>
      </c>
      <c r="H1138" s="302">
        <f t="shared" si="413"/>
        <v>13.291917280711857</v>
      </c>
      <c r="I1138" s="303"/>
      <c r="J1138" s="302">
        <v>3.3533924088994191</v>
      </c>
      <c r="K1138" s="302">
        <v>8.1432824575261407</v>
      </c>
      <c r="L1138" s="302">
        <f t="shared" si="414"/>
        <v>11.496674866425559</v>
      </c>
      <c r="M1138" s="236"/>
      <c r="N1138" s="236"/>
    </row>
    <row r="1139" spans="1:14" x14ac:dyDescent="0.3">
      <c r="A1139" s="237" t="str">
        <f>name!E$12</f>
        <v>Elementary occupations</v>
      </c>
      <c r="B1139" s="302">
        <v>57.436766862443633</v>
      </c>
      <c r="C1139" s="302">
        <v>23.727371275916006</v>
      </c>
      <c r="D1139" s="302">
        <f t="shared" si="412"/>
        <v>81.164138138359647</v>
      </c>
      <c r="E1139" s="303"/>
      <c r="F1139" s="302">
        <v>46.681632278187351</v>
      </c>
      <c r="G1139" s="302">
        <v>19.623094893275312</v>
      </c>
      <c r="H1139" s="302">
        <f t="shared" si="413"/>
        <v>66.304727171462659</v>
      </c>
      <c r="I1139" s="303"/>
      <c r="J1139" s="302">
        <v>32.389964806089303</v>
      </c>
      <c r="K1139" s="302">
        <v>14.108171855238888</v>
      </c>
      <c r="L1139" s="302">
        <f t="shared" si="414"/>
        <v>46.498136661328189</v>
      </c>
      <c r="M1139" s="236"/>
      <c r="N1139" s="236"/>
    </row>
    <row r="1140" spans="1:14" x14ac:dyDescent="0.3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  <c r="N1140" s="236"/>
    </row>
    <row r="1141" spans="1:14" x14ac:dyDescent="0.3">
      <c r="A1141" s="244" t="s">
        <v>32</v>
      </c>
      <c r="B1141" s="311">
        <f>SUM(B1131:B1139)</f>
        <v>1838.9519999707011</v>
      </c>
      <c r="C1141" s="311">
        <f t="shared" ref="C1141:D1141" si="415">SUM(C1131:C1139)</f>
        <v>539.46299999798157</v>
      </c>
      <c r="D1141" s="311">
        <f t="shared" si="415"/>
        <v>2378.4149999686829</v>
      </c>
      <c r="E1141" s="311"/>
      <c r="F1141" s="311">
        <f t="shared" ref="F1141:H1141" si="416">SUM(F1131:F1139)</f>
        <v>2040.4539999927983</v>
      </c>
      <c r="G1141" s="311">
        <f t="shared" si="416"/>
        <v>620.93600000274387</v>
      </c>
      <c r="H1141" s="311">
        <f t="shared" si="416"/>
        <v>2661.3899999955424</v>
      </c>
      <c r="I1141" s="311"/>
      <c r="J1141" s="311">
        <f t="shared" ref="J1141:L1141" si="417">SUM(J1131:J1139)</f>
        <v>2324.7699999940478</v>
      </c>
      <c r="K1141" s="311">
        <f t="shared" si="417"/>
        <v>705.28800000265255</v>
      </c>
      <c r="L1141" s="311">
        <f t="shared" si="417"/>
        <v>3030.0579999967008</v>
      </c>
      <c r="M1141" s="236"/>
      <c r="N1141" s="236"/>
    </row>
    <row r="1142" spans="1:14" x14ac:dyDescent="0.3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  <c r="N1142" s="236"/>
    </row>
    <row r="1143" spans="1:14" x14ac:dyDescent="0.3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56" t="s">
        <v>35</v>
      </c>
      <c r="M1143" s="236"/>
      <c r="N1143" s="236"/>
    </row>
    <row r="1144" spans="1:14" x14ac:dyDescent="0.3">
      <c r="A1144" s="242"/>
      <c r="B1144" s="250"/>
      <c r="C1144" s="250"/>
      <c r="D1144" s="250"/>
      <c r="E1144" s="250"/>
      <c r="F1144" s="250"/>
      <c r="G1144" s="250"/>
      <c r="H1144" s="250"/>
      <c r="I1144" s="250"/>
      <c r="J1144" s="250"/>
      <c r="K1144" s="250"/>
      <c r="L1144" s="236"/>
      <c r="M1144" s="236"/>
      <c r="N1144" s="236"/>
    </row>
    <row r="1145" spans="1:14" x14ac:dyDescent="0.3">
      <c r="A1145" s="241" t="str">
        <f>name!A70</f>
        <v>Residential care</v>
      </c>
      <c r="B1145" s="373">
        <f>B$6</f>
        <v>2015</v>
      </c>
      <c r="C1145" s="373"/>
      <c r="D1145" s="373"/>
      <c r="E1145" s="253"/>
      <c r="F1145" s="373">
        <f>F$6</f>
        <v>2020</v>
      </c>
      <c r="G1145" s="373"/>
      <c r="H1145" s="373"/>
      <c r="I1145" s="253"/>
      <c r="J1145" s="373">
        <f>J$6</f>
        <v>2035</v>
      </c>
      <c r="K1145" s="373"/>
      <c r="L1145" s="373"/>
      <c r="M1145" s="236"/>
      <c r="N1145" s="236"/>
    </row>
    <row r="1146" spans="1:14" x14ac:dyDescent="0.3">
      <c r="A1146" s="254"/>
      <c r="B1146" s="255" t="s">
        <v>352</v>
      </c>
      <c r="C1146" s="255" t="s">
        <v>353</v>
      </c>
      <c r="D1146" s="255" t="s">
        <v>32</v>
      </c>
      <c r="E1146" s="255"/>
      <c r="F1146" s="255" t="s">
        <v>352</v>
      </c>
      <c r="G1146" s="255" t="s">
        <v>353</v>
      </c>
      <c r="H1146" s="255" t="s">
        <v>32</v>
      </c>
      <c r="I1146" s="255"/>
      <c r="J1146" s="255" t="s">
        <v>352</v>
      </c>
      <c r="K1146" s="255" t="s">
        <v>353</v>
      </c>
      <c r="L1146" s="255" t="s">
        <v>32</v>
      </c>
      <c r="M1146" s="236"/>
      <c r="N1146" s="236"/>
    </row>
    <row r="1147" spans="1:14" x14ac:dyDescent="0.3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  <c r="N1147" s="236"/>
    </row>
    <row r="1148" spans="1:14" x14ac:dyDescent="0.3">
      <c r="A1148" s="237" t="str">
        <f>name!E$4</f>
        <v>Managers, directors and senior officials</v>
      </c>
      <c r="B1148" s="302">
        <v>21.228339445445041</v>
      </c>
      <c r="C1148" s="302">
        <v>11.801122570093002</v>
      </c>
      <c r="D1148" s="302">
        <f>SUM(B1148:C1148)</f>
        <v>33.029462015538044</v>
      </c>
      <c r="E1148" s="303"/>
      <c r="F1148" s="302">
        <v>24.159189978148206</v>
      </c>
      <c r="G1148" s="302">
        <v>10.698634409391465</v>
      </c>
      <c r="H1148" s="302">
        <f>SUM(F1148:G1148)</f>
        <v>34.857824387539672</v>
      </c>
      <c r="I1148" s="303"/>
      <c r="J1148" s="302">
        <v>32.932348406130359</v>
      </c>
      <c r="K1148" s="302">
        <v>11.863525161010649</v>
      </c>
      <c r="L1148" s="302">
        <f>SUM(J1148:K1148)</f>
        <v>44.795873567141008</v>
      </c>
      <c r="M1148" s="236"/>
      <c r="N1148" s="236"/>
    </row>
    <row r="1149" spans="1:14" x14ac:dyDescent="0.3">
      <c r="A1149" s="237" t="str">
        <f>name!E$5</f>
        <v>Professional occupations</v>
      </c>
      <c r="B1149" s="302">
        <v>185.13151499510755</v>
      </c>
      <c r="C1149" s="302">
        <v>57.181229602411022</v>
      </c>
      <c r="D1149" s="302">
        <f t="shared" ref="D1149:D1156" si="418">SUM(B1149:C1149)</f>
        <v>242.31274459751859</v>
      </c>
      <c r="E1149" s="303"/>
      <c r="F1149" s="302">
        <v>197.23503994757101</v>
      </c>
      <c r="G1149" s="302">
        <v>59.354539761303286</v>
      </c>
      <c r="H1149" s="302">
        <f t="shared" ref="H1149:H1156" si="419">SUM(F1149:G1149)</f>
        <v>256.58957970887428</v>
      </c>
      <c r="I1149" s="303"/>
      <c r="J1149" s="302">
        <v>260.25933916250881</v>
      </c>
      <c r="K1149" s="302">
        <v>71.407691982867391</v>
      </c>
      <c r="L1149" s="302">
        <f t="shared" ref="L1149:L1156" si="420">SUM(J1149:K1149)</f>
        <v>331.6670311453762</v>
      </c>
      <c r="M1149" s="236"/>
      <c r="N1149" s="236"/>
    </row>
    <row r="1150" spans="1:14" x14ac:dyDescent="0.3">
      <c r="A1150" s="237" t="str">
        <f>name!E$6</f>
        <v>Associate professional occupations</v>
      </c>
      <c r="B1150" s="302">
        <v>80.09127100083083</v>
      </c>
      <c r="C1150" s="302">
        <v>26.643249326168856</v>
      </c>
      <c r="D1150" s="302">
        <f t="shared" si="418"/>
        <v>106.73452032699969</v>
      </c>
      <c r="E1150" s="303"/>
      <c r="F1150" s="302">
        <v>83.345465074244061</v>
      </c>
      <c r="G1150" s="302">
        <v>24.799543802388847</v>
      </c>
      <c r="H1150" s="302">
        <f t="shared" si="419"/>
        <v>108.14500887663291</v>
      </c>
      <c r="I1150" s="303"/>
      <c r="J1150" s="302">
        <v>101.25630568798719</v>
      </c>
      <c r="K1150" s="302">
        <v>24.551182011314843</v>
      </c>
      <c r="L1150" s="302">
        <f t="shared" si="420"/>
        <v>125.80748769930204</v>
      </c>
      <c r="M1150" s="236"/>
      <c r="N1150" s="236"/>
    </row>
    <row r="1151" spans="1:14" x14ac:dyDescent="0.3">
      <c r="A1151" s="237" t="str">
        <f>name!E$7</f>
        <v>Administrative and secretarial occupations</v>
      </c>
      <c r="B1151" s="302">
        <v>66.207785855982621</v>
      </c>
      <c r="C1151" s="302">
        <v>11.855076307098898</v>
      </c>
      <c r="D1151" s="302">
        <f t="shared" si="418"/>
        <v>78.062862163081519</v>
      </c>
      <c r="E1151" s="303"/>
      <c r="F1151" s="302">
        <v>55.458112619019857</v>
      </c>
      <c r="G1151" s="302">
        <v>9.8012300685910905</v>
      </c>
      <c r="H1151" s="302">
        <f t="shared" si="419"/>
        <v>65.259342687610953</v>
      </c>
      <c r="I1151" s="303"/>
      <c r="J1151" s="302">
        <v>36.104594593277916</v>
      </c>
      <c r="K1151" s="302">
        <v>9.5646184897054614</v>
      </c>
      <c r="L1151" s="302">
        <f t="shared" si="420"/>
        <v>45.669213082983376</v>
      </c>
      <c r="M1151" s="236"/>
      <c r="N1151" s="236"/>
    </row>
    <row r="1152" spans="1:14" x14ac:dyDescent="0.3">
      <c r="A1152" s="237" t="str">
        <f>name!E$8</f>
        <v>Skilled trades occupations</v>
      </c>
      <c r="B1152" s="302">
        <v>4.5255923598268284</v>
      </c>
      <c r="C1152" s="302">
        <v>5.7184751197137658</v>
      </c>
      <c r="D1152" s="302">
        <f t="shared" si="418"/>
        <v>10.244067479540593</v>
      </c>
      <c r="E1152" s="303"/>
      <c r="F1152" s="302">
        <v>3.4551021188661384</v>
      </c>
      <c r="G1152" s="302">
        <v>3.5742883442504767</v>
      </c>
      <c r="H1152" s="302">
        <f t="shared" si="419"/>
        <v>7.0293904631166146</v>
      </c>
      <c r="I1152" s="303"/>
      <c r="J1152" s="302">
        <v>2.5963793874902881</v>
      </c>
      <c r="K1152" s="302">
        <v>3.2542113851877552</v>
      </c>
      <c r="L1152" s="302">
        <f t="shared" si="420"/>
        <v>5.8505907726780428</v>
      </c>
      <c r="M1152" s="236"/>
      <c r="N1152" s="236"/>
    </row>
    <row r="1153" spans="1:14" x14ac:dyDescent="0.3">
      <c r="A1153" s="237" t="str">
        <f>name!E$9</f>
        <v>Caring, leisure and other service occupations</v>
      </c>
      <c r="B1153" s="302">
        <v>245.24804982282316</v>
      </c>
      <c r="C1153" s="302">
        <v>42.994254085876783</v>
      </c>
      <c r="D1153" s="302">
        <f t="shared" si="418"/>
        <v>288.24230390869997</v>
      </c>
      <c r="E1153" s="303"/>
      <c r="F1153" s="302">
        <v>223.1374820713485</v>
      </c>
      <c r="G1153" s="302">
        <v>37.627988878915573</v>
      </c>
      <c r="H1153" s="302">
        <f t="shared" si="419"/>
        <v>260.7654709502641</v>
      </c>
      <c r="I1153" s="303"/>
      <c r="J1153" s="302">
        <v>266.19877103819601</v>
      </c>
      <c r="K1153" s="302">
        <v>54.078889145870377</v>
      </c>
      <c r="L1153" s="302">
        <f t="shared" si="420"/>
        <v>320.27766018406641</v>
      </c>
      <c r="M1153" s="236"/>
      <c r="N1153" s="236"/>
    </row>
    <row r="1154" spans="1:14" x14ac:dyDescent="0.3">
      <c r="A1154" s="237" t="str">
        <f>name!E$10</f>
        <v>Sales and customer service occupations</v>
      </c>
      <c r="B1154" s="302">
        <v>8.7791095532883396</v>
      </c>
      <c r="C1154" s="302">
        <v>2.4638333164149548</v>
      </c>
      <c r="D1154" s="302">
        <f t="shared" si="418"/>
        <v>11.242942869703295</v>
      </c>
      <c r="E1154" s="303"/>
      <c r="F1154" s="302">
        <v>7.3880580478380793</v>
      </c>
      <c r="G1154" s="302">
        <v>1.7475704384319919</v>
      </c>
      <c r="H1154" s="302">
        <f t="shared" si="419"/>
        <v>9.1356284862700718</v>
      </c>
      <c r="I1154" s="303"/>
      <c r="J1154" s="302">
        <v>8.7026709764274983</v>
      </c>
      <c r="K1154" s="302">
        <v>1.9401085206566449</v>
      </c>
      <c r="L1154" s="302">
        <f t="shared" si="420"/>
        <v>10.642779497084144</v>
      </c>
      <c r="M1154" s="236"/>
      <c r="N1154" s="236"/>
    </row>
    <row r="1155" spans="1:14" x14ac:dyDescent="0.3">
      <c r="A1155" s="237" t="str">
        <f>name!E$11</f>
        <v>Process, plant and machine operatives</v>
      </c>
      <c r="B1155" s="302">
        <v>1.6782872109692757</v>
      </c>
      <c r="C1155" s="302">
        <v>4.1776138900071276</v>
      </c>
      <c r="D1155" s="302">
        <f t="shared" si="418"/>
        <v>5.8559011009764035</v>
      </c>
      <c r="E1155" s="303"/>
      <c r="F1155" s="302">
        <v>1.1954851639408302</v>
      </c>
      <c r="G1155" s="302">
        <v>2.9656479091374033</v>
      </c>
      <c r="H1155" s="302">
        <f t="shared" si="419"/>
        <v>4.1611330730782337</v>
      </c>
      <c r="I1155" s="303"/>
      <c r="J1155" s="302">
        <v>0.9369474033602192</v>
      </c>
      <c r="K1155" s="302">
        <v>2.5769175475650874</v>
      </c>
      <c r="L1155" s="302">
        <f t="shared" si="420"/>
        <v>3.5138649509253064</v>
      </c>
      <c r="M1155" s="236"/>
      <c r="N1155" s="236"/>
    </row>
    <row r="1156" spans="1:14" x14ac:dyDescent="0.3">
      <c r="A1156" s="237" t="str">
        <f>name!E$12</f>
        <v>Elementary occupations</v>
      </c>
      <c r="B1156" s="302">
        <v>18.893049744693855</v>
      </c>
      <c r="C1156" s="302">
        <v>10.101145781204622</v>
      </c>
      <c r="D1156" s="302">
        <f t="shared" si="418"/>
        <v>28.994195525898476</v>
      </c>
      <c r="E1156" s="303"/>
      <c r="F1156" s="302">
        <v>12.8640649781905</v>
      </c>
      <c r="G1156" s="302">
        <v>6.0835563876002814</v>
      </c>
      <c r="H1156" s="302">
        <f t="shared" si="419"/>
        <v>18.947621365790781</v>
      </c>
      <c r="I1156" s="303"/>
      <c r="J1156" s="302">
        <v>8.8166433429134354</v>
      </c>
      <c r="K1156" s="302">
        <v>4.212855755432396</v>
      </c>
      <c r="L1156" s="302">
        <f t="shared" si="420"/>
        <v>13.029499098345831</v>
      </c>
      <c r="M1156" s="236"/>
      <c r="N1156" s="236"/>
    </row>
    <row r="1157" spans="1:14" x14ac:dyDescent="0.3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  <c r="N1157" s="236"/>
    </row>
    <row r="1158" spans="1:14" x14ac:dyDescent="0.3">
      <c r="A1158" s="244" t="s">
        <v>32</v>
      </c>
      <c r="B1158" s="311">
        <f>SUM(B1148:B1156)</f>
        <v>631.78299998896739</v>
      </c>
      <c r="C1158" s="311">
        <f t="shared" ref="C1158:D1158" si="421">SUM(C1148:C1156)</f>
        <v>172.93599999898905</v>
      </c>
      <c r="D1158" s="311">
        <f t="shared" si="421"/>
        <v>804.71899998795664</v>
      </c>
      <c r="E1158" s="311"/>
      <c r="F1158" s="311">
        <f t="shared" ref="F1158:H1158" si="422">SUM(F1148:F1156)</f>
        <v>608.23799999916719</v>
      </c>
      <c r="G1158" s="311">
        <f t="shared" si="422"/>
        <v>156.65300000001042</v>
      </c>
      <c r="H1158" s="311">
        <f t="shared" si="422"/>
        <v>764.89099999917767</v>
      </c>
      <c r="I1158" s="311"/>
      <c r="J1158" s="311">
        <f t="shared" ref="J1158:L1158" si="423">SUM(J1148:J1156)</f>
        <v>717.80399999829172</v>
      </c>
      <c r="K1158" s="311">
        <f t="shared" si="423"/>
        <v>183.44999999961061</v>
      </c>
      <c r="L1158" s="311">
        <f t="shared" si="423"/>
        <v>901.25399999790238</v>
      </c>
      <c r="M1158" s="236"/>
      <c r="N1158" s="236"/>
    </row>
    <row r="1159" spans="1:14" x14ac:dyDescent="0.3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  <c r="N1159" s="236"/>
    </row>
    <row r="1160" spans="1:14" x14ac:dyDescent="0.3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56" t="s">
        <v>35</v>
      </c>
      <c r="M1160" s="236"/>
      <c r="N1160" s="236"/>
    </row>
    <row r="1161" spans="1:14" x14ac:dyDescent="0.3">
      <c r="A1161" s="242"/>
      <c r="B1161" s="250"/>
      <c r="C1161" s="250"/>
      <c r="D1161" s="250"/>
      <c r="E1161" s="250"/>
      <c r="F1161" s="250"/>
      <c r="G1161" s="250"/>
      <c r="H1161" s="250"/>
      <c r="I1161" s="250"/>
      <c r="J1161" s="250"/>
      <c r="K1161" s="250"/>
      <c r="L1161" s="236"/>
      <c r="M1161" s="236"/>
      <c r="N1161" s="236"/>
    </row>
    <row r="1162" spans="1:14" x14ac:dyDescent="0.3">
      <c r="A1162" s="241" t="str">
        <f>name!A71</f>
        <v>Social work</v>
      </c>
      <c r="B1162" s="373">
        <f>B$6</f>
        <v>2015</v>
      </c>
      <c r="C1162" s="373"/>
      <c r="D1162" s="373"/>
      <c r="E1162" s="253"/>
      <c r="F1162" s="373">
        <f>F$6</f>
        <v>2020</v>
      </c>
      <c r="G1162" s="373"/>
      <c r="H1162" s="373"/>
      <c r="I1162" s="253"/>
      <c r="J1162" s="373">
        <f>J$6</f>
        <v>2035</v>
      </c>
      <c r="K1162" s="373"/>
      <c r="L1162" s="373"/>
      <c r="M1162" s="236"/>
      <c r="N1162" s="236"/>
    </row>
    <row r="1163" spans="1:14" x14ac:dyDescent="0.3">
      <c r="A1163" s="254"/>
      <c r="B1163" s="255" t="s">
        <v>352</v>
      </c>
      <c r="C1163" s="255" t="s">
        <v>353</v>
      </c>
      <c r="D1163" s="255" t="s">
        <v>32</v>
      </c>
      <c r="E1163" s="255"/>
      <c r="F1163" s="255" t="s">
        <v>352</v>
      </c>
      <c r="G1163" s="255" t="s">
        <v>353</v>
      </c>
      <c r="H1163" s="255" t="s">
        <v>32</v>
      </c>
      <c r="I1163" s="255"/>
      <c r="J1163" s="255" t="s">
        <v>352</v>
      </c>
      <c r="K1163" s="255" t="s">
        <v>353</v>
      </c>
      <c r="L1163" s="255" t="s">
        <v>32</v>
      </c>
      <c r="M1163" s="236"/>
      <c r="N1163" s="236"/>
    </row>
    <row r="1164" spans="1:14" x14ac:dyDescent="0.3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  <c r="N1164" s="236"/>
    </row>
    <row r="1165" spans="1:14" x14ac:dyDescent="0.3">
      <c r="A1165" s="237" t="str">
        <f>name!E$4</f>
        <v>Managers, directors and senior officials</v>
      </c>
      <c r="B1165" s="302">
        <v>26.81189555237043</v>
      </c>
      <c r="C1165" s="302">
        <v>14.499223032615419</v>
      </c>
      <c r="D1165" s="302">
        <f>SUM(B1165:C1165)</f>
        <v>41.311118584985849</v>
      </c>
      <c r="E1165" s="303"/>
      <c r="F1165" s="302">
        <v>30.225576513066411</v>
      </c>
      <c r="G1165" s="302">
        <v>13.1249115583528</v>
      </c>
      <c r="H1165" s="302">
        <f>SUM(F1165:G1165)</f>
        <v>43.350488071419207</v>
      </c>
      <c r="I1165" s="303"/>
      <c r="J1165" s="302">
        <v>40.21335449663205</v>
      </c>
      <c r="K1165" s="302">
        <v>14.440592264134434</v>
      </c>
      <c r="L1165" s="302">
        <f>SUM(J1165:K1165)</f>
        <v>54.653946760766488</v>
      </c>
      <c r="M1165" s="236"/>
      <c r="N1165" s="236"/>
    </row>
    <row r="1166" spans="1:14" x14ac:dyDescent="0.3">
      <c r="A1166" s="237" t="str">
        <f>name!E$5</f>
        <v>Professional occupations</v>
      </c>
      <c r="B1166" s="302">
        <v>245.55508120514034</v>
      </c>
      <c r="C1166" s="302">
        <v>71.29728183109782</v>
      </c>
      <c r="D1166" s="302">
        <f t="shared" ref="D1166:D1173" si="424">SUM(B1166:C1166)</f>
        <v>316.85236303623816</v>
      </c>
      <c r="E1166" s="303"/>
      <c r="F1166" s="302">
        <v>259.78450367306112</v>
      </c>
      <c r="G1166" s="302">
        <v>73.536788462990415</v>
      </c>
      <c r="H1166" s="302">
        <f t="shared" ref="H1166:H1173" si="425">SUM(F1166:G1166)</f>
        <v>333.32129213605151</v>
      </c>
      <c r="I1166" s="303"/>
      <c r="J1166" s="302">
        <v>333.76699272872139</v>
      </c>
      <c r="K1166" s="302">
        <v>87.758773946799337</v>
      </c>
      <c r="L1166" s="302">
        <f t="shared" ref="L1166:L1173" si="426">SUM(J1166:K1166)</f>
        <v>421.52576667552074</v>
      </c>
      <c r="M1166" s="236"/>
      <c r="N1166" s="236"/>
    </row>
    <row r="1167" spans="1:14" x14ac:dyDescent="0.3">
      <c r="A1167" s="237" t="str">
        <f>name!E$6</f>
        <v>Associate professional occupations</v>
      </c>
      <c r="B1167" s="302">
        <v>105.29671140156788</v>
      </c>
      <c r="C1167" s="302">
        <v>33.106420600028009</v>
      </c>
      <c r="D1167" s="302">
        <f t="shared" si="424"/>
        <v>138.40313200159588</v>
      </c>
      <c r="E1167" s="303"/>
      <c r="F1167" s="302">
        <v>109.87120717062967</v>
      </c>
      <c r="G1167" s="302">
        <v>31.084122133512757</v>
      </c>
      <c r="H1167" s="302">
        <f t="shared" si="425"/>
        <v>140.95532930414242</v>
      </c>
      <c r="I1167" s="303"/>
      <c r="J1167" s="302">
        <v>129.59287511872492</v>
      </c>
      <c r="K1167" s="302">
        <v>30.645091676782602</v>
      </c>
      <c r="L1167" s="302">
        <f t="shared" si="426"/>
        <v>160.23796679550753</v>
      </c>
      <c r="M1167" s="236"/>
      <c r="N1167" s="236"/>
    </row>
    <row r="1168" spans="1:14" x14ac:dyDescent="0.3">
      <c r="A1168" s="237" t="str">
        <f>name!E$7</f>
        <v>Administrative and secretarial occupations</v>
      </c>
      <c r="B1168" s="302">
        <v>86.59946792329734</v>
      </c>
      <c r="C1168" s="302">
        <v>14.806591991023414</v>
      </c>
      <c r="D1168" s="302">
        <f t="shared" si="424"/>
        <v>101.40605991432075</v>
      </c>
      <c r="E1168" s="303"/>
      <c r="F1168" s="302">
        <v>73.558109008099493</v>
      </c>
      <c r="G1168" s="302">
        <v>12.422779251733603</v>
      </c>
      <c r="H1168" s="302">
        <f t="shared" si="425"/>
        <v>85.980888259833094</v>
      </c>
      <c r="I1168" s="303"/>
      <c r="J1168" s="302">
        <v>46.211377977795678</v>
      </c>
      <c r="K1168" s="302">
        <v>12.232692548065547</v>
      </c>
      <c r="L1168" s="302">
        <f t="shared" si="426"/>
        <v>58.444070525861221</v>
      </c>
      <c r="M1168" s="236"/>
      <c r="N1168" s="236"/>
    </row>
    <row r="1169" spans="1:14" x14ac:dyDescent="0.3">
      <c r="A1169" s="237" t="str">
        <f>name!E$8</f>
        <v>Skilled trades occupations</v>
      </c>
      <c r="B1169" s="302">
        <v>5.9955510170336206</v>
      </c>
      <c r="C1169" s="302">
        <v>6.9678005710773068</v>
      </c>
      <c r="D1169" s="302">
        <f t="shared" si="424"/>
        <v>12.963351588110928</v>
      </c>
      <c r="E1169" s="303"/>
      <c r="F1169" s="302">
        <v>4.6579199583962971</v>
      </c>
      <c r="G1169" s="302">
        <v>4.3068221306070784</v>
      </c>
      <c r="H1169" s="302">
        <f t="shared" si="425"/>
        <v>8.9647420890033764</v>
      </c>
      <c r="I1169" s="303"/>
      <c r="J1169" s="302">
        <v>3.4432490441680406</v>
      </c>
      <c r="K1169" s="302">
        <v>3.9548969586263283</v>
      </c>
      <c r="L1169" s="302">
        <f t="shared" si="426"/>
        <v>7.3981460027943688</v>
      </c>
      <c r="M1169" s="236"/>
      <c r="N1169" s="236"/>
    </row>
    <row r="1170" spans="1:14" x14ac:dyDescent="0.3">
      <c r="A1170" s="237" t="str">
        <f>name!E$9</f>
        <v>Caring, leisure and other service occupations</v>
      </c>
      <c r="B1170" s="302">
        <v>317.61512249442831</v>
      </c>
      <c r="C1170" s="302">
        <v>53.351060064378984</v>
      </c>
      <c r="D1170" s="302">
        <f t="shared" si="424"/>
        <v>370.9661825588073</v>
      </c>
      <c r="E1170" s="303"/>
      <c r="F1170" s="302">
        <v>291.03392235056754</v>
      </c>
      <c r="G1170" s="302">
        <v>47.575789873968162</v>
      </c>
      <c r="H1170" s="302">
        <f t="shared" si="425"/>
        <v>338.60971222453571</v>
      </c>
      <c r="I1170" s="303"/>
      <c r="J1170" s="302">
        <v>340.83275592617673</v>
      </c>
      <c r="K1170" s="302">
        <v>67.543266935221297</v>
      </c>
      <c r="L1170" s="302">
        <f t="shared" si="426"/>
        <v>408.37602286139804</v>
      </c>
      <c r="M1170" s="236"/>
      <c r="N1170" s="236"/>
    </row>
    <row r="1171" spans="1:14" x14ac:dyDescent="0.3">
      <c r="A1171" s="237" t="str">
        <f>name!E$10</f>
        <v>Sales and customer service occupations</v>
      </c>
      <c r="B1171" s="302">
        <v>11.520664178597894</v>
      </c>
      <c r="C1171" s="302">
        <v>2.9925310997594896</v>
      </c>
      <c r="D1171" s="302">
        <f t="shared" si="424"/>
        <v>14.513195278357383</v>
      </c>
      <c r="E1171" s="303"/>
      <c r="F1171" s="302">
        <v>9.7974485354168035</v>
      </c>
      <c r="G1171" s="302">
        <v>2.1864698094032025</v>
      </c>
      <c r="H1171" s="302">
        <f t="shared" si="425"/>
        <v>11.983918344820006</v>
      </c>
      <c r="I1171" s="303"/>
      <c r="J1171" s="302">
        <v>11.237134131644682</v>
      </c>
      <c r="K1171" s="302">
        <v>2.4386900776835247</v>
      </c>
      <c r="L1171" s="302">
        <f t="shared" si="426"/>
        <v>13.675824209328207</v>
      </c>
      <c r="M1171" s="236"/>
      <c r="N1171" s="236"/>
    </row>
    <row r="1172" spans="1:14" x14ac:dyDescent="0.3">
      <c r="A1172" s="237" t="str">
        <f>name!E$11</f>
        <v>Process, plant and machine operatives</v>
      </c>
      <c r="B1172" s="302">
        <v>2.2265395164410196</v>
      </c>
      <c r="C1172" s="302">
        <v>5.1481332924247365</v>
      </c>
      <c r="D1172" s="302">
        <f t="shared" si="424"/>
        <v>7.374672808865756</v>
      </c>
      <c r="E1172" s="303"/>
      <c r="F1172" s="302">
        <v>1.609470518718414</v>
      </c>
      <c r="G1172" s="302">
        <v>3.9988388214604793</v>
      </c>
      <c r="H1172" s="302">
        <f t="shared" si="425"/>
        <v>5.6083093401788933</v>
      </c>
      <c r="I1172" s="303"/>
      <c r="J1172" s="302">
        <v>1.31890622255095</v>
      </c>
      <c r="K1172" s="302">
        <v>3.485759377179944</v>
      </c>
      <c r="L1172" s="302">
        <f t="shared" si="426"/>
        <v>4.8046655997308942</v>
      </c>
      <c r="M1172" s="236"/>
      <c r="N1172" s="236"/>
    </row>
    <row r="1173" spans="1:14" x14ac:dyDescent="0.3">
      <c r="A1173" s="237" t="str">
        <f>name!E$12</f>
        <v>Elementary occupations</v>
      </c>
      <c r="B1173" s="302">
        <v>26.847966696521059</v>
      </c>
      <c r="C1173" s="302">
        <v>11.963957516256833</v>
      </c>
      <c r="D1173" s="302">
        <f t="shared" si="424"/>
        <v>38.811924212777896</v>
      </c>
      <c r="E1173" s="303"/>
      <c r="F1173" s="302">
        <v>19.3838422697984</v>
      </c>
      <c r="G1173" s="302">
        <v>7.5564779586394408</v>
      </c>
      <c r="H1173" s="302">
        <f t="shared" si="425"/>
        <v>26.940320228437841</v>
      </c>
      <c r="I1173" s="303"/>
      <c r="J1173" s="302">
        <v>12.681354351086915</v>
      </c>
      <c r="K1173" s="302">
        <v>5.1982362156600344</v>
      </c>
      <c r="L1173" s="302">
        <f t="shared" si="426"/>
        <v>17.879590566746948</v>
      </c>
      <c r="M1173" s="236"/>
      <c r="N1173" s="236"/>
    </row>
    <row r="1174" spans="1:14" x14ac:dyDescent="0.3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  <c r="N1174" s="236"/>
    </row>
    <row r="1175" spans="1:14" x14ac:dyDescent="0.3">
      <c r="A1175" s="244" t="s">
        <v>32</v>
      </c>
      <c r="B1175" s="311">
        <f>SUM(B1165:B1173)</f>
        <v>828.46899998539789</v>
      </c>
      <c r="C1175" s="311">
        <f t="shared" ref="C1175:D1175" si="427">SUM(C1165:C1173)</f>
        <v>214.13299999866203</v>
      </c>
      <c r="D1175" s="311">
        <f t="shared" si="427"/>
        <v>1042.6019999840598</v>
      </c>
      <c r="E1175" s="311"/>
      <c r="F1175" s="311">
        <f t="shared" ref="F1175:H1175" si="428">SUM(F1165:F1173)</f>
        <v>799.92199999775414</v>
      </c>
      <c r="G1175" s="311">
        <f t="shared" si="428"/>
        <v>195.79300000066797</v>
      </c>
      <c r="H1175" s="311">
        <f t="shared" si="428"/>
        <v>995.71499999842206</v>
      </c>
      <c r="I1175" s="311"/>
      <c r="J1175" s="311">
        <f t="shared" ref="J1175:L1175" si="429">SUM(J1165:J1173)</f>
        <v>919.29799999750128</v>
      </c>
      <c r="K1175" s="311">
        <f t="shared" si="429"/>
        <v>227.69800000015309</v>
      </c>
      <c r="L1175" s="311">
        <f t="shared" si="429"/>
        <v>1146.9959999976545</v>
      </c>
      <c r="M1175" s="236"/>
      <c r="N1175" s="236"/>
    </row>
    <row r="1176" spans="1:14" x14ac:dyDescent="0.3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  <c r="N1176" s="236"/>
    </row>
    <row r="1177" spans="1:14" x14ac:dyDescent="0.3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56" t="s">
        <v>35</v>
      </c>
      <c r="M1177" s="236"/>
      <c r="N1177" s="236"/>
    </row>
    <row r="1178" spans="1:14" x14ac:dyDescent="0.3">
      <c r="A1178" s="242"/>
      <c r="B1178" s="250"/>
      <c r="C1178" s="250"/>
      <c r="D1178" s="250"/>
      <c r="E1178" s="250"/>
      <c r="F1178" s="250"/>
      <c r="G1178" s="250"/>
      <c r="H1178" s="250"/>
      <c r="I1178" s="250"/>
      <c r="J1178" s="250"/>
      <c r="K1178" s="250"/>
      <c r="L1178" s="236"/>
      <c r="M1178" s="236"/>
      <c r="N1178" s="236"/>
    </row>
    <row r="1179" spans="1:14" x14ac:dyDescent="0.3">
      <c r="A1179" s="241" t="str">
        <f>name!A72</f>
        <v>Arts and entertainment</v>
      </c>
      <c r="B1179" s="373">
        <f>B$6</f>
        <v>2015</v>
      </c>
      <c r="C1179" s="373"/>
      <c r="D1179" s="373"/>
      <c r="E1179" s="253"/>
      <c r="F1179" s="373">
        <f>F$6</f>
        <v>2020</v>
      </c>
      <c r="G1179" s="373"/>
      <c r="H1179" s="373"/>
      <c r="I1179" s="253"/>
      <c r="J1179" s="373">
        <f>J$6</f>
        <v>2035</v>
      </c>
      <c r="K1179" s="373"/>
      <c r="L1179" s="373"/>
      <c r="M1179" s="236"/>
      <c r="N1179" s="236"/>
    </row>
    <row r="1180" spans="1:14" x14ac:dyDescent="0.3">
      <c r="A1180" s="254"/>
      <c r="B1180" s="255" t="s">
        <v>352</v>
      </c>
      <c r="C1180" s="255" t="s">
        <v>353</v>
      </c>
      <c r="D1180" s="255" t="s">
        <v>32</v>
      </c>
      <c r="E1180" s="255"/>
      <c r="F1180" s="255" t="s">
        <v>352</v>
      </c>
      <c r="G1180" s="255" t="s">
        <v>353</v>
      </c>
      <c r="H1180" s="255" t="s">
        <v>32</v>
      </c>
      <c r="I1180" s="255"/>
      <c r="J1180" s="255" t="s">
        <v>352</v>
      </c>
      <c r="K1180" s="255" t="s">
        <v>353</v>
      </c>
      <c r="L1180" s="255" t="s">
        <v>32</v>
      </c>
      <c r="M1180" s="236"/>
      <c r="N1180" s="236"/>
    </row>
    <row r="1181" spans="1:14" x14ac:dyDescent="0.3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  <c r="N1181" s="236"/>
    </row>
    <row r="1182" spans="1:14" x14ac:dyDescent="0.3">
      <c r="A1182" s="237" t="str">
        <f>name!E$4</f>
        <v>Managers, directors and senior officials</v>
      </c>
      <c r="B1182" s="302">
        <v>6.6242208294865295</v>
      </c>
      <c r="C1182" s="302">
        <v>8.4465626188697787</v>
      </c>
      <c r="D1182" s="302">
        <f>SUM(B1182:C1182)</f>
        <v>15.070783448356309</v>
      </c>
      <c r="E1182" s="303"/>
      <c r="F1182" s="302">
        <v>11.436729885655129</v>
      </c>
      <c r="G1182" s="302">
        <v>7.8249281350044333</v>
      </c>
      <c r="H1182" s="302">
        <f>SUM(F1182:G1182)</f>
        <v>19.261658020659564</v>
      </c>
      <c r="I1182" s="303"/>
      <c r="J1182" s="302">
        <v>14.415329622154299</v>
      </c>
      <c r="K1182" s="302">
        <v>7.9266440763393797</v>
      </c>
      <c r="L1182" s="302">
        <f>SUM(J1182:K1182)</f>
        <v>22.341973698493678</v>
      </c>
      <c r="M1182" s="236"/>
      <c r="N1182" s="236"/>
    </row>
    <row r="1183" spans="1:14" x14ac:dyDescent="0.3">
      <c r="A1183" s="237" t="str">
        <f>name!E$5</f>
        <v>Professional occupations</v>
      </c>
      <c r="B1183" s="302">
        <v>12.830234700946352</v>
      </c>
      <c r="C1183" s="302">
        <v>17.642122992603955</v>
      </c>
      <c r="D1183" s="302">
        <f t="shared" ref="D1183:D1190" si="430">SUM(B1183:C1183)</f>
        <v>30.472357693550308</v>
      </c>
      <c r="E1183" s="303"/>
      <c r="F1183" s="302">
        <v>20.948504062836022</v>
      </c>
      <c r="G1183" s="302">
        <v>17.069122149490209</v>
      </c>
      <c r="H1183" s="302">
        <f t="shared" ref="H1183:H1190" si="431">SUM(F1183:G1183)</f>
        <v>38.017626212326235</v>
      </c>
      <c r="I1183" s="303"/>
      <c r="J1183" s="302">
        <v>22.222714863030969</v>
      </c>
      <c r="K1183" s="302">
        <v>17.058378578813194</v>
      </c>
      <c r="L1183" s="302">
        <f t="shared" ref="L1183:L1190" si="432">SUM(J1183:K1183)</f>
        <v>39.281093441844163</v>
      </c>
      <c r="M1183" s="236"/>
      <c r="N1183" s="236"/>
    </row>
    <row r="1184" spans="1:14" x14ac:dyDescent="0.3">
      <c r="A1184" s="237" t="str">
        <f>name!E$6</f>
        <v>Associate professional occupations</v>
      </c>
      <c r="B1184" s="302">
        <v>24.234365107340423</v>
      </c>
      <c r="C1184" s="302">
        <v>41.501845281802396</v>
      </c>
      <c r="D1184" s="302">
        <f t="shared" si="430"/>
        <v>65.736210389142826</v>
      </c>
      <c r="E1184" s="303"/>
      <c r="F1184" s="302">
        <v>42.07795176143437</v>
      </c>
      <c r="G1184" s="302">
        <v>38.443459458985728</v>
      </c>
      <c r="H1184" s="302">
        <f t="shared" si="431"/>
        <v>80.521411220420106</v>
      </c>
      <c r="I1184" s="303"/>
      <c r="J1184" s="302">
        <v>46.482587870770331</v>
      </c>
      <c r="K1184" s="302">
        <v>35.5546152022211</v>
      </c>
      <c r="L1184" s="302">
        <f t="shared" si="432"/>
        <v>82.037203072991431</v>
      </c>
      <c r="M1184" s="236"/>
      <c r="N1184" s="236"/>
    </row>
    <row r="1185" spans="1:14" x14ac:dyDescent="0.3">
      <c r="A1185" s="237" t="str">
        <f>name!E$7</f>
        <v>Administrative and secretarial occupations</v>
      </c>
      <c r="B1185" s="302">
        <v>11.764116216740728</v>
      </c>
      <c r="C1185" s="302">
        <v>3.2070576650769063</v>
      </c>
      <c r="D1185" s="302">
        <f t="shared" si="430"/>
        <v>14.971173881817634</v>
      </c>
      <c r="E1185" s="303"/>
      <c r="F1185" s="302">
        <v>12.97197136883964</v>
      </c>
      <c r="G1185" s="302">
        <v>3.9849340569770804</v>
      </c>
      <c r="H1185" s="302">
        <f t="shared" si="431"/>
        <v>16.956905425816721</v>
      </c>
      <c r="I1185" s="303"/>
      <c r="J1185" s="302">
        <v>10.616399496529302</v>
      </c>
      <c r="K1185" s="302">
        <v>3.6656913372977495</v>
      </c>
      <c r="L1185" s="302">
        <f t="shared" si="432"/>
        <v>14.282090833827052</v>
      </c>
      <c r="M1185" s="236"/>
      <c r="N1185" s="236"/>
    </row>
    <row r="1186" spans="1:14" x14ac:dyDescent="0.3">
      <c r="A1186" s="237" t="str">
        <f>name!E$8</f>
        <v>Skilled trades occupations</v>
      </c>
      <c r="B1186" s="302">
        <v>3.3753924402446485</v>
      </c>
      <c r="C1186" s="302">
        <v>9.8520085653665515</v>
      </c>
      <c r="D1186" s="302">
        <f t="shared" si="430"/>
        <v>13.227401005611199</v>
      </c>
      <c r="E1186" s="303"/>
      <c r="F1186" s="302">
        <v>6.506521396300009</v>
      </c>
      <c r="G1186" s="302">
        <v>7.7380833277505374</v>
      </c>
      <c r="H1186" s="302">
        <f t="shared" si="431"/>
        <v>14.244604724050546</v>
      </c>
      <c r="I1186" s="303"/>
      <c r="J1186" s="302">
        <v>8.9534802808061063</v>
      </c>
      <c r="K1186" s="302">
        <v>6.825825465240527</v>
      </c>
      <c r="L1186" s="302">
        <f t="shared" si="432"/>
        <v>15.779305746046633</v>
      </c>
      <c r="M1186" s="236"/>
      <c r="N1186" s="236"/>
    </row>
    <row r="1187" spans="1:14" x14ac:dyDescent="0.3">
      <c r="A1187" s="237" t="str">
        <f>name!E$9</f>
        <v>Caring, leisure and other service occupations</v>
      </c>
      <c r="B1187" s="302">
        <v>5.4758386499825766</v>
      </c>
      <c r="C1187" s="302">
        <v>3.7607685139533169</v>
      </c>
      <c r="D1187" s="302">
        <f t="shared" si="430"/>
        <v>9.2366071639358935</v>
      </c>
      <c r="E1187" s="303"/>
      <c r="F1187" s="302">
        <v>6.1969164326795498</v>
      </c>
      <c r="G1187" s="302">
        <v>4.1192611029024659</v>
      </c>
      <c r="H1187" s="302">
        <f t="shared" si="431"/>
        <v>10.316177535582016</v>
      </c>
      <c r="I1187" s="303"/>
      <c r="J1187" s="302">
        <v>5.9243392935462733</v>
      </c>
      <c r="K1187" s="302">
        <v>4.5717385623157014</v>
      </c>
      <c r="L1187" s="302">
        <f t="shared" si="432"/>
        <v>10.496077855861975</v>
      </c>
      <c r="M1187" s="236"/>
      <c r="N1187" s="236"/>
    </row>
    <row r="1188" spans="1:14" x14ac:dyDescent="0.3">
      <c r="A1188" s="237" t="str">
        <f>name!E$10</f>
        <v>Sales and customer service occupations</v>
      </c>
      <c r="B1188" s="302">
        <v>3.804953479304952</v>
      </c>
      <c r="C1188" s="302">
        <v>3.0928497587000465</v>
      </c>
      <c r="D1188" s="302">
        <f t="shared" si="430"/>
        <v>6.8978032380049985</v>
      </c>
      <c r="E1188" s="303"/>
      <c r="F1188" s="302">
        <v>4.389728523438893</v>
      </c>
      <c r="G1188" s="302">
        <v>3.3895693486096237</v>
      </c>
      <c r="H1188" s="302">
        <f t="shared" si="431"/>
        <v>7.7792978720485166</v>
      </c>
      <c r="I1188" s="303"/>
      <c r="J1188" s="302">
        <v>4.1426099471980917</v>
      </c>
      <c r="K1188" s="302">
        <v>3.6166490567032108</v>
      </c>
      <c r="L1188" s="302">
        <f t="shared" si="432"/>
        <v>7.7592590039013025</v>
      </c>
      <c r="M1188" s="236"/>
      <c r="N1188" s="236"/>
    </row>
    <row r="1189" spans="1:14" x14ac:dyDescent="0.3">
      <c r="A1189" s="237" t="str">
        <f>name!E$11</f>
        <v>Process, plant and machine operatives</v>
      </c>
      <c r="B1189" s="302">
        <v>0.20135518745762795</v>
      </c>
      <c r="C1189" s="302">
        <v>0.93573766643920198</v>
      </c>
      <c r="D1189" s="302">
        <f t="shared" si="430"/>
        <v>1.1370928538968299</v>
      </c>
      <c r="E1189" s="303"/>
      <c r="F1189" s="302">
        <v>0.28459818419748856</v>
      </c>
      <c r="G1189" s="302">
        <v>0.89843736329105206</v>
      </c>
      <c r="H1189" s="302">
        <f t="shared" si="431"/>
        <v>1.1830355474885406</v>
      </c>
      <c r="I1189" s="303"/>
      <c r="J1189" s="302">
        <v>0.44297850129457567</v>
      </c>
      <c r="K1189" s="302">
        <v>0.89354301995805741</v>
      </c>
      <c r="L1189" s="302">
        <f t="shared" si="432"/>
        <v>1.3365215212526331</v>
      </c>
      <c r="M1189" s="236"/>
      <c r="N1189" s="236"/>
    </row>
    <row r="1190" spans="1:14" x14ac:dyDescent="0.3">
      <c r="A1190" s="237" t="str">
        <f>name!E$12</f>
        <v>Elementary occupations</v>
      </c>
      <c r="B1190" s="302">
        <v>6.1075233885356246</v>
      </c>
      <c r="C1190" s="302">
        <v>4.9060469387158028</v>
      </c>
      <c r="D1190" s="302">
        <f t="shared" si="430"/>
        <v>11.013570327251427</v>
      </c>
      <c r="E1190" s="303"/>
      <c r="F1190" s="302">
        <v>5.1580783837477533</v>
      </c>
      <c r="G1190" s="302">
        <v>4.9592050586279024</v>
      </c>
      <c r="H1190" s="302">
        <f t="shared" si="431"/>
        <v>10.117283442375655</v>
      </c>
      <c r="I1190" s="303"/>
      <c r="J1190" s="302">
        <v>4.5455601250565358</v>
      </c>
      <c r="K1190" s="302">
        <v>3.5909147036938109</v>
      </c>
      <c r="L1190" s="302">
        <f t="shared" si="432"/>
        <v>8.1364748287503463</v>
      </c>
      <c r="M1190" s="236"/>
      <c r="N1190" s="236"/>
    </row>
    <row r="1191" spans="1:14" x14ac:dyDescent="0.3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  <c r="N1191" s="236"/>
    </row>
    <row r="1192" spans="1:14" x14ac:dyDescent="0.3">
      <c r="A1192" s="244" t="s">
        <v>32</v>
      </c>
      <c r="B1192" s="311">
        <f>SUM(B1182:B1190)</f>
        <v>74.418000000039456</v>
      </c>
      <c r="C1192" s="311">
        <f t="shared" ref="C1192:D1192" si="433">SUM(C1182:C1190)</f>
        <v>93.34500000152795</v>
      </c>
      <c r="D1192" s="311">
        <f t="shared" si="433"/>
        <v>167.76300000156741</v>
      </c>
      <c r="E1192" s="311"/>
      <c r="F1192" s="311">
        <f t="shared" ref="F1192:H1192" si="434">SUM(F1182:F1190)</f>
        <v>109.97099999912882</v>
      </c>
      <c r="G1192" s="311">
        <f t="shared" si="434"/>
        <v>88.42700000163903</v>
      </c>
      <c r="H1192" s="311">
        <f t="shared" si="434"/>
        <v>198.39800000076792</v>
      </c>
      <c r="I1192" s="311"/>
      <c r="J1192" s="311">
        <f t="shared" ref="J1192:L1192" si="435">SUM(J1182:J1190)</f>
        <v>117.74600000038647</v>
      </c>
      <c r="K1192" s="311">
        <f t="shared" si="435"/>
        <v>83.704000002582731</v>
      </c>
      <c r="L1192" s="311">
        <f t="shared" si="435"/>
        <v>201.45000000296923</v>
      </c>
      <c r="M1192" s="236"/>
      <c r="N1192" s="236"/>
    </row>
    <row r="1193" spans="1:14" x14ac:dyDescent="0.3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  <c r="N1193" s="236"/>
    </row>
    <row r="1194" spans="1:14" x14ac:dyDescent="0.3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56" t="s">
        <v>35</v>
      </c>
      <c r="M1194" s="236"/>
      <c r="N1194" s="236"/>
    </row>
    <row r="1195" spans="1:14" x14ac:dyDescent="0.3">
      <c r="A1195" s="242"/>
      <c r="B1195" s="250"/>
      <c r="C1195" s="250"/>
      <c r="D1195" s="250"/>
      <c r="E1195" s="250"/>
      <c r="F1195" s="250"/>
      <c r="G1195" s="250"/>
      <c r="H1195" s="250"/>
      <c r="I1195" s="250"/>
      <c r="J1195" s="250"/>
      <c r="K1195" s="250"/>
      <c r="L1195" s="236"/>
      <c r="M1195" s="236"/>
      <c r="N1195" s="236"/>
    </row>
    <row r="1196" spans="1:14" x14ac:dyDescent="0.3">
      <c r="A1196" s="241" t="str">
        <f>name!A73</f>
        <v>Libraries, etc</v>
      </c>
      <c r="B1196" s="373">
        <f>B$6</f>
        <v>2015</v>
      </c>
      <c r="C1196" s="373"/>
      <c r="D1196" s="373"/>
      <c r="E1196" s="253"/>
      <c r="F1196" s="373">
        <f>F$6</f>
        <v>2020</v>
      </c>
      <c r="G1196" s="373"/>
      <c r="H1196" s="373"/>
      <c r="I1196" s="253"/>
      <c r="J1196" s="373">
        <f>J$6</f>
        <v>2035</v>
      </c>
      <c r="K1196" s="373"/>
      <c r="L1196" s="373"/>
      <c r="M1196" s="236"/>
      <c r="N1196" s="236"/>
    </row>
    <row r="1197" spans="1:14" x14ac:dyDescent="0.3">
      <c r="A1197" s="254"/>
      <c r="B1197" s="255" t="s">
        <v>352</v>
      </c>
      <c r="C1197" s="255" t="s">
        <v>353</v>
      </c>
      <c r="D1197" s="255" t="s">
        <v>32</v>
      </c>
      <c r="E1197" s="255"/>
      <c r="F1197" s="255" t="s">
        <v>352</v>
      </c>
      <c r="G1197" s="255" t="s">
        <v>353</v>
      </c>
      <c r="H1197" s="255" t="s">
        <v>32</v>
      </c>
      <c r="I1197" s="255"/>
      <c r="J1197" s="255" t="s">
        <v>352</v>
      </c>
      <c r="K1197" s="255" t="s">
        <v>353</v>
      </c>
      <c r="L1197" s="255" t="s">
        <v>32</v>
      </c>
      <c r="M1197" s="236"/>
      <c r="N1197" s="236"/>
    </row>
    <row r="1198" spans="1:14" x14ac:dyDescent="0.3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  <c r="N1198" s="236"/>
    </row>
    <row r="1199" spans="1:14" x14ac:dyDescent="0.3">
      <c r="A1199" s="237" t="str">
        <f>name!E$4</f>
        <v>Managers, directors and senior officials</v>
      </c>
      <c r="B1199" s="302">
        <v>8.4536084221200625</v>
      </c>
      <c r="C1199" s="302">
        <v>8.6380758926941681</v>
      </c>
      <c r="D1199" s="302">
        <f>SUM(B1199:C1199)</f>
        <v>17.091684314814231</v>
      </c>
      <c r="E1199" s="303"/>
      <c r="F1199" s="302">
        <v>11.999656191244075</v>
      </c>
      <c r="G1199" s="302">
        <v>6.6937140159463189</v>
      </c>
      <c r="H1199" s="302">
        <f>SUM(F1199:G1199)</f>
        <v>18.693370207190394</v>
      </c>
      <c r="I1199" s="303"/>
      <c r="J1199" s="302">
        <v>15.548313678882179</v>
      </c>
      <c r="K1199" s="302">
        <v>7.1831583040378613</v>
      </c>
      <c r="L1199" s="302">
        <f>SUM(J1199:K1199)</f>
        <v>22.731471982920041</v>
      </c>
      <c r="M1199" s="236"/>
      <c r="N1199" s="236"/>
    </row>
    <row r="1200" spans="1:14" x14ac:dyDescent="0.3">
      <c r="A1200" s="237" t="str">
        <f>name!E$5</f>
        <v>Professional occupations</v>
      </c>
      <c r="B1200" s="302">
        <v>13.94735408925364</v>
      </c>
      <c r="C1200" s="302">
        <v>16.05342967089716</v>
      </c>
      <c r="D1200" s="302">
        <f t="shared" ref="D1200:D1207" si="436">SUM(B1200:C1200)</f>
        <v>30.000783760150799</v>
      </c>
      <c r="E1200" s="303"/>
      <c r="F1200" s="302">
        <v>20.151435222731504</v>
      </c>
      <c r="G1200" s="302">
        <v>13.351708943653628</v>
      </c>
      <c r="H1200" s="302">
        <f t="shared" ref="H1200:H1207" si="437">SUM(F1200:G1200)</f>
        <v>33.503144166385134</v>
      </c>
      <c r="I1200" s="303"/>
      <c r="J1200" s="302">
        <v>21.206379006597441</v>
      </c>
      <c r="K1200" s="302">
        <v>13.679212610429909</v>
      </c>
      <c r="L1200" s="302">
        <f t="shared" ref="L1200:L1207" si="438">SUM(J1200:K1200)</f>
        <v>34.885591617027352</v>
      </c>
      <c r="M1200" s="236"/>
      <c r="N1200" s="236"/>
    </row>
    <row r="1201" spans="1:14" x14ac:dyDescent="0.3">
      <c r="A1201" s="237" t="str">
        <f>name!E$6</f>
        <v>Associate professional occupations</v>
      </c>
      <c r="B1201" s="302">
        <v>29.212064615411681</v>
      </c>
      <c r="C1201" s="302">
        <v>37.105131943216428</v>
      </c>
      <c r="D1201" s="302">
        <f t="shared" si="436"/>
        <v>66.317196558628112</v>
      </c>
      <c r="E1201" s="303"/>
      <c r="F1201" s="302">
        <v>43.894340102917248</v>
      </c>
      <c r="G1201" s="302">
        <v>29.546015866001412</v>
      </c>
      <c r="H1201" s="302">
        <f t="shared" si="437"/>
        <v>73.440355968918652</v>
      </c>
      <c r="I1201" s="303"/>
      <c r="J1201" s="302">
        <v>48.680156446376628</v>
      </c>
      <c r="K1201" s="302">
        <v>27.787310664294477</v>
      </c>
      <c r="L1201" s="302">
        <f t="shared" si="438"/>
        <v>76.467467110671109</v>
      </c>
      <c r="M1201" s="236"/>
      <c r="N1201" s="236"/>
    </row>
    <row r="1202" spans="1:14" x14ac:dyDescent="0.3">
      <c r="A1202" s="237" t="str">
        <f>name!E$7</f>
        <v>Administrative and secretarial occupations</v>
      </c>
      <c r="B1202" s="302">
        <v>15.669160113278144</v>
      </c>
      <c r="C1202" s="302">
        <v>4.1226381387491893</v>
      </c>
      <c r="D1202" s="302">
        <f t="shared" si="436"/>
        <v>19.791798252027334</v>
      </c>
      <c r="E1202" s="303"/>
      <c r="F1202" s="302">
        <v>15.853655783056594</v>
      </c>
      <c r="G1202" s="302">
        <v>3.9368938172859966</v>
      </c>
      <c r="H1202" s="302">
        <f t="shared" si="437"/>
        <v>19.79054960034259</v>
      </c>
      <c r="I1202" s="303"/>
      <c r="J1202" s="302">
        <v>13.361248200970788</v>
      </c>
      <c r="K1202" s="302">
        <v>3.9051083651420422</v>
      </c>
      <c r="L1202" s="302">
        <f t="shared" si="438"/>
        <v>17.26635656611283</v>
      </c>
      <c r="M1202" s="236"/>
      <c r="N1202" s="236"/>
    </row>
    <row r="1203" spans="1:14" x14ac:dyDescent="0.3">
      <c r="A1203" s="237" t="str">
        <f>name!E$8</f>
        <v>Skilled trades occupations</v>
      </c>
      <c r="B1203" s="302">
        <v>4.7622948052570742</v>
      </c>
      <c r="C1203" s="302">
        <v>11.693698531614757</v>
      </c>
      <c r="D1203" s="302">
        <f t="shared" si="436"/>
        <v>16.455993336871831</v>
      </c>
      <c r="E1203" s="303"/>
      <c r="F1203" s="302">
        <v>7.6400236463693645</v>
      </c>
      <c r="G1203" s="302">
        <v>7.6313659773059737</v>
      </c>
      <c r="H1203" s="302">
        <f t="shared" si="437"/>
        <v>15.271389623675338</v>
      </c>
      <c r="I1203" s="303"/>
      <c r="J1203" s="302">
        <v>10.750219953475666</v>
      </c>
      <c r="K1203" s="302">
        <v>7.3094707326343444</v>
      </c>
      <c r="L1203" s="302">
        <f t="shared" si="438"/>
        <v>18.059690686110009</v>
      </c>
      <c r="M1203" s="236"/>
      <c r="N1203" s="236"/>
    </row>
    <row r="1204" spans="1:14" x14ac:dyDescent="0.3">
      <c r="A1204" s="237" t="str">
        <f>name!E$9</f>
        <v>Caring, leisure and other service occupations</v>
      </c>
      <c r="B1204" s="302">
        <v>7.7039352381887305</v>
      </c>
      <c r="C1204" s="302">
        <v>4.4947022025399965</v>
      </c>
      <c r="D1204" s="302">
        <f t="shared" si="436"/>
        <v>12.198637440728728</v>
      </c>
      <c r="E1204" s="303"/>
      <c r="F1204" s="302">
        <v>7.669819151640338</v>
      </c>
      <c r="G1204" s="302">
        <v>4.3578601614055499</v>
      </c>
      <c r="H1204" s="302">
        <f t="shared" si="437"/>
        <v>12.027679313045887</v>
      </c>
      <c r="I1204" s="303"/>
      <c r="J1204" s="302">
        <v>7.397834012024048</v>
      </c>
      <c r="K1204" s="302">
        <v>5.1406174532774838</v>
      </c>
      <c r="L1204" s="302">
        <f t="shared" si="438"/>
        <v>12.538451465301531</v>
      </c>
      <c r="M1204" s="236"/>
      <c r="N1204" s="236"/>
    </row>
    <row r="1205" spans="1:14" x14ac:dyDescent="0.3">
      <c r="A1205" s="237" t="str">
        <f>name!E$10</f>
        <v>Sales and customer service occupations</v>
      </c>
      <c r="B1205" s="302">
        <v>4.9043951916506252</v>
      </c>
      <c r="C1205" s="302">
        <v>3.6241422703599908</v>
      </c>
      <c r="D1205" s="302">
        <f t="shared" si="436"/>
        <v>8.5285374620106165</v>
      </c>
      <c r="E1205" s="303"/>
      <c r="F1205" s="302">
        <v>4.8009368123087413</v>
      </c>
      <c r="G1205" s="302">
        <v>3.4647087737357869</v>
      </c>
      <c r="H1205" s="302">
        <f t="shared" si="437"/>
        <v>8.2656455860445277</v>
      </c>
      <c r="I1205" s="303"/>
      <c r="J1205" s="302">
        <v>4.7933990992900295</v>
      </c>
      <c r="K1205" s="302">
        <v>3.9421983391411257</v>
      </c>
      <c r="L1205" s="302">
        <f t="shared" si="438"/>
        <v>8.7355974384311548</v>
      </c>
      <c r="M1205" s="236"/>
      <c r="N1205" s="236"/>
    </row>
    <row r="1206" spans="1:14" x14ac:dyDescent="0.3">
      <c r="A1206" s="237" t="str">
        <f>name!E$11</f>
        <v>Process, plant and machine operatives</v>
      </c>
      <c r="B1206" s="302">
        <v>0.28086171447796515</v>
      </c>
      <c r="C1206" s="302">
        <v>1.3092478872461719</v>
      </c>
      <c r="D1206" s="302">
        <f t="shared" si="436"/>
        <v>1.5901096017241372</v>
      </c>
      <c r="E1206" s="303"/>
      <c r="F1206" s="302">
        <v>0.34173955603416578</v>
      </c>
      <c r="G1206" s="302">
        <v>1.0122348984094691</v>
      </c>
      <c r="H1206" s="302">
        <f t="shared" si="437"/>
        <v>1.353974454443635</v>
      </c>
      <c r="I1206" s="303"/>
      <c r="J1206" s="302">
        <v>0.5830246559517438</v>
      </c>
      <c r="K1206" s="302">
        <v>1.1235422465004103</v>
      </c>
      <c r="L1206" s="302">
        <f t="shared" si="438"/>
        <v>1.7065669024521541</v>
      </c>
      <c r="M1206" s="236"/>
      <c r="N1206" s="236"/>
    </row>
    <row r="1207" spans="1:14" ht="13.5" customHeight="1" x14ac:dyDescent="0.3">
      <c r="A1207" s="237" t="str">
        <f>name!E$12</f>
        <v>Elementary occupations</v>
      </c>
      <c r="B1207" s="302">
        <v>9.5403258105522646</v>
      </c>
      <c r="C1207" s="302">
        <v>6.4289334640246256</v>
      </c>
      <c r="D1207" s="302">
        <f t="shared" si="436"/>
        <v>15.96925927457689</v>
      </c>
      <c r="E1207" s="303"/>
      <c r="F1207" s="302">
        <v>8.2733935325415491</v>
      </c>
      <c r="G1207" s="302">
        <v>5.6384975474286971</v>
      </c>
      <c r="H1207" s="302">
        <f t="shared" si="437"/>
        <v>13.911891079970246</v>
      </c>
      <c r="I1207" s="303"/>
      <c r="J1207" s="302">
        <v>7.9154249467765698</v>
      </c>
      <c r="K1207" s="302">
        <v>4.5913812864885211</v>
      </c>
      <c r="L1207" s="302">
        <f t="shared" si="438"/>
        <v>12.506806233265092</v>
      </c>
      <c r="M1207" s="236"/>
      <c r="N1207" s="236"/>
    </row>
    <row r="1208" spans="1:14" ht="13.5" customHeight="1" x14ac:dyDescent="0.3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  <c r="N1208" s="236"/>
    </row>
    <row r="1209" spans="1:14" x14ac:dyDescent="0.3">
      <c r="A1209" s="244" t="s">
        <v>32</v>
      </c>
      <c r="B1209" s="311">
        <f>SUM(B1199:B1207)</f>
        <v>94.474000000190173</v>
      </c>
      <c r="C1209" s="311">
        <f t="shared" ref="C1209:D1209" si="439">SUM(C1199:C1207)</f>
        <v>93.470000001342498</v>
      </c>
      <c r="D1209" s="311">
        <f t="shared" si="439"/>
        <v>187.94400000153266</v>
      </c>
      <c r="E1209" s="311"/>
      <c r="F1209" s="311">
        <f t="shared" ref="F1209:H1209" si="440">SUM(F1199:F1207)</f>
        <v>120.62499999884356</v>
      </c>
      <c r="G1209" s="311">
        <f t="shared" si="440"/>
        <v>75.633000001172846</v>
      </c>
      <c r="H1209" s="311">
        <f t="shared" si="440"/>
        <v>196.25800000001641</v>
      </c>
      <c r="I1209" s="311"/>
      <c r="J1209" s="311">
        <f t="shared" ref="J1209:L1209" si="441">SUM(J1199:J1207)</f>
        <v>130.23600000034511</v>
      </c>
      <c r="K1209" s="311">
        <f t="shared" si="441"/>
        <v>74.662000001946183</v>
      </c>
      <c r="L1209" s="311">
        <f t="shared" si="441"/>
        <v>204.89800000229124</v>
      </c>
      <c r="M1209" s="236"/>
      <c r="N1209" s="236"/>
    </row>
    <row r="1210" spans="1:14" x14ac:dyDescent="0.3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  <c r="N1210" s="236"/>
    </row>
    <row r="1211" spans="1:14" x14ac:dyDescent="0.3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56" t="s">
        <v>35</v>
      </c>
      <c r="M1211" s="236"/>
      <c r="N1211" s="236"/>
    </row>
    <row r="1212" spans="1:14" x14ac:dyDescent="0.3">
      <c r="A1212" s="242"/>
      <c r="B1212" s="250"/>
      <c r="C1212" s="250"/>
      <c r="D1212" s="250"/>
      <c r="E1212" s="250"/>
      <c r="F1212" s="250"/>
      <c r="G1212" s="250"/>
      <c r="H1212" s="250"/>
      <c r="I1212" s="250"/>
      <c r="J1212" s="250"/>
      <c r="K1212" s="250"/>
      <c r="L1212" s="236"/>
      <c r="M1212" s="236"/>
      <c r="N1212" s="236"/>
    </row>
    <row r="1213" spans="1:14" x14ac:dyDescent="0.3">
      <c r="A1213" s="241" t="str">
        <f>name!A74</f>
        <v>Gambling and betting</v>
      </c>
      <c r="B1213" s="373">
        <f>B$6</f>
        <v>2015</v>
      </c>
      <c r="C1213" s="373"/>
      <c r="D1213" s="373"/>
      <c r="E1213" s="253"/>
      <c r="F1213" s="373">
        <f>F$6</f>
        <v>2020</v>
      </c>
      <c r="G1213" s="373"/>
      <c r="H1213" s="373"/>
      <c r="I1213" s="253"/>
      <c r="J1213" s="373">
        <f>J$6</f>
        <v>2035</v>
      </c>
      <c r="K1213" s="373"/>
      <c r="L1213" s="373"/>
      <c r="M1213" s="236"/>
      <c r="N1213" s="236"/>
    </row>
    <row r="1214" spans="1:14" x14ac:dyDescent="0.3">
      <c r="A1214" s="254"/>
      <c r="B1214" s="255" t="s">
        <v>352</v>
      </c>
      <c r="C1214" s="255" t="s">
        <v>353</v>
      </c>
      <c r="D1214" s="255" t="s">
        <v>32</v>
      </c>
      <c r="E1214" s="255"/>
      <c r="F1214" s="255" t="s">
        <v>352</v>
      </c>
      <c r="G1214" s="255" t="s">
        <v>353</v>
      </c>
      <c r="H1214" s="255" t="s">
        <v>32</v>
      </c>
      <c r="I1214" s="255"/>
      <c r="J1214" s="255" t="s">
        <v>352</v>
      </c>
      <c r="K1214" s="255" t="s">
        <v>353</v>
      </c>
      <c r="L1214" s="255" t="s">
        <v>32</v>
      </c>
      <c r="M1214" s="236"/>
      <c r="N1214" s="236"/>
    </row>
    <row r="1215" spans="1:14" x14ac:dyDescent="0.3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  <c r="N1215" s="236"/>
    </row>
    <row r="1216" spans="1:14" x14ac:dyDescent="0.3">
      <c r="A1216" s="237" t="str">
        <f>name!E$4</f>
        <v>Managers, directors and senior officials</v>
      </c>
      <c r="B1216" s="302">
        <v>3.8077489115786003</v>
      </c>
      <c r="C1216" s="302">
        <v>7.5695491178236187</v>
      </c>
      <c r="D1216" s="302">
        <f>SUM(B1216:C1216)</f>
        <v>11.377298029402219</v>
      </c>
      <c r="E1216" s="303"/>
      <c r="F1216" s="302">
        <v>3.5906595599998092</v>
      </c>
      <c r="G1216" s="302">
        <v>7.0983283986739636</v>
      </c>
      <c r="H1216" s="302">
        <f>SUM(F1216:G1216)</f>
        <v>10.688987958673772</v>
      </c>
      <c r="I1216" s="303"/>
      <c r="J1216" s="302">
        <v>4.7754616088017894</v>
      </c>
      <c r="K1216" s="302">
        <v>9.1895135932803385</v>
      </c>
      <c r="L1216" s="302">
        <f>SUM(J1216:K1216)</f>
        <v>13.964975202082128</v>
      </c>
      <c r="M1216" s="236"/>
      <c r="N1216" s="236"/>
    </row>
    <row r="1217" spans="1:14" x14ac:dyDescent="0.3">
      <c r="A1217" s="237" t="str">
        <f>name!E$5</f>
        <v>Professional occupations</v>
      </c>
      <c r="B1217" s="302">
        <v>6.0492226528951116</v>
      </c>
      <c r="C1217" s="302">
        <v>9.5743479281450217</v>
      </c>
      <c r="D1217" s="302">
        <f t="shared" ref="D1217:D1224" si="442">SUM(B1217:C1217)</f>
        <v>15.623570581040134</v>
      </c>
      <c r="E1217" s="303"/>
      <c r="F1217" s="302">
        <v>6.2481551575760133</v>
      </c>
      <c r="G1217" s="302">
        <v>10.420567709663597</v>
      </c>
      <c r="H1217" s="302">
        <f t="shared" ref="H1217:H1224" si="443">SUM(F1217:G1217)</f>
        <v>16.668722867239609</v>
      </c>
      <c r="I1217" s="303"/>
      <c r="J1217" s="302">
        <v>7.4290262767189761</v>
      </c>
      <c r="K1217" s="302">
        <v>14.898665423272554</v>
      </c>
      <c r="L1217" s="302">
        <f t="shared" ref="L1217:L1224" si="444">SUM(J1217:K1217)</f>
        <v>22.327691699991529</v>
      </c>
      <c r="M1217" s="236"/>
      <c r="N1217" s="236"/>
    </row>
    <row r="1218" spans="1:14" x14ac:dyDescent="0.3">
      <c r="A1218" s="237" t="str">
        <f>name!E$6</f>
        <v>Associate professional occupations</v>
      </c>
      <c r="B1218" s="302">
        <v>9.4636107069655093</v>
      </c>
      <c r="C1218" s="302">
        <v>18.725590910984423</v>
      </c>
      <c r="D1218" s="302">
        <f t="shared" si="442"/>
        <v>28.189201617949934</v>
      </c>
      <c r="E1218" s="303"/>
      <c r="F1218" s="302">
        <v>8.4746152675952189</v>
      </c>
      <c r="G1218" s="302">
        <v>18.058943660093036</v>
      </c>
      <c r="H1218" s="302">
        <f t="shared" si="443"/>
        <v>26.533558927688254</v>
      </c>
      <c r="I1218" s="303"/>
      <c r="J1218" s="302">
        <v>9.8127749404058342</v>
      </c>
      <c r="K1218" s="302">
        <v>22.462753391704119</v>
      </c>
      <c r="L1218" s="302">
        <f t="shared" si="444"/>
        <v>32.275528332109957</v>
      </c>
      <c r="M1218" s="236"/>
      <c r="N1218" s="236"/>
    </row>
    <row r="1219" spans="1:14" x14ac:dyDescent="0.3">
      <c r="A1219" s="237" t="str">
        <f>name!E$7</f>
        <v>Administrative and secretarial occupations</v>
      </c>
      <c r="B1219" s="302">
        <v>8.2621346979895911</v>
      </c>
      <c r="C1219" s="302">
        <v>5.4603188784086401</v>
      </c>
      <c r="D1219" s="302">
        <f t="shared" si="442"/>
        <v>13.72245357639823</v>
      </c>
      <c r="E1219" s="303"/>
      <c r="F1219" s="302">
        <v>6.97349943521127</v>
      </c>
      <c r="G1219" s="302">
        <v>5.4021190037599078</v>
      </c>
      <c r="H1219" s="302">
        <f t="shared" si="443"/>
        <v>12.375618438971177</v>
      </c>
      <c r="I1219" s="303"/>
      <c r="J1219" s="302">
        <v>6.326777940379114</v>
      </c>
      <c r="K1219" s="302">
        <v>6.1565775141261945</v>
      </c>
      <c r="L1219" s="302">
        <f t="shared" si="444"/>
        <v>12.483355454505308</v>
      </c>
      <c r="M1219" s="236"/>
      <c r="N1219" s="236"/>
    </row>
    <row r="1220" spans="1:14" x14ac:dyDescent="0.3">
      <c r="A1220" s="237" t="str">
        <f>name!E$8</f>
        <v>Skilled trades occupations</v>
      </c>
      <c r="B1220" s="302">
        <v>1.5956806954532521</v>
      </c>
      <c r="C1220" s="302">
        <v>9.4971683232680437</v>
      </c>
      <c r="D1220" s="302">
        <f t="shared" si="442"/>
        <v>11.092849018721296</v>
      </c>
      <c r="E1220" s="303"/>
      <c r="F1220" s="302">
        <v>1.3769547178712365</v>
      </c>
      <c r="G1220" s="302">
        <v>6.8211681594136877</v>
      </c>
      <c r="H1220" s="302">
        <f t="shared" si="443"/>
        <v>8.1981228772849235</v>
      </c>
      <c r="I1220" s="303"/>
      <c r="J1220" s="302">
        <v>2.0081272740441309</v>
      </c>
      <c r="K1220" s="302">
        <v>6.9389044298442224</v>
      </c>
      <c r="L1220" s="302">
        <f t="shared" si="444"/>
        <v>8.9470317038883529</v>
      </c>
      <c r="M1220" s="236"/>
      <c r="N1220" s="236"/>
    </row>
    <row r="1221" spans="1:14" x14ac:dyDescent="0.3">
      <c r="A1221" s="237" t="str">
        <f>name!E$9</f>
        <v>Caring, leisure and other service occupations</v>
      </c>
      <c r="B1221" s="302">
        <v>3.8030436897544235</v>
      </c>
      <c r="C1221" s="302">
        <v>6.098195375720648</v>
      </c>
      <c r="D1221" s="302">
        <f t="shared" si="442"/>
        <v>9.901239065475071</v>
      </c>
      <c r="E1221" s="303"/>
      <c r="F1221" s="302">
        <v>2.968898871845536</v>
      </c>
      <c r="G1221" s="302">
        <v>5.1273735874046702</v>
      </c>
      <c r="H1221" s="302">
        <f t="shared" si="443"/>
        <v>8.0962724592502067</v>
      </c>
      <c r="I1221" s="303"/>
      <c r="J1221" s="302">
        <v>2.9732852614181193</v>
      </c>
      <c r="K1221" s="302">
        <v>6.7389247369498904</v>
      </c>
      <c r="L1221" s="302">
        <f t="shared" si="444"/>
        <v>9.7122099983680101</v>
      </c>
      <c r="M1221" s="236"/>
      <c r="N1221" s="236"/>
    </row>
    <row r="1222" spans="1:14" x14ac:dyDescent="0.3">
      <c r="A1222" s="237" t="str">
        <f>name!E$10</f>
        <v>Sales and customer service occupations</v>
      </c>
      <c r="B1222" s="302">
        <v>2.6346066460260844</v>
      </c>
      <c r="C1222" s="302">
        <v>4.8669574732485179</v>
      </c>
      <c r="D1222" s="302">
        <f t="shared" si="442"/>
        <v>7.5015641192746028</v>
      </c>
      <c r="E1222" s="303"/>
      <c r="F1222" s="302">
        <v>2.0971016897058008</v>
      </c>
      <c r="G1222" s="302">
        <v>4.2477469441376305</v>
      </c>
      <c r="H1222" s="302">
        <f t="shared" si="443"/>
        <v>6.3448486338434318</v>
      </c>
      <c r="I1222" s="303"/>
      <c r="J1222" s="302">
        <v>2.1613732483121009</v>
      </c>
      <c r="K1222" s="302">
        <v>5.9622507986564122</v>
      </c>
      <c r="L1222" s="302">
        <f t="shared" si="444"/>
        <v>8.1236240469685121</v>
      </c>
      <c r="M1222" s="236"/>
      <c r="N1222" s="236"/>
    </row>
    <row r="1223" spans="1:14" x14ac:dyDescent="0.3">
      <c r="A1223" s="237" t="str">
        <f>name!E$11</f>
        <v>Process, plant and machine operatives</v>
      </c>
      <c r="B1223" s="302">
        <v>0.11512083407379931</v>
      </c>
      <c r="C1223" s="302">
        <v>1.4533867207794589</v>
      </c>
      <c r="D1223" s="302">
        <f t="shared" si="442"/>
        <v>1.5685075548532581</v>
      </c>
      <c r="E1223" s="303"/>
      <c r="F1223" s="302">
        <v>8.1971313159098461E-2</v>
      </c>
      <c r="G1223" s="302">
        <v>1.1202430658406759</v>
      </c>
      <c r="H1223" s="302">
        <f t="shared" si="443"/>
        <v>1.2022143789997743</v>
      </c>
      <c r="I1223" s="303"/>
      <c r="J1223" s="302">
        <v>0.17040006522663959</v>
      </c>
      <c r="K1223" s="302">
        <v>1.3160796270745834</v>
      </c>
      <c r="L1223" s="302">
        <f t="shared" si="444"/>
        <v>1.4864796923012229</v>
      </c>
      <c r="M1223" s="236"/>
      <c r="N1223" s="236"/>
    </row>
    <row r="1224" spans="1:14" x14ac:dyDescent="0.3">
      <c r="A1224" s="237" t="str">
        <f>name!E$12</f>
        <v>Elementary occupations</v>
      </c>
      <c r="B1224" s="302">
        <v>4.5328311652612943</v>
      </c>
      <c r="C1224" s="302">
        <v>9.4454852718723803</v>
      </c>
      <c r="D1224" s="302">
        <f t="shared" si="442"/>
        <v>13.978316437133675</v>
      </c>
      <c r="E1224" s="303"/>
      <c r="F1224" s="302">
        <v>3.2861439869034048</v>
      </c>
      <c r="G1224" s="302">
        <v>6.7875094712869277</v>
      </c>
      <c r="H1224" s="302">
        <f t="shared" si="443"/>
        <v>10.073653458190332</v>
      </c>
      <c r="I1224" s="303"/>
      <c r="J1224" s="302">
        <v>2.8717733847122502</v>
      </c>
      <c r="K1224" s="302">
        <v>6.1633304858784745</v>
      </c>
      <c r="L1224" s="302">
        <f t="shared" si="444"/>
        <v>9.0351038705907243</v>
      </c>
      <c r="M1224" s="236"/>
      <c r="N1224" s="236"/>
    </row>
    <row r="1225" spans="1:14" x14ac:dyDescent="0.3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  <c r="N1225" s="236"/>
    </row>
    <row r="1226" spans="1:14" x14ac:dyDescent="0.3">
      <c r="A1226" s="244" t="s">
        <v>32</v>
      </c>
      <c r="B1226" s="311">
        <f>SUM(B1216:B1224)</f>
        <v>40.263999999997665</v>
      </c>
      <c r="C1226" s="311">
        <f t="shared" ref="C1226:D1226" si="445">SUM(C1216:C1224)</f>
        <v>72.691000000250753</v>
      </c>
      <c r="D1226" s="311">
        <f t="shared" si="445"/>
        <v>112.9550000002484</v>
      </c>
      <c r="E1226" s="311"/>
      <c r="F1226" s="311">
        <f t="shared" ref="F1226:H1226" si="446">SUM(F1216:F1224)</f>
        <v>35.09799999986739</v>
      </c>
      <c r="G1226" s="311">
        <f t="shared" si="446"/>
        <v>65.084000000274088</v>
      </c>
      <c r="H1226" s="311">
        <f t="shared" si="446"/>
        <v>100.18200000014146</v>
      </c>
      <c r="I1226" s="311"/>
      <c r="J1226" s="311">
        <f t="shared" ref="J1226:L1226" si="447">SUM(J1216:J1224)</f>
        <v>38.529000000018954</v>
      </c>
      <c r="K1226" s="311">
        <f t="shared" si="447"/>
        <v>79.827000000786796</v>
      </c>
      <c r="L1226" s="311">
        <f t="shared" si="447"/>
        <v>118.35600000080572</v>
      </c>
      <c r="M1226" s="236"/>
      <c r="N1226" s="236"/>
    </row>
    <row r="1227" spans="1:14" x14ac:dyDescent="0.3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  <c r="N1227" s="236"/>
    </row>
    <row r="1228" spans="1:14" x14ac:dyDescent="0.3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56" t="s">
        <v>35</v>
      </c>
      <c r="M1228" s="236"/>
      <c r="N1228" s="236"/>
    </row>
    <row r="1229" spans="1:14" x14ac:dyDescent="0.3">
      <c r="A1229" s="242"/>
      <c r="B1229" s="250"/>
      <c r="C1229" s="250"/>
      <c r="D1229" s="250"/>
      <c r="E1229" s="250"/>
      <c r="F1229" s="250"/>
      <c r="G1229" s="250"/>
      <c r="H1229" s="250"/>
      <c r="I1229" s="250"/>
      <c r="J1229" s="250"/>
      <c r="K1229" s="250"/>
      <c r="L1229" s="236"/>
      <c r="M1229" s="236"/>
      <c r="N1229" s="236"/>
    </row>
    <row r="1230" spans="1:14" x14ac:dyDescent="0.3">
      <c r="A1230" s="241" t="str">
        <f>name!A75</f>
        <v>Sport and recreation</v>
      </c>
      <c r="B1230" s="373">
        <f>B$6</f>
        <v>2015</v>
      </c>
      <c r="C1230" s="373"/>
      <c r="D1230" s="373"/>
      <c r="E1230" s="253"/>
      <c r="F1230" s="373">
        <f>F$6</f>
        <v>2020</v>
      </c>
      <c r="G1230" s="373"/>
      <c r="H1230" s="373"/>
      <c r="I1230" s="253"/>
      <c r="J1230" s="373">
        <f>J$6</f>
        <v>2035</v>
      </c>
      <c r="K1230" s="373"/>
      <c r="L1230" s="373"/>
      <c r="M1230" s="236"/>
      <c r="N1230" s="236"/>
    </row>
    <row r="1231" spans="1:14" x14ac:dyDescent="0.3">
      <c r="A1231" s="254"/>
      <c r="B1231" s="255" t="s">
        <v>352</v>
      </c>
      <c r="C1231" s="255" t="s">
        <v>353</v>
      </c>
      <c r="D1231" s="255" t="s">
        <v>32</v>
      </c>
      <c r="E1231" s="255"/>
      <c r="F1231" s="255" t="s">
        <v>352</v>
      </c>
      <c r="G1231" s="255" t="s">
        <v>353</v>
      </c>
      <c r="H1231" s="255" t="s">
        <v>32</v>
      </c>
      <c r="I1231" s="255"/>
      <c r="J1231" s="255" t="s">
        <v>352</v>
      </c>
      <c r="K1231" s="255" t="s">
        <v>353</v>
      </c>
      <c r="L1231" s="255" t="s">
        <v>32</v>
      </c>
      <c r="M1231" s="236"/>
      <c r="N1231" s="236"/>
    </row>
    <row r="1232" spans="1:14" x14ac:dyDescent="0.3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  <c r="N1232" s="236"/>
    </row>
    <row r="1233" spans="1:14" x14ac:dyDescent="0.3">
      <c r="A1233" s="237" t="str">
        <f>name!E$4</f>
        <v>Managers, directors and senior officials</v>
      </c>
      <c r="B1233" s="302">
        <v>24.962623433545499</v>
      </c>
      <c r="C1233" s="302">
        <v>22.622299250795859</v>
      </c>
      <c r="D1233" s="302">
        <f>SUM(B1233:C1233)</f>
        <v>47.584922684341358</v>
      </c>
      <c r="E1233" s="303"/>
      <c r="F1233" s="302">
        <v>29.406584187077634</v>
      </c>
      <c r="G1233" s="302">
        <v>25.025294626981005</v>
      </c>
      <c r="H1233" s="302">
        <f>SUM(F1233:G1233)</f>
        <v>54.431878814058635</v>
      </c>
      <c r="I1233" s="303"/>
      <c r="J1233" s="302">
        <v>41.940083005133111</v>
      </c>
      <c r="K1233" s="302">
        <v>33.452078290285129</v>
      </c>
      <c r="L1233" s="302">
        <f>SUM(J1233:K1233)</f>
        <v>75.392161295418248</v>
      </c>
      <c r="M1233" s="236"/>
      <c r="N1233" s="236"/>
    </row>
    <row r="1234" spans="1:14" x14ac:dyDescent="0.3">
      <c r="A1234" s="237" t="str">
        <f>name!E$5</f>
        <v>Professional occupations</v>
      </c>
      <c r="B1234" s="302">
        <v>32.964561214247503</v>
      </c>
      <c r="C1234" s="302">
        <v>31.208323258291422</v>
      </c>
      <c r="D1234" s="302">
        <f t="shared" ref="D1234:D1241" si="448">SUM(B1234:C1234)</f>
        <v>64.172884472538925</v>
      </c>
      <c r="E1234" s="303"/>
      <c r="F1234" s="302">
        <v>39.044240721643646</v>
      </c>
      <c r="G1234" s="302">
        <v>38.530111980101317</v>
      </c>
      <c r="H1234" s="302">
        <f t="shared" ref="H1234:H1241" si="449">SUM(F1234:G1234)</f>
        <v>77.574352701744971</v>
      </c>
      <c r="I1234" s="303"/>
      <c r="J1234" s="302">
        <v>46.928748259355274</v>
      </c>
      <c r="K1234" s="302">
        <v>55.488878058899147</v>
      </c>
      <c r="L1234" s="302">
        <f t="shared" ref="L1234:L1241" si="450">SUM(J1234:K1234)</f>
        <v>102.41762631825442</v>
      </c>
      <c r="M1234" s="236"/>
      <c r="N1234" s="236"/>
    </row>
    <row r="1235" spans="1:14" x14ac:dyDescent="0.3">
      <c r="A1235" s="237" t="str">
        <f>name!E$6</f>
        <v>Associate professional occupations</v>
      </c>
      <c r="B1235" s="302">
        <v>50.410197547781323</v>
      </c>
      <c r="C1235" s="302">
        <v>64.036136714781762</v>
      </c>
      <c r="D1235" s="302">
        <f t="shared" si="448"/>
        <v>114.44633426256308</v>
      </c>
      <c r="E1235" s="303"/>
      <c r="F1235" s="302">
        <v>50.621583000957564</v>
      </c>
      <c r="G1235" s="302">
        <v>69.281970315988801</v>
      </c>
      <c r="H1235" s="302">
        <f t="shared" si="449"/>
        <v>119.90355331694636</v>
      </c>
      <c r="I1235" s="303"/>
      <c r="J1235" s="302">
        <v>59.748065478120488</v>
      </c>
      <c r="K1235" s="302">
        <v>86.516936827030889</v>
      </c>
      <c r="L1235" s="302">
        <f t="shared" si="450"/>
        <v>146.26500230515137</v>
      </c>
      <c r="M1235" s="236"/>
      <c r="N1235" s="236"/>
    </row>
    <row r="1236" spans="1:14" x14ac:dyDescent="0.3">
      <c r="A1236" s="237" t="str">
        <f>name!E$7</f>
        <v>Administrative and secretarial occupations</v>
      </c>
      <c r="B1236" s="302">
        <v>55.302162439401918</v>
      </c>
      <c r="C1236" s="302">
        <v>17.520621782115349</v>
      </c>
      <c r="D1236" s="302">
        <f t="shared" si="448"/>
        <v>72.822784221517267</v>
      </c>
      <c r="E1236" s="303"/>
      <c r="F1236" s="302">
        <v>51.453220785633512</v>
      </c>
      <c r="G1236" s="302">
        <v>18.739326119812088</v>
      </c>
      <c r="H1236" s="302">
        <f t="shared" si="449"/>
        <v>70.192546905445596</v>
      </c>
      <c r="I1236" s="303"/>
      <c r="J1236" s="302">
        <v>47.027835556685488</v>
      </c>
      <c r="K1236" s="302">
        <v>21.061476156117045</v>
      </c>
      <c r="L1236" s="302">
        <f t="shared" si="450"/>
        <v>68.089311712802527</v>
      </c>
      <c r="M1236" s="236"/>
      <c r="N1236" s="236"/>
    </row>
    <row r="1237" spans="1:14" x14ac:dyDescent="0.3">
      <c r="A1237" s="237" t="str">
        <f>name!E$8</f>
        <v>Skilled trades occupations</v>
      </c>
      <c r="B1237" s="302">
        <v>8.6576079234387198</v>
      </c>
      <c r="C1237" s="302">
        <v>31.551249058201911</v>
      </c>
      <c r="D1237" s="302">
        <f t="shared" si="448"/>
        <v>40.208856981640629</v>
      </c>
      <c r="E1237" s="303"/>
      <c r="F1237" s="302">
        <v>8.743409165782138</v>
      </c>
      <c r="G1237" s="302">
        <v>26.707165468740516</v>
      </c>
      <c r="H1237" s="302">
        <f t="shared" si="449"/>
        <v>35.450574634522653</v>
      </c>
      <c r="I1237" s="303"/>
      <c r="J1237" s="302">
        <v>14.365166489488736</v>
      </c>
      <c r="K1237" s="302">
        <v>29.532120109089586</v>
      </c>
      <c r="L1237" s="302">
        <f t="shared" si="450"/>
        <v>43.897286598578319</v>
      </c>
      <c r="M1237" s="236"/>
      <c r="N1237" s="236"/>
    </row>
    <row r="1238" spans="1:14" x14ac:dyDescent="0.3">
      <c r="A1238" s="237" t="str">
        <f>name!E$9</f>
        <v>Caring, leisure and other service occupations</v>
      </c>
      <c r="B1238" s="302">
        <v>36.837124317746934</v>
      </c>
      <c r="C1238" s="302">
        <v>25.379194349431128</v>
      </c>
      <c r="D1238" s="302">
        <f t="shared" si="448"/>
        <v>62.216318667178058</v>
      </c>
      <c r="E1238" s="303"/>
      <c r="F1238" s="302">
        <v>30.080550309341596</v>
      </c>
      <c r="G1238" s="302">
        <v>23.923991076978698</v>
      </c>
      <c r="H1238" s="302">
        <f t="shared" si="449"/>
        <v>54.004541386320298</v>
      </c>
      <c r="I1238" s="303"/>
      <c r="J1238" s="302">
        <v>29.688671126632197</v>
      </c>
      <c r="K1238" s="302">
        <v>31.390114221203152</v>
      </c>
      <c r="L1238" s="302">
        <f t="shared" si="450"/>
        <v>61.07878534783535</v>
      </c>
      <c r="M1238" s="236"/>
      <c r="N1238" s="236"/>
    </row>
    <row r="1239" spans="1:14" x14ac:dyDescent="0.3">
      <c r="A1239" s="237" t="str">
        <f>name!E$10</f>
        <v>Sales and customer service occupations</v>
      </c>
      <c r="B1239" s="302">
        <v>16.855949934996403</v>
      </c>
      <c r="C1239" s="302">
        <v>17.399170668838515</v>
      </c>
      <c r="D1239" s="302">
        <f t="shared" si="448"/>
        <v>34.255120603834918</v>
      </c>
      <c r="E1239" s="303"/>
      <c r="F1239" s="302">
        <v>15.450940452872661</v>
      </c>
      <c r="G1239" s="302">
        <v>16.530182747809686</v>
      </c>
      <c r="H1239" s="302">
        <f t="shared" si="449"/>
        <v>31.981123200682347</v>
      </c>
      <c r="I1239" s="303"/>
      <c r="J1239" s="302">
        <v>16.601002500645794</v>
      </c>
      <c r="K1239" s="302">
        <v>22.975035752418204</v>
      </c>
      <c r="L1239" s="302">
        <f t="shared" si="450"/>
        <v>39.576038253063999</v>
      </c>
      <c r="M1239" s="236"/>
      <c r="N1239" s="236"/>
    </row>
    <row r="1240" spans="1:14" x14ac:dyDescent="0.3">
      <c r="A1240" s="237" t="str">
        <f>name!E$11</f>
        <v>Process, plant and machine operatives</v>
      </c>
      <c r="B1240" s="302">
        <v>0.81059819886158357</v>
      </c>
      <c r="C1240" s="302">
        <v>5.9595326172147196</v>
      </c>
      <c r="D1240" s="302">
        <f t="shared" si="448"/>
        <v>6.7701308160763034</v>
      </c>
      <c r="E1240" s="303"/>
      <c r="F1240" s="302">
        <v>0.63933158412907243</v>
      </c>
      <c r="G1240" s="302">
        <v>5.2456182049258491</v>
      </c>
      <c r="H1240" s="302">
        <f t="shared" si="449"/>
        <v>5.8849497890549216</v>
      </c>
      <c r="I1240" s="303"/>
      <c r="J1240" s="302">
        <v>1.3397950016480178</v>
      </c>
      <c r="K1240" s="302">
        <v>6.0922504263764496</v>
      </c>
      <c r="L1240" s="302">
        <f t="shared" si="450"/>
        <v>7.4320454280244679</v>
      </c>
      <c r="M1240" s="236"/>
      <c r="N1240" s="236"/>
    </row>
    <row r="1241" spans="1:14" x14ac:dyDescent="0.3">
      <c r="A1241" s="237" t="str">
        <f>name!E$12</f>
        <v>Elementary occupations</v>
      </c>
      <c r="B1241" s="302">
        <v>34.072174990515691</v>
      </c>
      <c r="C1241" s="302">
        <v>36.733472302092515</v>
      </c>
      <c r="D1241" s="302">
        <f t="shared" si="448"/>
        <v>70.805647292608199</v>
      </c>
      <c r="E1241" s="303"/>
      <c r="F1241" s="302">
        <v>26.374139792055242</v>
      </c>
      <c r="G1241" s="302">
        <v>29.360339460164077</v>
      </c>
      <c r="H1241" s="302">
        <f t="shared" si="449"/>
        <v>55.734479252219316</v>
      </c>
      <c r="I1241" s="303"/>
      <c r="J1241" s="302">
        <v>22.18663258215776</v>
      </c>
      <c r="K1241" s="302">
        <v>27.724110162821276</v>
      </c>
      <c r="L1241" s="302">
        <f t="shared" si="450"/>
        <v>49.910742744979032</v>
      </c>
      <c r="M1241" s="236"/>
      <c r="N1241" s="236"/>
    </row>
    <row r="1242" spans="1:14" x14ac:dyDescent="0.3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  <c r="N1242" s="236"/>
    </row>
    <row r="1243" spans="1:14" x14ac:dyDescent="0.3">
      <c r="A1243" s="244" t="s">
        <v>32</v>
      </c>
      <c r="B1243" s="311">
        <f>SUM(B1233:B1241)</f>
        <v>260.87300000053557</v>
      </c>
      <c r="C1243" s="311">
        <f t="shared" ref="C1243:D1243" si="451">SUM(C1233:C1241)</f>
        <v>252.41000000176317</v>
      </c>
      <c r="D1243" s="311">
        <f t="shared" si="451"/>
        <v>513.28300000229876</v>
      </c>
      <c r="E1243" s="311"/>
      <c r="F1243" s="311">
        <f t="shared" ref="F1243:H1243" si="452">SUM(F1233:F1241)</f>
        <v>251.81399999949306</v>
      </c>
      <c r="G1243" s="311">
        <f t="shared" si="452"/>
        <v>253.34400000150205</v>
      </c>
      <c r="H1243" s="311">
        <f t="shared" si="452"/>
        <v>505.15800000099512</v>
      </c>
      <c r="I1243" s="311"/>
      <c r="J1243" s="311">
        <f t="shared" ref="J1243:L1243" si="453">SUM(J1233:J1241)</f>
        <v>279.82599999986689</v>
      </c>
      <c r="K1243" s="311">
        <f t="shared" si="453"/>
        <v>314.23300000424086</v>
      </c>
      <c r="L1243" s="311">
        <f t="shared" si="453"/>
        <v>594.0590000041077</v>
      </c>
      <c r="M1243" s="236"/>
      <c r="N1243" s="236"/>
    </row>
    <row r="1244" spans="1:14" x14ac:dyDescent="0.3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  <c r="N1244" s="236"/>
    </row>
    <row r="1245" spans="1:14" x14ac:dyDescent="0.3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56" t="s">
        <v>35</v>
      </c>
      <c r="M1245" s="236"/>
      <c r="N1245" s="236"/>
    </row>
    <row r="1246" spans="1:14" x14ac:dyDescent="0.3">
      <c r="A1246" s="242"/>
      <c r="B1246" s="250"/>
      <c r="C1246" s="250"/>
      <c r="D1246" s="250"/>
      <c r="E1246" s="250"/>
      <c r="F1246" s="250"/>
      <c r="G1246" s="250"/>
      <c r="H1246" s="250"/>
      <c r="I1246" s="250"/>
      <c r="J1246" s="250"/>
      <c r="K1246" s="250"/>
      <c r="L1246" s="236"/>
      <c r="M1246" s="236"/>
      <c r="N1246" s="236"/>
    </row>
    <row r="1247" spans="1:14" x14ac:dyDescent="0.3">
      <c r="A1247" s="241" t="str">
        <f>name!A76</f>
        <v>Membership organisations</v>
      </c>
      <c r="B1247" s="373">
        <f>B$6</f>
        <v>2015</v>
      </c>
      <c r="C1247" s="373"/>
      <c r="D1247" s="373"/>
      <c r="E1247" s="253"/>
      <c r="F1247" s="373">
        <f>F$6</f>
        <v>2020</v>
      </c>
      <c r="G1247" s="373"/>
      <c r="H1247" s="373"/>
      <c r="I1247" s="253"/>
      <c r="J1247" s="373">
        <f>J$6</f>
        <v>2035</v>
      </c>
      <c r="K1247" s="373"/>
      <c r="L1247" s="373"/>
      <c r="M1247" s="236"/>
      <c r="N1247" s="236"/>
    </row>
    <row r="1248" spans="1:14" x14ac:dyDescent="0.3">
      <c r="A1248" s="254"/>
      <c r="B1248" s="255" t="s">
        <v>352</v>
      </c>
      <c r="C1248" s="255" t="s">
        <v>353</v>
      </c>
      <c r="D1248" s="255" t="s">
        <v>32</v>
      </c>
      <c r="E1248" s="255"/>
      <c r="F1248" s="255" t="s">
        <v>352</v>
      </c>
      <c r="G1248" s="255" t="s">
        <v>353</v>
      </c>
      <c r="H1248" s="255" t="s">
        <v>32</v>
      </c>
      <c r="I1248" s="255"/>
      <c r="J1248" s="255" t="s">
        <v>352</v>
      </c>
      <c r="K1248" s="255" t="s">
        <v>353</v>
      </c>
      <c r="L1248" s="255" t="s">
        <v>32</v>
      </c>
      <c r="M1248" s="236"/>
      <c r="N1248" s="236"/>
    </row>
    <row r="1249" spans="1:14" x14ac:dyDescent="0.3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  <c r="N1249" s="236"/>
    </row>
    <row r="1250" spans="1:14" x14ac:dyDescent="0.3">
      <c r="A1250" s="237" t="str">
        <f>name!E$4</f>
        <v>Managers, directors and senior officials</v>
      </c>
      <c r="B1250" s="302">
        <v>21.676008840027738</v>
      </c>
      <c r="C1250" s="302">
        <v>13.999956008074546</v>
      </c>
      <c r="D1250" s="302">
        <f>SUM(B1250:C1250)</f>
        <v>35.675964848102282</v>
      </c>
      <c r="E1250" s="303"/>
      <c r="F1250" s="302">
        <v>26.989822284796293</v>
      </c>
      <c r="G1250" s="302">
        <v>11.417776143252185</v>
      </c>
      <c r="H1250" s="302">
        <f>SUM(F1250:G1250)</f>
        <v>38.40759842804848</v>
      </c>
      <c r="I1250" s="303"/>
      <c r="J1250" s="302">
        <v>29.564223194190252</v>
      </c>
      <c r="K1250" s="302">
        <v>12.977021443467654</v>
      </c>
      <c r="L1250" s="302">
        <f>SUM(J1250:K1250)</f>
        <v>42.541244637657904</v>
      </c>
      <c r="M1250" s="236"/>
      <c r="N1250" s="236"/>
    </row>
    <row r="1251" spans="1:14" x14ac:dyDescent="0.3">
      <c r="A1251" s="237" t="str">
        <f>name!E$5</f>
        <v>Professional occupations</v>
      </c>
      <c r="B1251" s="302">
        <v>77.156382002298812</v>
      </c>
      <c r="C1251" s="302">
        <v>64.912417034871083</v>
      </c>
      <c r="D1251" s="302">
        <f t="shared" ref="D1251:D1258" si="454">SUM(B1251:C1251)</f>
        <v>142.0687990371699</v>
      </c>
      <c r="E1251" s="303"/>
      <c r="F1251" s="302">
        <v>95.691238347871575</v>
      </c>
      <c r="G1251" s="302">
        <v>53.813130437369495</v>
      </c>
      <c r="H1251" s="302">
        <f t="shared" ref="H1251:H1258" si="455">SUM(F1251:G1251)</f>
        <v>149.50436878524107</v>
      </c>
      <c r="I1251" s="303"/>
      <c r="J1251" s="302">
        <v>98.782928715689891</v>
      </c>
      <c r="K1251" s="302">
        <v>63.584225700028206</v>
      </c>
      <c r="L1251" s="302">
        <f t="shared" ref="L1251:L1258" si="456">SUM(J1251:K1251)</f>
        <v>162.36715441571809</v>
      </c>
      <c r="M1251" s="236"/>
      <c r="N1251" s="236"/>
    </row>
    <row r="1252" spans="1:14" x14ac:dyDescent="0.3">
      <c r="A1252" s="237" t="str">
        <f>name!E$6</f>
        <v>Associate professional occupations</v>
      </c>
      <c r="B1252" s="302">
        <v>47.383057065598159</v>
      </c>
      <c r="C1252" s="302">
        <v>19.651871821930072</v>
      </c>
      <c r="D1252" s="302">
        <f t="shared" si="454"/>
        <v>67.034928887528224</v>
      </c>
      <c r="E1252" s="303"/>
      <c r="F1252" s="302">
        <v>52.631311957645607</v>
      </c>
      <c r="G1252" s="302">
        <v>17.3852048045492</v>
      </c>
      <c r="H1252" s="302">
        <f t="shared" si="455"/>
        <v>70.016516762194811</v>
      </c>
      <c r="I1252" s="303"/>
      <c r="J1252" s="302">
        <v>52.129067374723505</v>
      </c>
      <c r="K1252" s="302">
        <v>15.755000026044641</v>
      </c>
      <c r="L1252" s="302">
        <f t="shared" si="456"/>
        <v>67.884067400768146</v>
      </c>
      <c r="M1252" s="236"/>
      <c r="N1252" s="236"/>
    </row>
    <row r="1253" spans="1:14" x14ac:dyDescent="0.3">
      <c r="A1253" s="237" t="str">
        <f>name!E$7</f>
        <v>Administrative and secretarial occupations</v>
      </c>
      <c r="B1253" s="302">
        <v>61.557389604747314</v>
      </c>
      <c r="C1253" s="302">
        <v>9.5750619125257046</v>
      </c>
      <c r="D1253" s="302">
        <f t="shared" si="454"/>
        <v>71.132451517273012</v>
      </c>
      <c r="E1253" s="303"/>
      <c r="F1253" s="302">
        <v>54.933868972178814</v>
      </c>
      <c r="G1253" s="302">
        <v>8.254112070416852</v>
      </c>
      <c r="H1253" s="302">
        <f t="shared" si="455"/>
        <v>63.187981042595666</v>
      </c>
      <c r="I1253" s="303"/>
      <c r="J1253" s="302">
        <v>41.416660014958047</v>
      </c>
      <c r="K1253" s="302">
        <v>7.7104945875750621</v>
      </c>
      <c r="L1253" s="302">
        <f t="shared" si="456"/>
        <v>49.127154602533111</v>
      </c>
      <c r="M1253" s="236"/>
      <c r="N1253" s="236"/>
    </row>
    <row r="1254" spans="1:14" x14ac:dyDescent="0.3">
      <c r="A1254" s="237" t="str">
        <f>name!E$8</f>
        <v>Skilled trades occupations</v>
      </c>
      <c r="B1254" s="302">
        <v>4.6558217544808249</v>
      </c>
      <c r="C1254" s="302">
        <v>9.2351018762175396</v>
      </c>
      <c r="D1254" s="302">
        <f t="shared" si="454"/>
        <v>13.890923630698364</v>
      </c>
      <c r="E1254" s="303"/>
      <c r="F1254" s="302">
        <v>4.926287265533027</v>
      </c>
      <c r="G1254" s="302">
        <v>5.1893527922777078</v>
      </c>
      <c r="H1254" s="302">
        <f t="shared" si="455"/>
        <v>10.115640057810735</v>
      </c>
      <c r="I1254" s="303"/>
      <c r="J1254" s="302">
        <v>6.9820168959453932</v>
      </c>
      <c r="K1254" s="302">
        <v>5.6507072339456936</v>
      </c>
      <c r="L1254" s="302">
        <f t="shared" si="456"/>
        <v>12.632724129891088</v>
      </c>
      <c r="M1254" s="236"/>
      <c r="N1254" s="236"/>
    </row>
    <row r="1255" spans="1:14" x14ac:dyDescent="0.3">
      <c r="A1255" s="237" t="str">
        <f>name!E$9</f>
        <v>Caring, leisure and other service occupations</v>
      </c>
      <c r="B1255" s="302">
        <v>26.123421939865047</v>
      </c>
      <c r="C1255" s="302">
        <v>4.5111591747139705</v>
      </c>
      <c r="D1255" s="302">
        <f t="shared" si="454"/>
        <v>30.634581114579017</v>
      </c>
      <c r="E1255" s="303"/>
      <c r="F1255" s="302">
        <v>24.608422472503328</v>
      </c>
      <c r="G1255" s="302">
        <v>3.6534712250831514</v>
      </c>
      <c r="H1255" s="302">
        <f t="shared" si="455"/>
        <v>28.26189369758648</v>
      </c>
      <c r="I1255" s="303"/>
      <c r="J1255" s="302">
        <v>23.765912884344065</v>
      </c>
      <c r="K1255" s="302">
        <v>4.6877076558801338</v>
      </c>
      <c r="L1255" s="302">
        <f t="shared" si="456"/>
        <v>28.4536205402242</v>
      </c>
      <c r="M1255" s="236"/>
      <c r="N1255" s="236"/>
    </row>
    <row r="1256" spans="1:14" x14ac:dyDescent="0.3">
      <c r="A1256" s="237" t="str">
        <f>name!E$10</f>
        <v>Sales and customer service occupations</v>
      </c>
      <c r="B1256" s="302">
        <v>7.658518899745304</v>
      </c>
      <c r="C1256" s="302">
        <v>2.3145760023469899</v>
      </c>
      <c r="D1256" s="302">
        <f t="shared" si="454"/>
        <v>9.9730949020922939</v>
      </c>
      <c r="E1256" s="303"/>
      <c r="F1256" s="302">
        <v>6.8645474088216121</v>
      </c>
      <c r="G1256" s="302">
        <v>1.6569974097748499</v>
      </c>
      <c r="H1256" s="302">
        <f t="shared" si="455"/>
        <v>8.5215448185964622</v>
      </c>
      <c r="I1256" s="303"/>
      <c r="J1256" s="302">
        <v>6.8781233544329599</v>
      </c>
      <c r="K1256" s="302">
        <v>2.0248875449907233</v>
      </c>
      <c r="L1256" s="302">
        <f t="shared" si="456"/>
        <v>8.9030108994236841</v>
      </c>
      <c r="M1256" s="236"/>
      <c r="N1256" s="236"/>
    </row>
    <row r="1257" spans="1:14" x14ac:dyDescent="0.3">
      <c r="A1257" s="237" t="str">
        <f>name!E$11</f>
        <v>Process, plant and machine operatives</v>
      </c>
      <c r="B1257" s="302">
        <v>4.1843699181032434</v>
      </c>
      <c r="C1257" s="302">
        <v>2.458991092767588</v>
      </c>
      <c r="D1257" s="302">
        <f t="shared" si="454"/>
        <v>6.6433610108708319</v>
      </c>
      <c r="E1257" s="303"/>
      <c r="F1257" s="302">
        <v>4.0849866499659644</v>
      </c>
      <c r="G1257" s="302">
        <v>1.8655643302659692</v>
      </c>
      <c r="H1257" s="302">
        <f t="shared" si="455"/>
        <v>5.9505509802319336</v>
      </c>
      <c r="I1257" s="303"/>
      <c r="J1257" s="302">
        <v>5.616181261468296</v>
      </c>
      <c r="K1257" s="302">
        <v>1.7927615002841095</v>
      </c>
      <c r="L1257" s="302">
        <f t="shared" si="456"/>
        <v>7.4089427617524057</v>
      </c>
      <c r="M1257" s="236"/>
      <c r="N1257" s="236"/>
    </row>
    <row r="1258" spans="1:14" x14ac:dyDescent="0.3">
      <c r="A1258" s="237" t="str">
        <f>name!E$12</f>
        <v>Elementary occupations</v>
      </c>
      <c r="B1258" s="302">
        <v>29.218029973780304</v>
      </c>
      <c r="C1258" s="302">
        <v>5.5228650755697544</v>
      </c>
      <c r="D1258" s="302">
        <f t="shared" si="454"/>
        <v>34.740895049350058</v>
      </c>
      <c r="E1258" s="303"/>
      <c r="F1258" s="302">
        <v>22.285514638576281</v>
      </c>
      <c r="G1258" s="302">
        <v>3.8043907875550538</v>
      </c>
      <c r="H1258" s="302">
        <f t="shared" si="455"/>
        <v>26.089905426131335</v>
      </c>
      <c r="I1258" s="303"/>
      <c r="J1258" s="302">
        <v>14.127886306167605</v>
      </c>
      <c r="K1258" s="302">
        <v>2.8281943087393926</v>
      </c>
      <c r="L1258" s="302">
        <f t="shared" si="456"/>
        <v>16.956080614906998</v>
      </c>
      <c r="M1258" s="236"/>
      <c r="N1258" s="236"/>
    </row>
    <row r="1259" spans="1:14" x14ac:dyDescent="0.3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  <c r="N1259" s="236"/>
    </row>
    <row r="1260" spans="1:14" x14ac:dyDescent="0.3">
      <c r="A1260" s="244" t="s">
        <v>32</v>
      </c>
      <c r="B1260" s="311">
        <f>SUM(B1250:B1258)</f>
        <v>279.61299999864673</v>
      </c>
      <c r="C1260" s="311">
        <f t="shared" ref="C1260:D1260" si="457">SUM(C1250:C1258)</f>
        <v>132.18199999901725</v>
      </c>
      <c r="D1260" s="311">
        <f t="shared" si="457"/>
        <v>411.79499999766392</v>
      </c>
      <c r="E1260" s="311"/>
      <c r="F1260" s="311">
        <f t="shared" ref="F1260:H1260" si="458">SUM(F1250:F1258)</f>
        <v>293.01599999789255</v>
      </c>
      <c r="G1260" s="311">
        <f t="shared" si="458"/>
        <v>107.04000000054445</v>
      </c>
      <c r="H1260" s="311">
        <f t="shared" si="458"/>
        <v>400.0559999984369</v>
      </c>
      <c r="I1260" s="311"/>
      <c r="J1260" s="311">
        <f t="shared" ref="J1260:L1260" si="459">SUM(J1250:J1258)</f>
        <v>279.26300000192003</v>
      </c>
      <c r="K1260" s="311">
        <f t="shared" si="459"/>
        <v>117.01100000095562</v>
      </c>
      <c r="L1260" s="311">
        <f t="shared" si="459"/>
        <v>396.27400000287565</v>
      </c>
      <c r="M1260" s="236"/>
      <c r="N1260" s="236"/>
    </row>
    <row r="1261" spans="1:14" x14ac:dyDescent="0.3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  <c r="N1261" s="236"/>
    </row>
    <row r="1262" spans="1:14" x14ac:dyDescent="0.3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56" t="s">
        <v>35</v>
      </c>
      <c r="M1262" s="236"/>
      <c r="N1262" s="236"/>
    </row>
    <row r="1263" spans="1:14" x14ac:dyDescent="0.3">
      <c r="A1263" s="242"/>
      <c r="B1263" s="250"/>
      <c r="C1263" s="250"/>
      <c r="D1263" s="250"/>
      <c r="E1263" s="250"/>
      <c r="F1263" s="250"/>
      <c r="G1263" s="250"/>
      <c r="H1263" s="250"/>
      <c r="I1263" s="250"/>
      <c r="J1263" s="250"/>
      <c r="K1263" s="250"/>
      <c r="L1263" s="236"/>
      <c r="M1263" s="236"/>
      <c r="N1263" s="236"/>
    </row>
    <row r="1264" spans="1:14" x14ac:dyDescent="0.3">
      <c r="A1264" s="241" t="str">
        <f>name!A77</f>
        <v>Repair of goods</v>
      </c>
      <c r="B1264" s="373">
        <f>B$6</f>
        <v>2015</v>
      </c>
      <c r="C1264" s="373"/>
      <c r="D1264" s="373"/>
      <c r="E1264" s="253"/>
      <c r="F1264" s="373">
        <f>F$6</f>
        <v>2020</v>
      </c>
      <c r="G1264" s="373"/>
      <c r="H1264" s="373"/>
      <c r="I1264" s="253"/>
      <c r="J1264" s="373">
        <f>J$6</f>
        <v>2035</v>
      </c>
      <c r="K1264" s="373"/>
      <c r="L1264" s="373"/>
      <c r="M1264" s="236"/>
      <c r="N1264" s="236"/>
    </row>
    <row r="1265" spans="1:14" x14ac:dyDescent="0.3">
      <c r="A1265" s="254"/>
      <c r="B1265" s="255" t="s">
        <v>352</v>
      </c>
      <c r="C1265" s="255" t="s">
        <v>353</v>
      </c>
      <c r="D1265" s="255" t="s">
        <v>32</v>
      </c>
      <c r="E1265" s="255"/>
      <c r="F1265" s="255" t="s">
        <v>352</v>
      </c>
      <c r="G1265" s="255" t="s">
        <v>353</v>
      </c>
      <c r="H1265" s="255" t="s">
        <v>32</v>
      </c>
      <c r="I1265" s="255"/>
      <c r="J1265" s="255" t="s">
        <v>352</v>
      </c>
      <c r="K1265" s="255" t="s">
        <v>353</v>
      </c>
      <c r="L1265" s="255" t="s">
        <v>32</v>
      </c>
      <c r="M1265" s="236"/>
      <c r="N1265" s="236"/>
    </row>
    <row r="1266" spans="1:14" x14ac:dyDescent="0.3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  <c r="N1266" s="236"/>
    </row>
    <row r="1267" spans="1:14" x14ac:dyDescent="0.3">
      <c r="A1267" s="237" t="str">
        <f>name!E$4</f>
        <v>Managers, directors and senior officials</v>
      </c>
      <c r="B1267" s="302">
        <v>4.6593447651938202</v>
      </c>
      <c r="C1267" s="302">
        <v>10.419252581315545</v>
      </c>
      <c r="D1267" s="302">
        <f>SUM(B1267:C1267)</f>
        <v>15.078597346509365</v>
      </c>
      <c r="E1267" s="303"/>
      <c r="F1267" s="302">
        <v>7.1833172669167489</v>
      </c>
      <c r="G1267" s="302">
        <v>15.692468971267838</v>
      </c>
      <c r="H1267" s="302">
        <f>SUM(F1267:G1267)</f>
        <v>22.875786238184588</v>
      </c>
      <c r="I1267" s="303"/>
      <c r="J1267" s="302">
        <v>7.2147952141009686</v>
      </c>
      <c r="K1267" s="302">
        <v>18.68949533100821</v>
      </c>
      <c r="L1267" s="302">
        <f>SUM(J1267:K1267)</f>
        <v>25.904290545109177</v>
      </c>
      <c r="M1267" s="236"/>
      <c r="N1267" s="236"/>
    </row>
    <row r="1268" spans="1:14" x14ac:dyDescent="0.3">
      <c r="A1268" s="237" t="str">
        <f>name!E$5</f>
        <v>Professional occupations</v>
      </c>
      <c r="B1268" s="302">
        <v>2.3147622488089583</v>
      </c>
      <c r="C1268" s="302">
        <v>10.911085513015596</v>
      </c>
      <c r="D1268" s="302">
        <f t="shared" ref="D1268:D1275" si="460">SUM(B1268:C1268)</f>
        <v>13.225847761824554</v>
      </c>
      <c r="E1268" s="303"/>
      <c r="F1268" s="302">
        <v>3.5951668660499392</v>
      </c>
      <c r="G1268" s="302">
        <v>14.309117403294708</v>
      </c>
      <c r="H1268" s="302">
        <f t="shared" ref="H1268:H1275" si="461">SUM(F1268:G1268)</f>
        <v>17.904284269344647</v>
      </c>
      <c r="I1268" s="303"/>
      <c r="J1268" s="302">
        <v>3.5698100671083783</v>
      </c>
      <c r="K1268" s="302">
        <v>16.217909088368202</v>
      </c>
      <c r="L1268" s="302">
        <f t="shared" ref="L1268:L1275" si="462">SUM(J1268:K1268)</f>
        <v>19.78771915547658</v>
      </c>
      <c r="M1268" s="236"/>
      <c r="N1268" s="236"/>
    </row>
    <row r="1269" spans="1:14" x14ac:dyDescent="0.3">
      <c r="A1269" s="237" t="str">
        <f>name!E$6</f>
        <v>Associate professional occupations</v>
      </c>
      <c r="B1269" s="302">
        <v>2.1407603940164268</v>
      </c>
      <c r="C1269" s="302">
        <v>4.9158381747051036</v>
      </c>
      <c r="D1269" s="302">
        <f t="shared" si="460"/>
        <v>7.0565985687215305</v>
      </c>
      <c r="E1269" s="303"/>
      <c r="F1269" s="302">
        <v>2.9594857252729017</v>
      </c>
      <c r="G1269" s="302">
        <v>6.2514799135770627</v>
      </c>
      <c r="H1269" s="302">
        <f t="shared" si="461"/>
        <v>9.2109656388499648</v>
      </c>
      <c r="I1269" s="303"/>
      <c r="J1269" s="302">
        <v>2.7858032204067338</v>
      </c>
      <c r="K1269" s="302">
        <v>6.5495823474990251</v>
      </c>
      <c r="L1269" s="302">
        <f t="shared" si="462"/>
        <v>9.3353855679057585</v>
      </c>
      <c r="M1269" s="236"/>
      <c r="N1269" s="236"/>
    </row>
    <row r="1270" spans="1:14" x14ac:dyDescent="0.3">
      <c r="A1270" s="237" t="str">
        <f>name!E$7</f>
        <v>Administrative and secretarial occupations</v>
      </c>
      <c r="B1270" s="302">
        <v>1.6353979807345913</v>
      </c>
      <c r="C1270" s="302">
        <v>1.6459351200646894</v>
      </c>
      <c r="D1270" s="302">
        <f t="shared" si="460"/>
        <v>3.281333100799281</v>
      </c>
      <c r="E1270" s="303"/>
      <c r="F1270" s="302">
        <v>1.9439162514915376</v>
      </c>
      <c r="G1270" s="302">
        <v>1.9527284586752218</v>
      </c>
      <c r="H1270" s="302">
        <f t="shared" si="461"/>
        <v>3.8966447101667594</v>
      </c>
      <c r="I1270" s="303"/>
      <c r="J1270" s="302">
        <v>2.5007560687990513</v>
      </c>
      <c r="K1270" s="302">
        <v>2.0425995637333405</v>
      </c>
      <c r="L1270" s="302">
        <f t="shared" si="462"/>
        <v>4.5433556325323918</v>
      </c>
      <c r="M1270" s="236"/>
      <c r="N1270" s="236"/>
    </row>
    <row r="1271" spans="1:14" x14ac:dyDescent="0.3">
      <c r="A1271" s="237" t="str">
        <f>name!E$8</f>
        <v>Skilled trades occupations</v>
      </c>
      <c r="B1271" s="302">
        <v>1.6428582225054511</v>
      </c>
      <c r="C1271" s="302">
        <v>5.0101806845962367</v>
      </c>
      <c r="D1271" s="302">
        <f t="shared" si="460"/>
        <v>6.6530389071016875</v>
      </c>
      <c r="E1271" s="303"/>
      <c r="F1271" s="302">
        <v>2.1717026184947055</v>
      </c>
      <c r="G1271" s="302">
        <v>6.6679059023410527</v>
      </c>
      <c r="H1271" s="302">
        <f t="shared" si="461"/>
        <v>8.8396085208357587</v>
      </c>
      <c r="I1271" s="303"/>
      <c r="J1271" s="302">
        <v>2.2417425700369784</v>
      </c>
      <c r="K1271" s="302">
        <v>8.1026572519156765</v>
      </c>
      <c r="L1271" s="302">
        <f t="shared" si="462"/>
        <v>10.344399821952655</v>
      </c>
      <c r="M1271" s="236"/>
      <c r="N1271" s="236"/>
    </row>
    <row r="1272" spans="1:14" x14ac:dyDescent="0.3">
      <c r="A1272" s="237" t="str">
        <f>name!E$9</f>
        <v>Caring, leisure and other service occupations</v>
      </c>
      <c r="B1272" s="302">
        <v>0.37629884245955131</v>
      </c>
      <c r="C1272" s="302">
        <v>0.3284722854062983</v>
      </c>
      <c r="D1272" s="302">
        <f t="shared" si="460"/>
        <v>0.70477112786584961</v>
      </c>
      <c r="E1272" s="303"/>
      <c r="F1272" s="302">
        <v>0.5878278731120411</v>
      </c>
      <c r="G1272" s="302">
        <v>0.47793703816004096</v>
      </c>
      <c r="H1272" s="302">
        <f t="shared" si="461"/>
        <v>1.0657649112720819</v>
      </c>
      <c r="I1272" s="303"/>
      <c r="J1272" s="302">
        <v>0.85156633670871151</v>
      </c>
      <c r="K1272" s="302">
        <v>0.72876645818808883</v>
      </c>
      <c r="L1272" s="302">
        <f t="shared" si="462"/>
        <v>1.5803327948968002</v>
      </c>
      <c r="M1272" s="236"/>
      <c r="N1272" s="236"/>
    </row>
    <row r="1273" spans="1:14" x14ac:dyDescent="0.3">
      <c r="A1273" s="237" t="str">
        <f>name!E$10</f>
        <v>Sales and customer service occupations</v>
      </c>
      <c r="B1273" s="302">
        <v>6.8996476251218892</v>
      </c>
      <c r="C1273" s="302">
        <v>8.363388083004331</v>
      </c>
      <c r="D1273" s="302">
        <f t="shared" si="460"/>
        <v>15.263035708126221</v>
      </c>
      <c r="E1273" s="303"/>
      <c r="F1273" s="302">
        <v>7.6561771041070514</v>
      </c>
      <c r="G1273" s="302">
        <v>9.8850611211403194</v>
      </c>
      <c r="H1273" s="302">
        <f t="shared" si="461"/>
        <v>17.541238225247369</v>
      </c>
      <c r="I1273" s="303"/>
      <c r="J1273" s="302">
        <v>5.4587490122316691</v>
      </c>
      <c r="K1273" s="302">
        <v>8.0976996625878677</v>
      </c>
      <c r="L1273" s="302">
        <f t="shared" si="462"/>
        <v>13.556448674819537</v>
      </c>
      <c r="M1273" s="236"/>
      <c r="N1273" s="236"/>
    </row>
    <row r="1274" spans="1:14" x14ac:dyDescent="0.3">
      <c r="A1274" s="237" t="str">
        <f>name!E$11</f>
        <v>Process, plant and machine operatives</v>
      </c>
      <c r="B1274" s="302">
        <v>0.63424375353635298</v>
      </c>
      <c r="C1274" s="302">
        <v>2.1590638246359486</v>
      </c>
      <c r="D1274" s="302">
        <f t="shared" si="460"/>
        <v>2.7933075781723016</v>
      </c>
      <c r="E1274" s="303"/>
      <c r="F1274" s="302">
        <v>0.79877391288525668</v>
      </c>
      <c r="G1274" s="302">
        <v>2.0076303978813188</v>
      </c>
      <c r="H1274" s="302">
        <f t="shared" si="461"/>
        <v>2.8064043107665757</v>
      </c>
      <c r="I1274" s="303"/>
      <c r="J1274" s="302">
        <v>0.88284762791295779</v>
      </c>
      <c r="K1274" s="302">
        <v>1.7562404584922398</v>
      </c>
      <c r="L1274" s="302">
        <f t="shared" si="462"/>
        <v>2.6390880864051978</v>
      </c>
      <c r="M1274" s="236"/>
      <c r="N1274" s="236"/>
    </row>
    <row r="1275" spans="1:14" x14ac:dyDescent="0.3">
      <c r="A1275" s="237" t="str">
        <f>name!E$12</f>
        <v>Elementary occupations</v>
      </c>
      <c r="B1275" s="302">
        <v>1.0526861678678907</v>
      </c>
      <c r="C1275" s="302">
        <v>3.6667837331114472</v>
      </c>
      <c r="D1275" s="302">
        <f t="shared" si="460"/>
        <v>4.7194699009793375</v>
      </c>
      <c r="E1275" s="303"/>
      <c r="F1275" s="302">
        <v>1.1126323815414489</v>
      </c>
      <c r="G1275" s="302">
        <v>3.3306707936139976</v>
      </c>
      <c r="H1275" s="302">
        <f t="shared" si="461"/>
        <v>4.4433031751554468</v>
      </c>
      <c r="I1275" s="303"/>
      <c r="J1275" s="302">
        <v>1.2609298828282405</v>
      </c>
      <c r="K1275" s="302">
        <v>3.1720498382990439</v>
      </c>
      <c r="L1275" s="302">
        <f t="shared" si="462"/>
        <v>4.4329797211272846</v>
      </c>
      <c r="M1275" s="236"/>
      <c r="N1275" s="236"/>
    </row>
    <row r="1276" spans="1:14" x14ac:dyDescent="0.3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  <c r="N1276" s="236"/>
    </row>
    <row r="1277" spans="1:14" x14ac:dyDescent="0.3">
      <c r="A1277" s="244" t="s">
        <v>32</v>
      </c>
      <c r="B1277" s="311">
        <f>SUM(B1267:B1275)</f>
        <v>21.356000000244929</v>
      </c>
      <c r="C1277" s="311">
        <f t="shared" ref="C1277:D1277" si="463">SUM(C1267:C1275)</f>
        <v>47.419999999855193</v>
      </c>
      <c r="D1277" s="311">
        <f t="shared" si="463"/>
        <v>68.776000000100126</v>
      </c>
      <c r="E1277" s="311"/>
      <c r="F1277" s="311">
        <f t="shared" ref="F1277:H1277" si="464">SUM(F1267:F1275)</f>
        <v>28.00899999987163</v>
      </c>
      <c r="G1277" s="311">
        <f t="shared" si="464"/>
        <v>60.574999999951565</v>
      </c>
      <c r="H1277" s="311">
        <f t="shared" si="464"/>
        <v>88.583999999823206</v>
      </c>
      <c r="I1277" s="311"/>
      <c r="J1277" s="311">
        <f t="shared" ref="J1277:L1277" si="465">SUM(J1267:J1275)</f>
        <v>26.767000000133688</v>
      </c>
      <c r="K1277" s="311">
        <f t="shared" si="465"/>
        <v>65.357000000091702</v>
      </c>
      <c r="L1277" s="311">
        <f t="shared" si="465"/>
        <v>92.124000000225379</v>
      </c>
      <c r="M1277" s="236"/>
      <c r="N1277" s="236"/>
    </row>
    <row r="1278" spans="1:14" x14ac:dyDescent="0.3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  <c r="N1278" s="236"/>
    </row>
    <row r="1279" spans="1:14" x14ac:dyDescent="0.3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56" t="s">
        <v>35</v>
      </c>
      <c r="M1279" s="236"/>
      <c r="N1279" s="236"/>
    </row>
    <row r="1280" spans="1:14" x14ac:dyDescent="0.3">
      <c r="A1280" s="242"/>
      <c r="B1280" s="250"/>
      <c r="C1280" s="250"/>
      <c r="D1280" s="250"/>
      <c r="E1280" s="250"/>
      <c r="F1280" s="250"/>
      <c r="G1280" s="250"/>
      <c r="H1280" s="250"/>
      <c r="I1280" s="250"/>
      <c r="J1280" s="250"/>
      <c r="K1280" s="250"/>
      <c r="L1280" s="236"/>
      <c r="M1280" s="236"/>
      <c r="N1280" s="236"/>
    </row>
    <row r="1281" spans="1:14" x14ac:dyDescent="0.3">
      <c r="A1281" s="241" t="str">
        <f>name!A78</f>
        <v>Other personal service</v>
      </c>
      <c r="B1281" s="373">
        <f>B$6</f>
        <v>2015</v>
      </c>
      <c r="C1281" s="373"/>
      <c r="D1281" s="373"/>
      <c r="E1281" s="253"/>
      <c r="F1281" s="373">
        <f>F$6</f>
        <v>2020</v>
      </c>
      <c r="G1281" s="373"/>
      <c r="H1281" s="373"/>
      <c r="I1281" s="253"/>
      <c r="J1281" s="373">
        <f>J$6</f>
        <v>2035</v>
      </c>
      <c r="K1281" s="373"/>
      <c r="L1281" s="373"/>
      <c r="M1281" s="236"/>
      <c r="N1281" s="236"/>
    </row>
    <row r="1282" spans="1:14" x14ac:dyDescent="0.3">
      <c r="A1282" s="254"/>
      <c r="B1282" s="255" t="s">
        <v>352</v>
      </c>
      <c r="C1282" s="255" t="s">
        <v>353</v>
      </c>
      <c r="D1282" s="255" t="s">
        <v>32</v>
      </c>
      <c r="E1282" s="255"/>
      <c r="F1282" s="255" t="s">
        <v>352</v>
      </c>
      <c r="G1282" s="255" t="s">
        <v>353</v>
      </c>
      <c r="H1282" s="255" t="s">
        <v>32</v>
      </c>
      <c r="I1282" s="255"/>
      <c r="J1282" s="255" t="s">
        <v>352</v>
      </c>
      <c r="K1282" s="255" t="s">
        <v>353</v>
      </c>
      <c r="L1282" s="255" t="s">
        <v>32</v>
      </c>
      <c r="M1282" s="236"/>
      <c r="N1282" s="236"/>
    </row>
    <row r="1283" spans="1:14" x14ac:dyDescent="0.3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  <c r="N1283" s="236"/>
    </row>
    <row r="1284" spans="1:14" x14ac:dyDescent="0.3">
      <c r="A1284" s="237" t="str">
        <f>name!E$4</f>
        <v>Managers, directors and senior officials</v>
      </c>
      <c r="B1284" s="302">
        <v>16.702907745545726</v>
      </c>
      <c r="C1284" s="302">
        <v>23.025959830037259</v>
      </c>
      <c r="D1284" s="302">
        <f>SUM(B1284:C1284)</f>
        <v>39.728867575582981</v>
      </c>
      <c r="E1284" s="303"/>
      <c r="F1284" s="302">
        <v>23.153912444051844</v>
      </c>
      <c r="G1284" s="302">
        <v>21.448147982149788</v>
      </c>
      <c r="H1284" s="302">
        <f>SUM(F1284:G1284)</f>
        <v>44.602060426201632</v>
      </c>
      <c r="I1284" s="303"/>
      <c r="J1284" s="302">
        <v>27.956256619392168</v>
      </c>
      <c r="K1284" s="302">
        <v>25.662825674833144</v>
      </c>
      <c r="L1284" s="302">
        <f>SUM(J1284:K1284)</f>
        <v>53.619082294225308</v>
      </c>
      <c r="M1284" s="236"/>
      <c r="N1284" s="236"/>
    </row>
    <row r="1285" spans="1:14" x14ac:dyDescent="0.3">
      <c r="A1285" s="237" t="str">
        <f>name!E$5</f>
        <v>Professional occupations</v>
      </c>
      <c r="B1285" s="302">
        <v>17.037243661051992</v>
      </c>
      <c r="C1285" s="302">
        <v>20.031420402886077</v>
      </c>
      <c r="D1285" s="302">
        <f t="shared" ref="D1285:D1292" si="466">SUM(B1285:C1285)</f>
        <v>37.068664063938073</v>
      </c>
      <c r="E1285" s="303"/>
      <c r="F1285" s="302">
        <v>26.049315159812863</v>
      </c>
      <c r="G1285" s="302">
        <v>22.259766879868806</v>
      </c>
      <c r="H1285" s="302">
        <f t="shared" ref="H1285:H1292" si="467">SUM(F1285:G1285)</f>
        <v>48.30908203968167</v>
      </c>
      <c r="I1285" s="303"/>
      <c r="J1285" s="302">
        <v>27.022040745551966</v>
      </c>
      <c r="K1285" s="302">
        <v>26.029737024741586</v>
      </c>
      <c r="L1285" s="302">
        <f t="shared" ref="L1285:L1292" si="468">SUM(J1285:K1285)</f>
        <v>53.051777770293555</v>
      </c>
      <c r="M1285" s="236"/>
      <c r="N1285" s="236"/>
    </row>
    <row r="1286" spans="1:14" x14ac:dyDescent="0.3">
      <c r="A1286" s="237" t="str">
        <f>name!E$6</f>
        <v>Associate professional occupations</v>
      </c>
      <c r="B1286" s="302">
        <v>23.897635033639524</v>
      </c>
      <c r="C1286" s="302">
        <v>22.663219207435226</v>
      </c>
      <c r="D1286" s="302">
        <f t="shared" si="466"/>
        <v>46.56085424107475</v>
      </c>
      <c r="E1286" s="303"/>
      <c r="F1286" s="302">
        <v>33.148167204275467</v>
      </c>
      <c r="G1286" s="302">
        <v>23.840609384136915</v>
      </c>
      <c r="H1286" s="302">
        <f t="shared" si="467"/>
        <v>56.988776588412378</v>
      </c>
      <c r="I1286" s="303"/>
      <c r="J1286" s="302">
        <v>32.598014771532434</v>
      </c>
      <c r="K1286" s="302">
        <v>23.627356177154468</v>
      </c>
      <c r="L1286" s="302">
        <f t="shared" si="468"/>
        <v>56.225370948686901</v>
      </c>
      <c r="M1286" s="236"/>
      <c r="N1286" s="236"/>
    </row>
    <row r="1287" spans="1:14" x14ac:dyDescent="0.3">
      <c r="A1287" s="237" t="str">
        <f>name!E$7</f>
        <v>Administrative and secretarial occupations</v>
      </c>
      <c r="B1287" s="302">
        <v>20.300818030895638</v>
      </c>
      <c r="C1287" s="302">
        <v>6.5055033829092261</v>
      </c>
      <c r="D1287" s="302">
        <f t="shared" si="466"/>
        <v>26.806321413804863</v>
      </c>
      <c r="E1287" s="303"/>
      <c r="F1287" s="302">
        <v>22.725827585149187</v>
      </c>
      <c r="G1287" s="302">
        <v>7.3421476853386345</v>
      </c>
      <c r="H1287" s="302">
        <f t="shared" si="467"/>
        <v>30.067975270487821</v>
      </c>
      <c r="I1287" s="303"/>
      <c r="J1287" s="302">
        <v>26.885713932282393</v>
      </c>
      <c r="K1287" s="302">
        <v>8.0195186334165687</v>
      </c>
      <c r="L1287" s="302">
        <f t="shared" si="468"/>
        <v>34.905232565698959</v>
      </c>
      <c r="M1287" s="236"/>
      <c r="N1287" s="236"/>
    </row>
    <row r="1288" spans="1:14" x14ac:dyDescent="0.3">
      <c r="A1288" s="237" t="str">
        <f>name!E$8</f>
        <v>Skilled trades occupations</v>
      </c>
      <c r="B1288" s="302">
        <v>5.2313645332566612</v>
      </c>
      <c r="C1288" s="302">
        <v>19.367218223279014</v>
      </c>
      <c r="D1288" s="302">
        <f t="shared" si="466"/>
        <v>24.598582756535677</v>
      </c>
      <c r="E1288" s="303"/>
      <c r="F1288" s="302">
        <v>7.8259131214345583</v>
      </c>
      <c r="G1288" s="302">
        <v>15.312244864815879</v>
      </c>
      <c r="H1288" s="302">
        <f t="shared" si="467"/>
        <v>23.138157986250437</v>
      </c>
      <c r="I1288" s="303"/>
      <c r="J1288" s="302">
        <v>12.713105147979423</v>
      </c>
      <c r="K1288" s="302">
        <v>15.742186411243694</v>
      </c>
      <c r="L1288" s="302">
        <f t="shared" si="468"/>
        <v>28.455291559223117</v>
      </c>
      <c r="M1288" s="236"/>
      <c r="N1288" s="236"/>
    </row>
    <row r="1289" spans="1:14" x14ac:dyDescent="0.3">
      <c r="A1289" s="237" t="str">
        <f>name!E$9</f>
        <v>Caring, leisure and other service occupations</v>
      </c>
      <c r="B1289" s="302">
        <v>174.73869092936084</v>
      </c>
      <c r="C1289" s="302">
        <v>52.901574297933387</v>
      </c>
      <c r="D1289" s="302">
        <f t="shared" si="466"/>
        <v>227.64026522729424</v>
      </c>
      <c r="E1289" s="303"/>
      <c r="F1289" s="302">
        <v>183.93487002511989</v>
      </c>
      <c r="G1289" s="302">
        <v>52.502845518781243</v>
      </c>
      <c r="H1289" s="302">
        <f t="shared" si="467"/>
        <v>236.43771554390113</v>
      </c>
      <c r="I1289" s="303"/>
      <c r="J1289" s="302">
        <v>155.48331499357798</v>
      </c>
      <c r="K1289" s="302">
        <v>55.213163957333435</v>
      </c>
      <c r="L1289" s="302">
        <f t="shared" si="468"/>
        <v>210.6964789509114</v>
      </c>
      <c r="M1289" s="236"/>
      <c r="N1289" s="236"/>
    </row>
    <row r="1290" spans="1:14" x14ac:dyDescent="0.3">
      <c r="A1290" s="237" t="str">
        <f>name!E$10</f>
        <v>Sales and customer service occupations</v>
      </c>
      <c r="B1290" s="302">
        <v>10.4523971821981</v>
      </c>
      <c r="C1290" s="302">
        <v>9.4016551973255549</v>
      </c>
      <c r="D1290" s="302">
        <f t="shared" si="466"/>
        <v>19.854052379523655</v>
      </c>
      <c r="E1290" s="303"/>
      <c r="F1290" s="302">
        <v>10.617328081994142</v>
      </c>
      <c r="G1290" s="302">
        <v>9.1657439552525979</v>
      </c>
      <c r="H1290" s="302">
        <f t="shared" si="467"/>
        <v>19.78307203724674</v>
      </c>
      <c r="I1290" s="303"/>
      <c r="J1290" s="302">
        <v>9.7753019268104282</v>
      </c>
      <c r="K1290" s="302">
        <v>11.036394556953791</v>
      </c>
      <c r="L1290" s="302">
        <f t="shared" si="468"/>
        <v>20.811696483764219</v>
      </c>
      <c r="M1290" s="236"/>
      <c r="N1290" s="236"/>
    </row>
    <row r="1291" spans="1:14" x14ac:dyDescent="0.3">
      <c r="A1291" s="237" t="str">
        <f>name!E$11</f>
        <v>Process, plant and machine operatives</v>
      </c>
      <c r="B1291" s="302">
        <v>1.6016701616665914</v>
      </c>
      <c r="C1291" s="302">
        <v>12.867457127082572</v>
      </c>
      <c r="D1291" s="302">
        <f t="shared" si="466"/>
        <v>14.469127288749164</v>
      </c>
      <c r="E1291" s="303"/>
      <c r="F1291" s="302">
        <v>1.6586354289074956</v>
      </c>
      <c r="G1291" s="302">
        <v>11.562381914278252</v>
      </c>
      <c r="H1291" s="302">
        <f t="shared" si="467"/>
        <v>13.221017343185746</v>
      </c>
      <c r="I1291" s="303"/>
      <c r="J1291" s="302">
        <v>2.2574493838325678</v>
      </c>
      <c r="K1291" s="302">
        <v>9.9257630553209175</v>
      </c>
      <c r="L1291" s="302">
        <f t="shared" si="468"/>
        <v>12.183212439153486</v>
      </c>
      <c r="M1291" s="236"/>
      <c r="N1291" s="236"/>
    </row>
    <row r="1292" spans="1:14" x14ac:dyDescent="0.3">
      <c r="A1292" s="237" t="str">
        <f>name!E$12</f>
        <v>Elementary occupations</v>
      </c>
      <c r="B1292" s="302">
        <v>14.845272726117434</v>
      </c>
      <c r="C1292" s="302">
        <v>29.816992332858529</v>
      </c>
      <c r="D1292" s="302">
        <f t="shared" si="466"/>
        <v>44.662265058975962</v>
      </c>
      <c r="E1292" s="303"/>
      <c r="F1292" s="302">
        <v>13.529030946728195</v>
      </c>
      <c r="G1292" s="302">
        <v>25.281111816390538</v>
      </c>
      <c r="H1292" s="302">
        <f t="shared" si="467"/>
        <v>38.810142763118733</v>
      </c>
      <c r="I1292" s="303"/>
      <c r="J1292" s="302">
        <v>10.911802478594854</v>
      </c>
      <c r="K1292" s="302">
        <v>22.902054510792826</v>
      </c>
      <c r="L1292" s="302">
        <f t="shared" si="468"/>
        <v>33.813856989387681</v>
      </c>
      <c r="M1292" s="236"/>
      <c r="N1292" s="236"/>
    </row>
    <row r="1293" spans="1:14" x14ac:dyDescent="0.3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  <c r="N1293" s="236"/>
    </row>
    <row r="1294" spans="1:14" x14ac:dyDescent="0.3">
      <c r="A1294" s="244" t="s">
        <v>32</v>
      </c>
      <c r="B1294" s="311">
        <f>SUM(B1284:B1292)</f>
        <v>284.80800000373262</v>
      </c>
      <c r="C1294" s="311">
        <f t="shared" ref="C1294:D1294" si="469">SUM(C1284:C1292)</f>
        <v>196.58100000174684</v>
      </c>
      <c r="D1294" s="311">
        <f t="shared" si="469"/>
        <v>481.38900000547932</v>
      </c>
      <c r="E1294" s="311"/>
      <c r="F1294" s="311">
        <f t="shared" ref="F1294:H1294" si="470">SUM(F1284:F1292)</f>
        <v>322.64299999747362</v>
      </c>
      <c r="G1294" s="311">
        <f t="shared" si="470"/>
        <v>188.71500000101264</v>
      </c>
      <c r="H1294" s="311">
        <f t="shared" si="470"/>
        <v>511.35799999848632</v>
      </c>
      <c r="I1294" s="311"/>
      <c r="J1294" s="311">
        <f t="shared" ref="J1294:L1294" si="471">SUM(J1284:J1292)</f>
        <v>305.60299999955419</v>
      </c>
      <c r="K1294" s="311">
        <f t="shared" si="471"/>
        <v>198.15900000179042</v>
      </c>
      <c r="L1294" s="311">
        <f t="shared" si="471"/>
        <v>503.76200000134457</v>
      </c>
      <c r="M1294" s="236"/>
      <c r="N1294" s="236"/>
    </row>
    <row r="1295" spans="1:14" x14ac:dyDescent="0.3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  <c r="N1295" s="236"/>
    </row>
  </sheetData>
  <mergeCells count="228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</mergeCells>
  <pageMargins left="0.7" right="0.7" top="0.75" bottom="0.75" header="0.3" footer="0.3"/>
  <pageSetup paperSize="9" scale="75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>
    <pageSetUpPr fitToPage="1"/>
  </sheetPr>
  <dimension ref="A1:W1295"/>
  <sheetViews>
    <sheetView showGridLines="0" zoomScale="85" zoomScaleNormal="85" workbookViewId="0"/>
  </sheetViews>
  <sheetFormatPr defaultRowHeight="12.45" x14ac:dyDescent="0.3"/>
  <cols>
    <col min="1" max="1" width="37.84375" customWidth="1"/>
    <col min="2" max="2" width="6.69140625" bestFit="1" customWidth="1"/>
    <col min="3" max="4" width="5.69140625" bestFit="1" customWidth="1"/>
    <col min="5" max="5" width="6.69140625" bestFit="1" customWidth="1"/>
    <col min="6" max="6" width="4.69140625" customWidth="1"/>
    <col min="7" max="7" width="6.69140625" bestFit="1" customWidth="1"/>
    <col min="8" max="9" width="5.69140625" bestFit="1" customWidth="1"/>
    <col min="10" max="10" width="6.69140625" bestFit="1" customWidth="1"/>
    <col min="11" max="11" width="4.84375" customWidth="1"/>
    <col min="12" max="13" width="6.69140625" bestFit="1" customWidth="1"/>
    <col min="14" max="14" width="5.69140625" bestFit="1" customWidth="1"/>
    <col min="15" max="15" width="6.69140625" bestFit="1" customWidth="1"/>
    <col min="259" max="259" width="33.15234375" bestFit="1" customWidth="1"/>
    <col min="260" max="262" width="7.15234375" customWidth="1"/>
    <col min="263" max="263" width="5" customWidth="1"/>
    <col min="264" max="266" width="7.15234375" customWidth="1"/>
    <col min="267" max="267" width="5" customWidth="1"/>
    <col min="268" max="270" width="7.15234375" customWidth="1"/>
    <col min="515" max="515" width="33.15234375" bestFit="1" customWidth="1"/>
    <col min="516" max="518" width="7.15234375" customWidth="1"/>
    <col min="519" max="519" width="5" customWidth="1"/>
    <col min="520" max="522" width="7.15234375" customWidth="1"/>
    <col min="523" max="523" width="5" customWidth="1"/>
    <col min="524" max="526" width="7.15234375" customWidth="1"/>
    <col min="771" max="771" width="33.15234375" bestFit="1" customWidth="1"/>
    <col min="772" max="774" width="7.15234375" customWidth="1"/>
    <col min="775" max="775" width="5" customWidth="1"/>
    <col min="776" max="778" width="7.15234375" customWidth="1"/>
    <col min="779" max="779" width="5" customWidth="1"/>
    <col min="780" max="782" width="7.15234375" customWidth="1"/>
    <col min="1027" max="1027" width="33.15234375" bestFit="1" customWidth="1"/>
    <col min="1028" max="1030" width="7.15234375" customWidth="1"/>
    <col min="1031" max="1031" width="5" customWidth="1"/>
    <col min="1032" max="1034" width="7.15234375" customWidth="1"/>
    <col min="1035" max="1035" width="5" customWidth="1"/>
    <col min="1036" max="1038" width="7.15234375" customWidth="1"/>
    <col min="1283" max="1283" width="33.15234375" bestFit="1" customWidth="1"/>
    <col min="1284" max="1286" width="7.15234375" customWidth="1"/>
    <col min="1287" max="1287" width="5" customWidth="1"/>
    <col min="1288" max="1290" width="7.15234375" customWidth="1"/>
    <col min="1291" max="1291" width="5" customWidth="1"/>
    <col min="1292" max="1294" width="7.15234375" customWidth="1"/>
    <col min="1539" max="1539" width="33.15234375" bestFit="1" customWidth="1"/>
    <col min="1540" max="1542" width="7.15234375" customWidth="1"/>
    <col min="1543" max="1543" width="5" customWidth="1"/>
    <col min="1544" max="1546" width="7.15234375" customWidth="1"/>
    <col min="1547" max="1547" width="5" customWidth="1"/>
    <col min="1548" max="1550" width="7.15234375" customWidth="1"/>
    <col min="1795" max="1795" width="33.15234375" bestFit="1" customWidth="1"/>
    <col min="1796" max="1798" width="7.15234375" customWidth="1"/>
    <col min="1799" max="1799" width="5" customWidth="1"/>
    <col min="1800" max="1802" width="7.15234375" customWidth="1"/>
    <col min="1803" max="1803" width="5" customWidth="1"/>
    <col min="1804" max="1806" width="7.15234375" customWidth="1"/>
    <col min="2051" max="2051" width="33.15234375" bestFit="1" customWidth="1"/>
    <col min="2052" max="2054" width="7.15234375" customWidth="1"/>
    <col min="2055" max="2055" width="5" customWidth="1"/>
    <col min="2056" max="2058" width="7.15234375" customWidth="1"/>
    <col min="2059" max="2059" width="5" customWidth="1"/>
    <col min="2060" max="2062" width="7.15234375" customWidth="1"/>
    <col min="2307" max="2307" width="33.15234375" bestFit="1" customWidth="1"/>
    <col min="2308" max="2310" width="7.15234375" customWidth="1"/>
    <col min="2311" max="2311" width="5" customWidth="1"/>
    <col min="2312" max="2314" width="7.15234375" customWidth="1"/>
    <col min="2315" max="2315" width="5" customWidth="1"/>
    <col min="2316" max="2318" width="7.15234375" customWidth="1"/>
    <col min="2563" max="2563" width="33.15234375" bestFit="1" customWidth="1"/>
    <col min="2564" max="2566" width="7.15234375" customWidth="1"/>
    <col min="2567" max="2567" width="5" customWidth="1"/>
    <col min="2568" max="2570" width="7.15234375" customWidth="1"/>
    <col min="2571" max="2571" width="5" customWidth="1"/>
    <col min="2572" max="2574" width="7.15234375" customWidth="1"/>
    <col min="2819" max="2819" width="33.15234375" bestFit="1" customWidth="1"/>
    <col min="2820" max="2822" width="7.15234375" customWidth="1"/>
    <col min="2823" max="2823" width="5" customWidth="1"/>
    <col min="2824" max="2826" width="7.15234375" customWidth="1"/>
    <col min="2827" max="2827" width="5" customWidth="1"/>
    <col min="2828" max="2830" width="7.15234375" customWidth="1"/>
    <col min="3075" max="3075" width="33.15234375" bestFit="1" customWidth="1"/>
    <col min="3076" max="3078" width="7.15234375" customWidth="1"/>
    <col min="3079" max="3079" width="5" customWidth="1"/>
    <col min="3080" max="3082" width="7.15234375" customWidth="1"/>
    <col min="3083" max="3083" width="5" customWidth="1"/>
    <col min="3084" max="3086" width="7.15234375" customWidth="1"/>
    <col min="3331" max="3331" width="33.15234375" bestFit="1" customWidth="1"/>
    <col min="3332" max="3334" width="7.15234375" customWidth="1"/>
    <col min="3335" max="3335" width="5" customWidth="1"/>
    <col min="3336" max="3338" width="7.15234375" customWidth="1"/>
    <col min="3339" max="3339" width="5" customWidth="1"/>
    <col min="3340" max="3342" width="7.15234375" customWidth="1"/>
    <col min="3587" max="3587" width="33.15234375" bestFit="1" customWidth="1"/>
    <col min="3588" max="3590" width="7.15234375" customWidth="1"/>
    <col min="3591" max="3591" width="5" customWidth="1"/>
    <col min="3592" max="3594" width="7.15234375" customWidth="1"/>
    <col min="3595" max="3595" width="5" customWidth="1"/>
    <col min="3596" max="3598" width="7.15234375" customWidth="1"/>
    <col min="3843" max="3843" width="33.15234375" bestFit="1" customWidth="1"/>
    <col min="3844" max="3846" width="7.15234375" customWidth="1"/>
    <col min="3847" max="3847" width="5" customWidth="1"/>
    <col min="3848" max="3850" width="7.15234375" customWidth="1"/>
    <col min="3851" max="3851" width="5" customWidth="1"/>
    <col min="3852" max="3854" width="7.15234375" customWidth="1"/>
    <col min="4099" max="4099" width="33.15234375" bestFit="1" customWidth="1"/>
    <col min="4100" max="4102" width="7.15234375" customWidth="1"/>
    <col min="4103" max="4103" width="5" customWidth="1"/>
    <col min="4104" max="4106" width="7.15234375" customWidth="1"/>
    <col min="4107" max="4107" width="5" customWidth="1"/>
    <col min="4108" max="4110" width="7.15234375" customWidth="1"/>
    <col min="4355" max="4355" width="33.15234375" bestFit="1" customWidth="1"/>
    <col min="4356" max="4358" width="7.15234375" customWidth="1"/>
    <col min="4359" max="4359" width="5" customWidth="1"/>
    <col min="4360" max="4362" width="7.15234375" customWidth="1"/>
    <col min="4363" max="4363" width="5" customWidth="1"/>
    <col min="4364" max="4366" width="7.15234375" customWidth="1"/>
    <col min="4611" max="4611" width="33.15234375" bestFit="1" customWidth="1"/>
    <col min="4612" max="4614" width="7.15234375" customWidth="1"/>
    <col min="4615" max="4615" width="5" customWidth="1"/>
    <col min="4616" max="4618" width="7.15234375" customWidth="1"/>
    <col min="4619" max="4619" width="5" customWidth="1"/>
    <col min="4620" max="4622" width="7.15234375" customWidth="1"/>
    <col min="4867" max="4867" width="33.15234375" bestFit="1" customWidth="1"/>
    <col min="4868" max="4870" width="7.15234375" customWidth="1"/>
    <col min="4871" max="4871" width="5" customWidth="1"/>
    <col min="4872" max="4874" width="7.15234375" customWidth="1"/>
    <col min="4875" max="4875" width="5" customWidth="1"/>
    <col min="4876" max="4878" width="7.15234375" customWidth="1"/>
    <col min="5123" max="5123" width="33.15234375" bestFit="1" customWidth="1"/>
    <col min="5124" max="5126" width="7.15234375" customWidth="1"/>
    <col min="5127" max="5127" width="5" customWidth="1"/>
    <col min="5128" max="5130" width="7.15234375" customWidth="1"/>
    <col min="5131" max="5131" width="5" customWidth="1"/>
    <col min="5132" max="5134" width="7.15234375" customWidth="1"/>
    <col min="5379" max="5379" width="33.15234375" bestFit="1" customWidth="1"/>
    <col min="5380" max="5382" width="7.15234375" customWidth="1"/>
    <col min="5383" max="5383" width="5" customWidth="1"/>
    <col min="5384" max="5386" width="7.15234375" customWidth="1"/>
    <col min="5387" max="5387" width="5" customWidth="1"/>
    <col min="5388" max="5390" width="7.15234375" customWidth="1"/>
    <col min="5635" max="5635" width="33.15234375" bestFit="1" customWidth="1"/>
    <col min="5636" max="5638" width="7.15234375" customWidth="1"/>
    <col min="5639" max="5639" width="5" customWidth="1"/>
    <col min="5640" max="5642" width="7.15234375" customWidth="1"/>
    <col min="5643" max="5643" width="5" customWidth="1"/>
    <col min="5644" max="5646" width="7.15234375" customWidth="1"/>
    <col min="5891" max="5891" width="33.15234375" bestFit="1" customWidth="1"/>
    <col min="5892" max="5894" width="7.15234375" customWidth="1"/>
    <col min="5895" max="5895" width="5" customWidth="1"/>
    <col min="5896" max="5898" width="7.15234375" customWidth="1"/>
    <col min="5899" max="5899" width="5" customWidth="1"/>
    <col min="5900" max="5902" width="7.15234375" customWidth="1"/>
    <col min="6147" max="6147" width="33.15234375" bestFit="1" customWidth="1"/>
    <col min="6148" max="6150" width="7.15234375" customWidth="1"/>
    <col min="6151" max="6151" width="5" customWidth="1"/>
    <col min="6152" max="6154" width="7.15234375" customWidth="1"/>
    <col min="6155" max="6155" width="5" customWidth="1"/>
    <col min="6156" max="6158" width="7.15234375" customWidth="1"/>
    <col min="6403" max="6403" width="33.15234375" bestFit="1" customWidth="1"/>
    <col min="6404" max="6406" width="7.15234375" customWidth="1"/>
    <col min="6407" max="6407" width="5" customWidth="1"/>
    <col min="6408" max="6410" width="7.15234375" customWidth="1"/>
    <col min="6411" max="6411" width="5" customWidth="1"/>
    <col min="6412" max="6414" width="7.15234375" customWidth="1"/>
    <col min="6659" max="6659" width="33.15234375" bestFit="1" customWidth="1"/>
    <col min="6660" max="6662" width="7.15234375" customWidth="1"/>
    <col min="6663" max="6663" width="5" customWidth="1"/>
    <col min="6664" max="6666" width="7.15234375" customWidth="1"/>
    <col min="6667" max="6667" width="5" customWidth="1"/>
    <col min="6668" max="6670" width="7.15234375" customWidth="1"/>
    <col min="6915" max="6915" width="33.15234375" bestFit="1" customWidth="1"/>
    <col min="6916" max="6918" width="7.15234375" customWidth="1"/>
    <col min="6919" max="6919" width="5" customWidth="1"/>
    <col min="6920" max="6922" width="7.15234375" customWidth="1"/>
    <col min="6923" max="6923" width="5" customWidth="1"/>
    <col min="6924" max="6926" width="7.15234375" customWidth="1"/>
    <col min="7171" max="7171" width="33.15234375" bestFit="1" customWidth="1"/>
    <col min="7172" max="7174" width="7.15234375" customWidth="1"/>
    <col min="7175" max="7175" width="5" customWidth="1"/>
    <col min="7176" max="7178" width="7.15234375" customWidth="1"/>
    <col min="7179" max="7179" width="5" customWidth="1"/>
    <col min="7180" max="7182" width="7.15234375" customWidth="1"/>
    <col min="7427" max="7427" width="33.15234375" bestFit="1" customWidth="1"/>
    <col min="7428" max="7430" width="7.15234375" customWidth="1"/>
    <col min="7431" max="7431" width="5" customWidth="1"/>
    <col min="7432" max="7434" width="7.15234375" customWidth="1"/>
    <col min="7435" max="7435" width="5" customWidth="1"/>
    <col min="7436" max="7438" width="7.15234375" customWidth="1"/>
    <col min="7683" max="7683" width="33.15234375" bestFit="1" customWidth="1"/>
    <col min="7684" max="7686" width="7.15234375" customWidth="1"/>
    <col min="7687" max="7687" width="5" customWidth="1"/>
    <col min="7688" max="7690" width="7.15234375" customWidth="1"/>
    <col min="7691" max="7691" width="5" customWidth="1"/>
    <col min="7692" max="7694" width="7.15234375" customWidth="1"/>
    <col min="7939" max="7939" width="33.15234375" bestFit="1" customWidth="1"/>
    <col min="7940" max="7942" width="7.15234375" customWidth="1"/>
    <col min="7943" max="7943" width="5" customWidth="1"/>
    <col min="7944" max="7946" width="7.15234375" customWidth="1"/>
    <col min="7947" max="7947" width="5" customWidth="1"/>
    <col min="7948" max="7950" width="7.15234375" customWidth="1"/>
    <col min="8195" max="8195" width="33.15234375" bestFit="1" customWidth="1"/>
    <col min="8196" max="8198" width="7.15234375" customWidth="1"/>
    <col min="8199" max="8199" width="5" customWidth="1"/>
    <col min="8200" max="8202" width="7.15234375" customWidth="1"/>
    <col min="8203" max="8203" width="5" customWidth="1"/>
    <col min="8204" max="8206" width="7.15234375" customWidth="1"/>
    <col min="8451" max="8451" width="33.15234375" bestFit="1" customWidth="1"/>
    <col min="8452" max="8454" width="7.15234375" customWidth="1"/>
    <col min="8455" max="8455" width="5" customWidth="1"/>
    <col min="8456" max="8458" width="7.15234375" customWidth="1"/>
    <col min="8459" max="8459" width="5" customWidth="1"/>
    <col min="8460" max="8462" width="7.15234375" customWidth="1"/>
    <col min="8707" max="8707" width="33.15234375" bestFit="1" customWidth="1"/>
    <col min="8708" max="8710" width="7.15234375" customWidth="1"/>
    <col min="8711" max="8711" width="5" customWidth="1"/>
    <col min="8712" max="8714" width="7.15234375" customWidth="1"/>
    <col min="8715" max="8715" width="5" customWidth="1"/>
    <col min="8716" max="8718" width="7.15234375" customWidth="1"/>
    <col min="8963" max="8963" width="33.15234375" bestFit="1" customWidth="1"/>
    <col min="8964" max="8966" width="7.15234375" customWidth="1"/>
    <col min="8967" max="8967" width="5" customWidth="1"/>
    <col min="8968" max="8970" width="7.15234375" customWidth="1"/>
    <col min="8971" max="8971" width="5" customWidth="1"/>
    <col min="8972" max="8974" width="7.15234375" customWidth="1"/>
    <col min="9219" max="9219" width="33.15234375" bestFit="1" customWidth="1"/>
    <col min="9220" max="9222" width="7.15234375" customWidth="1"/>
    <col min="9223" max="9223" width="5" customWidth="1"/>
    <col min="9224" max="9226" width="7.15234375" customWidth="1"/>
    <col min="9227" max="9227" width="5" customWidth="1"/>
    <col min="9228" max="9230" width="7.15234375" customWidth="1"/>
    <col min="9475" max="9475" width="33.15234375" bestFit="1" customWidth="1"/>
    <col min="9476" max="9478" width="7.15234375" customWidth="1"/>
    <col min="9479" max="9479" width="5" customWidth="1"/>
    <col min="9480" max="9482" width="7.15234375" customWidth="1"/>
    <col min="9483" max="9483" width="5" customWidth="1"/>
    <col min="9484" max="9486" width="7.15234375" customWidth="1"/>
    <col min="9731" max="9731" width="33.15234375" bestFit="1" customWidth="1"/>
    <col min="9732" max="9734" width="7.15234375" customWidth="1"/>
    <col min="9735" max="9735" width="5" customWidth="1"/>
    <col min="9736" max="9738" width="7.15234375" customWidth="1"/>
    <col min="9739" max="9739" width="5" customWidth="1"/>
    <col min="9740" max="9742" width="7.15234375" customWidth="1"/>
    <col min="9987" max="9987" width="33.15234375" bestFit="1" customWidth="1"/>
    <col min="9988" max="9990" width="7.15234375" customWidth="1"/>
    <col min="9991" max="9991" width="5" customWidth="1"/>
    <col min="9992" max="9994" width="7.15234375" customWidth="1"/>
    <col min="9995" max="9995" width="5" customWidth="1"/>
    <col min="9996" max="9998" width="7.15234375" customWidth="1"/>
    <col min="10243" max="10243" width="33.15234375" bestFit="1" customWidth="1"/>
    <col min="10244" max="10246" width="7.15234375" customWidth="1"/>
    <col min="10247" max="10247" width="5" customWidth="1"/>
    <col min="10248" max="10250" width="7.15234375" customWidth="1"/>
    <col min="10251" max="10251" width="5" customWidth="1"/>
    <col min="10252" max="10254" width="7.15234375" customWidth="1"/>
    <col min="10499" max="10499" width="33.15234375" bestFit="1" customWidth="1"/>
    <col min="10500" max="10502" width="7.15234375" customWidth="1"/>
    <col min="10503" max="10503" width="5" customWidth="1"/>
    <col min="10504" max="10506" width="7.15234375" customWidth="1"/>
    <col min="10507" max="10507" width="5" customWidth="1"/>
    <col min="10508" max="10510" width="7.15234375" customWidth="1"/>
    <col min="10755" max="10755" width="33.15234375" bestFit="1" customWidth="1"/>
    <col min="10756" max="10758" width="7.15234375" customWidth="1"/>
    <col min="10759" max="10759" width="5" customWidth="1"/>
    <col min="10760" max="10762" width="7.15234375" customWidth="1"/>
    <col min="10763" max="10763" width="5" customWidth="1"/>
    <col min="10764" max="10766" width="7.15234375" customWidth="1"/>
    <col min="11011" max="11011" width="33.15234375" bestFit="1" customWidth="1"/>
    <col min="11012" max="11014" width="7.15234375" customWidth="1"/>
    <col min="11015" max="11015" width="5" customWidth="1"/>
    <col min="11016" max="11018" width="7.15234375" customWidth="1"/>
    <col min="11019" max="11019" width="5" customWidth="1"/>
    <col min="11020" max="11022" width="7.15234375" customWidth="1"/>
    <col min="11267" max="11267" width="33.15234375" bestFit="1" customWidth="1"/>
    <col min="11268" max="11270" width="7.15234375" customWidth="1"/>
    <col min="11271" max="11271" width="5" customWidth="1"/>
    <col min="11272" max="11274" width="7.15234375" customWidth="1"/>
    <col min="11275" max="11275" width="5" customWidth="1"/>
    <col min="11276" max="11278" width="7.15234375" customWidth="1"/>
    <col min="11523" max="11523" width="33.15234375" bestFit="1" customWidth="1"/>
    <col min="11524" max="11526" width="7.15234375" customWidth="1"/>
    <col min="11527" max="11527" width="5" customWidth="1"/>
    <col min="11528" max="11530" width="7.15234375" customWidth="1"/>
    <col min="11531" max="11531" width="5" customWidth="1"/>
    <col min="11532" max="11534" width="7.15234375" customWidth="1"/>
    <col min="11779" max="11779" width="33.15234375" bestFit="1" customWidth="1"/>
    <col min="11780" max="11782" width="7.15234375" customWidth="1"/>
    <col min="11783" max="11783" width="5" customWidth="1"/>
    <col min="11784" max="11786" width="7.15234375" customWidth="1"/>
    <col min="11787" max="11787" width="5" customWidth="1"/>
    <col min="11788" max="11790" width="7.15234375" customWidth="1"/>
    <col min="12035" max="12035" width="33.15234375" bestFit="1" customWidth="1"/>
    <col min="12036" max="12038" width="7.15234375" customWidth="1"/>
    <col min="12039" max="12039" width="5" customWidth="1"/>
    <col min="12040" max="12042" width="7.15234375" customWidth="1"/>
    <col min="12043" max="12043" width="5" customWidth="1"/>
    <col min="12044" max="12046" width="7.15234375" customWidth="1"/>
    <col min="12291" max="12291" width="33.15234375" bestFit="1" customWidth="1"/>
    <col min="12292" max="12294" width="7.15234375" customWidth="1"/>
    <col min="12295" max="12295" width="5" customWidth="1"/>
    <col min="12296" max="12298" width="7.15234375" customWidth="1"/>
    <col min="12299" max="12299" width="5" customWidth="1"/>
    <col min="12300" max="12302" width="7.15234375" customWidth="1"/>
    <col min="12547" max="12547" width="33.15234375" bestFit="1" customWidth="1"/>
    <col min="12548" max="12550" width="7.15234375" customWidth="1"/>
    <col min="12551" max="12551" width="5" customWidth="1"/>
    <col min="12552" max="12554" width="7.15234375" customWidth="1"/>
    <col min="12555" max="12555" width="5" customWidth="1"/>
    <col min="12556" max="12558" width="7.15234375" customWidth="1"/>
    <col min="12803" max="12803" width="33.15234375" bestFit="1" customWidth="1"/>
    <col min="12804" max="12806" width="7.15234375" customWidth="1"/>
    <col min="12807" max="12807" width="5" customWidth="1"/>
    <col min="12808" max="12810" width="7.15234375" customWidth="1"/>
    <col min="12811" max="12811" width="5" customWidth="1"/>
    <col min="12812" max="12814" width="7.15234375" customWidth="1"/>
    <col min="13059" max="13059" width="33.15234375" bestFit="1" customWidth="1"/>
    <col min="13060" max="13062" width="7.15234375" customWidth="1"/>
    <col min="13063" max="13063" width="5" customWidth="1"/>
    <col min="13064" max="13066" width="7.15234375" customWidth="1"/>
    <col min="13067" max="13067" width="5" customWidth="1"/>
    <col min="13068" max="13070" width="7.15234375" customWidth="1"/>
    <col min="13315" max="13315" width="33.15234375" bestFit="1" customWidth="1"/>
    <col min="13316" max="13318" width="7.15234375" customWidth="1"/>
    <col min="13319" max="13319" width="5" customWidth="1"/>
    <col min="13320" max="13322" width="7.15234375" customWidth="1"/>
    <col min="13323" max="13323" width="5" customWidth="1"/>
    <col min="13324" max="13326" width="7.15234375" customWidth="1"/>
    <col min="13571" max="13571" width="33.15234375" bestFit="1" customWidth="1"/>
    <col min="13572" max="13574" width="7.15234375" customWidth="1"/>
    <col min="13575" max="13575" width="5" customWidth="1"/>
    <col min="13576" max="13578" width="7.15234375" customWidth="1"/>
    <col min="13579" max="13579" width="5" customWidth="1"/>
    <col min="13580" max="13582" width="7.15234375" customWidth="1"/>
    <col min="13827" max="13827" width="33.15234375" bestFit="1" customWidth="1"/>
    <col min="13828" max="13830" width="7.15234375" customWidth="1"/>
    <col min="13831" max="13831" width="5" customWidth="1"/>
    <col min="13832" max="13834" width="7.15234375" customWidth="1"/>
    <col min="13835" max="13835" width="5" customWidth="1"/>
    <col min="13836" max="13838" width="7.15234375" customWidth="1"/>
    <col min="14083" max="14083" width="33.15234375" bestFit="1" customWidth="1"/>
    <col min="14084" max="14086" width="7.15234375" customWidth="1"/>
    <col min="14087" max="14087" width="5" customWidth="1"/>
    <col min="14088" max="14090" width="7.15234375" customWidth="1"/>
    <col min="14091" max="14091" width="5" customWidth="1"/>
    <col min="14092" max="14094" width="7.15234375" customWidth="1"/>
    <col min="14339" max="14339" width="33.15234375" bestFit="1" customWidth="1"/>
    <col min="14340" max="14342" width="7.15234375" customWidth="1"/>
    <col min="14343" max="14343" width="5" customWidth="1"/>
    <col min="14344" max="14346" width="7.15234375" customWidth="1"/>
    <col min="14347" max="14347" width="5" customWidth="1"/>
    <col min="14348" max="14350" width="7.15234375" customWidth="1"/>
    <col min="14595" max="14595" width="33.15234375" bestFit="1" customWidth="1"/>
    <col min="14596" max="14598" width="7.15234375" customWidth="1"/>
    <col min="14599" max="14599" width="5" customWidth="1"/>
    <col min="14600" max="14602" width="7.15234375" customWidth="1"/>
    <col min="14603" max="14603" width="5" customWidth="1"/>
    <col min="14604" max="14606" width="7.15234375" customWidth="1"/>
    <col min="14851" max="14851" width="33.15234375" bestFit="1" customWidth="1"/>
    <col min="14852" max="14854" width="7.15234375" customWidth="1"/>
    <col min="14855" max="14855" width="5" customWidth="1"/>
    <col min="14856" max="14858" width="7.15234375" customWidth="1"/>
    <col min="14859" max="14859" width="5" customWidth="1"/>
    <col min="14860" max="14862" width="7.15234375" customWidth="1"/>
    <col min="15107" max="15107" width="33.15234375" bestFit="1" customWidth="1"/>
    <col min="15108" max="15110" width="7.15234375" customWidth="1"/>
    <col min="15111" max="15111" width="5" customWidth="1"/>
    <col min="15112" max="15114" width="7.15234375" customWidth="1"/>
    <col min="15115" max="15115" width="5" customWidth="1"/>
    <col min="15116" max="15118" width="7.15234375" customWidth="1"/>
    <col min="15363" max="15363" width="33.15234375" bestFit="1" customWidth="1"/>
    <col min="15364" max="15366" width="7.15234375" customWidth="1"/>
    <col min="15367" max="15367" width="5" customWidth="1"/>
    <col min="15368" max="15370" width="7.15234375" customWidth="1"/>
    <col min="15371" max="15371" width="5" customWidth="1"/>
    <col min="15372" max="15374" width="7.15234375" customWidth="1"/>
    <col min="15619" max="15619" width="33.15234375" bestFit="1" customWidth="1"/>
    <col min="15620" max="15622" width="7.15234375" customWidth="1"/>
    <col min="15623" max="15623" width="5" customWidth="1"/>
    <col min="15624" max="15626" width="7.15234375" customWidth="1"/>
    <col min="15627" max="15627" width="5" customWidth="1"/>
    <col min="15628" max="15630" width="7.15234375" customWidth="1"/>
    <col min="15875" max="15875" width="33.15234375" bestFit="1" customWidth="1"/>
    <col min="15876" max="15878" width="7.15234375" customWidth="1"/>
    <col min="15879" max="15879" width="5" customWidth="1"/>
    <col min="15880" max="15882" width="7.15234375" customWidth="1"/>
    <col min="15883" max="15883" width="5" customWidth="1"/>
    <col min="15884" max="15886" width="7.15234375" customWidth="1"/>
    <col min="16131" max="16131" width="33.15234375" bestFit="1" customWidth="1"/>
    <col min="16132" max="16134" width="7.15234375" customWidth="1"/>
    <col min="16135" max="16135" width="5" customWidth="1"/>
    <col min="16136" max="16138" width="7.15234375" customWidth="1"/>
    <col min="16139" max="16139" width="5" customWidth="1"/>
    <col min="16140" max="16142" width="7.15234375" customWidth="1"/>
  </cols>
  <sheetData>
    <row r="1" spans="1:23" ht="15.45" x14ac:dyDescent="0.4">
      <c r="A1" s="18" t="str">
        <f>CONCATENATE("Industry and Occupation Table 2  Occuptation composition (SOC2020) by employment status, ",B$6,"-",L$6,", ",Info!B5)</f>
        <v>Industry and Occupation Table 2  Occuptation composition (SOC2020) by employment status, 2015-2035, United Kingdom</v>
      </c>
    </row>
    <row r="2" spans="1:23" x14ac:dyDescent="0.3">
      <c r="A2" s="258" t="s">
        <v>533</v>
      </c>
    </row>
    <row r="4" spans="1:23" x14ac:dyDescent="0.3">
      <c r="O4" s="251" t="s">
        <v>35</v>
      </c>
    </row>
    <row r="5" spans="1:23" s="258" customFormat="1" x14ac:dyDescent="0.3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3">
      <c r="A6" s="241" t="s">
        <v>0</v>
      </c>
      <c r="B6" s="373">
        <v>2015</v>
      </c>
      <c r="C6" s="373"/>
      <c r="D6" s="373"/>
      <c r="E6" s="373"/>
      <c r="F6" s="246"/>
      <c r="G6" s="373">
        <v>2020</v>
      </c>
      <c r="H6" s="373"/>
      <c r="I6" s="373"/>
      <c r="J6" s="373"/>
      <c r="K6" s="278"/>
      <c r="L6" s="373">
        <v>2035</v>
      </c>
      <c r="M6" s="373"/>
      <c r="N6" s="373"/>
      <c r="O6" s="373"/>
      <c r="S6" s="279"/>
      <c r="T6" s="279"/>
      <c r="U6" s="279"/>
      <c r="V6" s="279"/>
      <c r="W6" s="279"/>
    </row>
    <row r="7" spans="1:23" s="258" customFormat="1" x14ac:dyDescent="0.3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32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32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32</v>
      </c>
      <c r="T7" s="281"/>
      <c r="V7" s="281"/>
    </row>
    <row r="8" spans="1:23" s="236" customFormat="1" x14ac:dyDescent="0.3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3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2304.3472835539233</v>
      </c>
      <c r="C9" s="249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321.55495875576997</v>
      </c>
      <c r="D9" s="249">
        <f t="shared" si="0"/>
        <v>579.52289602648443</v>
      </c>
      <c r="E9" s="249">
        <f>SUM(B9:D9)</f>
        <v>3205.4251383361775</v>
      </c>
      <c r="F9" s="238"/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2603.7136760678709</v>
      </c>
      <c r="H9" s="249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495.36996654949229</v>
      </c>
      <c r="I9" s="249">
        <f t="shared" si="1"/>
        <v>647.47555943737132</v>
      </c>
      <c r="J9" s="249">
        <f>SUM(G9:I9)</f>
        <v>3746.5592020547347</v>
      </c>
      <c r="K9" s="238"/>
      <c r="L9" s="249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2932.6542482712284</v>
      </c>
      <c r="M9" s="249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634.0235455256925</v>
      </c>
      <c r="N9" s="249">
        <f t="shared" si="2"/>
        <v>751.57107655686423</v>
      </c>
      <c r="O9" s="249">
        <f>SUM(L9:N9)</f>
        <v>4318.2488703537856</v>
      </c>
      <c r="T9" s="249"/>
      <c r="V9" s="249"/>
    </row>
    <row r="10" spans="1:23" s="236" customFormat="1" x14ac:dyDescent="0.3">
      <c r="A10" s="237" t="str">
        <f>name!E$5</f>
        <v>Professional occupations</v>
      </c>
      <c r="B10" s="249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4807.4923098009758</v>
      </c>
      <c r="C10" s="249">
        <f t="shared" si="3"/>
        <v>1274.6237243986982</v>
      </c>
      <c r="D10" s="249">
        <f t="shared" si="3"/>
        <v>803.36581133403445</v>
      </c>
      <c r="E10" s="249">
        <f t="shared" ref="E10:E17" si="4">SUM(B10:D10)</f>
        <v>6885.4818455337081</v>
      </c>
      <c r="F10" s="238"/>
      <c r="G10" s="249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5765.0959573610953</v>
      </c>
      <c r="H10" s="249">
        <f t="shared" si="5"/>
        <v>1578.0721178790195</v>
      </c>
      <c r="I10" s="249">
        <f t="shared" si="5"/>
        <v>856.41163496026809</v>
      </c>
      <c r="J10" s="249">
        <f t="shared" ref="J10:J17" si="6">SUM(G10:I10)</f>
        <v>8199.5797102003835</v>
      </c>
      <c r="K10" s="238"/>
      <c r="L10" s="249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7006.6374209516634</v>
      </c>
      <c r="M10" s="249">
        <f t="shared" si="7"/>
        <v>1975.5384709592756</v>
      </c>
      <c r="N10" s="249">
        <f t="shared" si="7"/>
        <v>859.64118854286642</v>
      </c>
      <c r="O10" s="249">
        <f t="shared" ref="O10:O17" si="8">SUM(L10:N10)</f>
        <v>9841.8170804538058</v>
      </c>
      <c r="T10" s="249"/>
      <c r="V10" s="249"/>
    </row>
    <row r="11" spans="1:23" s="236" customFormat="1" x14ac:dyDescent="0.3">
      <c r="A11" s="237" t="str">
        <f>name!E$6</f>
        <v>Associate professional occupations</v>
      </c>
      <c r="B11" s="249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2807.3289094850611</v>
      </c>
      <c r="C11" s="249">
        <f t="shared" si="9"/>
        <v>773.39955148243132</v>
      </c>
      <c r="D11" s="249">
        <f t="shared" si="9"/>
        <v>638.74198134499784</v>
      </c>
      <c r="E11" s="249">
        <f t="shared" si="4"/>
        <v>4219.4704423124904</v>
      </c>
      <c r="F11" s="238"/>
      <c r="G11" s="249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3219.9050238916939</v>
      </c>
      <c r="H11" s="249">
        <f t="shared" si="10"/>
        <v>915.4776098645201</v>
      </c>
      <c r="I11" s="249">
        <f t="shared" si="10"/>
        <v>646.54126278015019</v>
      </c>
      <c r="J11" s="249">
        <f t="shared" si="6"/>
        <v>4781.9238965363638</v>
      </c>
      <c r="K11" s="238"/>
      <c r="L11" s="249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3394.4567133818432</v>
      </c>
      <c r="M11" s="249">
        <f t="shared" si="11"/>
        <v>995.87609665664797</v>
      </c>
      <c r="N11" s="249">
        <f t="shared" si="11"/>
        <v>687.98413588405265</v>
      </c>
      <c r="O11" s="249">
        <f t="shared" si="8"/>
        <v>5078.3169459225446</v>
      </c>
      <c r="T11" s="249"/>
      <c r="V11" s="249"/>
    </row>
    <row r="12" spans="1:23" s="236" customFormat="1" x14ac:dyDescent="0.3">
      <c r="A12" s="237" t="str">
        <f>name!E$7</f>
        <v>Administrative and secretarial occupations</v>
      </c>
      <c r="B12" s="249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2133.3121485168062</v>
      </c>
      <c r="C12" s="249">
        <f t="shared" si="12"/>
        <v>1443.4307725821702</v>
      </c>
      <c r="D12" s="249">
        <f t="shared" si="12"/>
        <v>158.86965937438154</v>
      </c>
      <c r="E12" s="249">
        <f t="shared" si="4"/>
        <v>3735.6125804733583</v>
      </c>
      <c r="F12" s="238"/>
      <c r="G12" s="249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2139.1536481974426</v>
      </c>
      <c r="H12" s="249">
        <f t="shared" si="13"/>
        <v>1453.898021842361</v>
      </c>
      <c r="I12" s="249">
        <f t="shared" si="13"/>
        <v>148.69161741765845</v>
      </c>
      <c r="J12" s="249">
        <f t="shared" si="6"/>
        <v>3741.7432874574624</v>
      </c>
      <c r="K12" s="238"/>
      <c r="L12" s="249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1848.7631001582065</v>
      </c>
      <c r="M12" s="249">
        <f t="shared" si="14"/>
        <v>1255.226909803622</v>
      </c>
      <c r="N12" s="249">
        <f t="shared" si="14"/>
        <v>150.97280546037652</v>
      </c>
      <c r="O12" s="249">
        <f t="shared" si="8"/>
        <v>3254.962815422205</v>
      </c>
      <c r="T12" s="249"/>
      <c r="V12" s="249"/>
    </row>
    <row r="13" spans="1:23" s="236" customFormat="1" x14ac:dyDescent="0.3">
      <c r="A13" s="237" t="str">
        <f>name!E$8</f>
        <v>Skilled trades occupations</v>
      </c>
      <c r="B13" s="249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2050.242267239289</v>
      </c>
      <c r="C13" s="249">
        <f t="shared" si="15"/>
        <v>323.19108740410331</v>
      </c>
      <c r="D13" s="249">
        <f t="shared" si="15"/>
        <v>1115.6556145837058</v>
      </c>
      <c r="E13" s="249">
        <f t="shared" si="4"/>
        <v>3489.088969227098</v>
      </c>
      <c r="F13" s="238"/>
      <c r="G13" s="249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1737.4404849048469</v>
      </c>
      <c r="H13" s="249">
        <f t="shared" si="16"/>
        <v>287.08197203976965</v>
      </c>
      <c r="I13" s="249">
        <f t="shared" si="16"/>
        <v>1004.4058098938747</v>
      </c>
      <c r="J13" s="249">
        <f t="shared" si="6"/>
        <v>3028.9282668384913</v>
      </c>
      <c r="K13" s="238"/>
      <c r="L13" s="249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1543.5712499609115</v>
      </c>
      <c r="M13" s="249">
        <f t="shared" si="17"/>
        <v>336.13578061021605</v>
      </c>
      <c r="N13" s="249">
        <f t="shared" si="17"/>
        <v>1110.3458255075075</v>
      </c>
      <c r="O13" s="249">
        <f t="shared" si="8"/>
        <v>2990.0528560786352</v>
      </c>
      <c r="T13" s="249"/>
      <c r="V13" s="249"/>
    </row>
    <row r="14" spans="1:23" s="236" customFormat="1" x14ac:dyDescent="0.3">
      <c r="A14" s="237" t="str">
        <f>name!E$9</f>
        <v>Caring, leisure and other service occupations</v>
      </c>
      <c r="B14" s="249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1470.8391864753778</v>
      </c>
      <c r="C14" s="249">
        <f t="shared" si="18"/>
        <v>1364.1476529730053</v>
      </c>
      <c r="D14" s="249">
        <f t="shared" si="18"/>
        <v>313.61519030445015</v>
      </c>
      <c r="E14" s="249">
        <f t="shared" si="4"/>
        <v>3148.602029752833</v>
      </c>
      <c r="F14" s="238"/>
      <c r="G14" s="249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1440.147823947128</v>
      </c>
      <c r="H14" s="249">
        <f t="shared" si="19"/>
        <v>1339.9430340121703</v>
      </c>
      <c r="I14" s="249">
        <f t="shared" si="19"/>
        <v>353.44990207688738</v>
      </c>
      <c r="J14" s="249">
        <f t="shared" si="6"/>
        <v>3133.5407600361859</v>
      </c>
      <c r="K14" s="238"/>
      <c r="L14" s="249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1750.3678566720519</v>
      </c>
      <c r="M14" s="249">
        <f t="shared" si="20"/>
        <v>1462.2601881507578</v>
      </c>
      <c r="N14" s="249">
        <f t="shared" si="20"/>
        <v>422.67137061692665</v>
      </c>
      <c r="O14" s="249">
        <f t="shared" si="8"/>
        <v>3635.2994154397365</v>
      </c>
      <c r="T14" s="249"/>
      <c r="V14" s="249"/>
    </row>
    <row r="15" spans="1:23" s="236" customFormat="1" x14ac:dyDescent="0.3">
      <c r="A15" s="237" t="str">
        <f>name!E$10</f>
        <v>Sales and customer service occupations</v>
      </c>
      <c r="B15" s="249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1058.5513638245193</v>
      </c>
      <c r="C15" s="249">
        <f t="shared" si="21"/>
        <v>1635.8957569698741</v>
      </c>
      <c r="D15" s="249">
        <f t="shared" si="21"/>
        <v>192.8136084146492</v>
      </c>
      <c r="E15" s="249">
        <f t="shared" si="4"/>
        <v>2887.2607292090424</v>
      </c>
      <c r="F15" s="238"/>
      <c r="G15" s="249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1004.2907140887323</v>
      </c>
      <c r="H15" s="249">
        <f t="shared" si="22"/>
        <v>1643.2868755231775</v>
      </c>
      <c r="I15" s="249">
        <f t="shared" si="22"/>
        <v>139.5093256042482</v>
      </c>
      <c r="J15" s="249">
        <f t="shared" si="6"/>
        <v>2787.0869152161581</v>
      </c>
      <c r="K15" s="238"/>
      <c r="L15" s="249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1028.6319580325908</v>
      </c>
      <c r="M15" s="249">
        <f t="shared" si="23"/>
        <v>1666.9547994199984</v>
      </c>
      <c r="N15" s="249">
        <f t="shared" si="23"/>
        <v>120.83976376454461</v>
      </c>
      <c r="O15" s="249">
        <f t="shared" si="8"/>
        <v>2816.426521217134</v>
      </c>
      <c r="T15" s="249"/>
      <c r="V15" s="249"/>
    </row>
    <row r="16" spans="1:23" s="236" customFormat="1" x14ac:dyDescent="0.3">
      <c r="A16" s="237" t="str">
        <f>name!E$11</f>
        <v>Process, plant and machine operatives</v>
      </c>
      <c r="B16" s="249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1515.3350469413404</v>
      </c>
      <c r="C16" s="249">
        <f t="shared" si="24"/>
        <v>276.22396755128426</v>
      </c>
      <c r="D16" s="249">
        <f t="shared" si="24"/>
        <v>321.45860439755796</v>
      </c>
      <c r="E16" s="249">
        <f t="shared" si="4"/>
        <v>2113.0176188901823</v>
      </c>
      <c r="F16" s="238"/>
      <c r="G16" s="249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1301.4542561403462</v>
      </c>
      <c r="H16" s="249">
        <f t="shared" si="25"/>
        <v>321.14554500737813</v>
      </c>
      <c r="I16" s="249">
        <f t="shared" si="25"/>
        <v>334.67242701532467</v>
      </c>
      <c r="J16" s="249">
        <f t="shared" si="6"/>
        <v>1957.272228163049</v>
      </c>
      <c r="K16" s="238"/>
      <c r="L16" s="249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1330.8561161671601</v>
      </c>
      <c r="M16" s="249">
        <f t="shared" si="26"/>
        <v>431.96552680603821</v>
      </c>
      <c r="N16" s="249">
        <f t="shared" si="26"/>
        <v>416.08990731697867</v>
      </c>
      <c r="O16" s="249">
        <f t="shared" si="8"/>
        <v>2178.9115502901768</v>
      </c>
      <c r="T16" s="249"/>
      <c r="V16" s="249"/>
    </row>
    <row r="17" spans="1:15" s="236" customFormat="1" x14ac:dyDescent="0.3">
      <c r="A17" s="237" t="str">
        <f>name!E$12</f>
        <v>Elementary occupations</v>
      </c>
      <c r="B17" s="249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1662.1524841214964</v>
      </c>
      <c r="C17" s="249">
        <f t="shared" si="27"/>
        <v>2042.9305279253499</v>
      </c>
      <c r="D17" s="249">
        <f t="shared" si="27"/>
        <v>266.94263421833</v>
      </c>
      <c r="E17" s="249">
        <f t="shared" si="4"/>
        <v>3972.0256462651764</v>
      </c>
      <c r="F17" s="238"/>
      <c r="G17" s="249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1430.2354153916224</v>
      </c>
      <c r="H17" s="249">
        <f t="shared" si="28"/>
        <v>1935.2728572927986</v>
      </c>
      <c r="I17" s="249">
        <f t="shared" si="28"/>
        <v>232.82546081258673</v>
      </c>
      <c r="J17" s="249">
        <f t="shared" si="6"/>
        <v>3598.3337334970079</v>
      </c>
      <c r="K17" s="238"/>
      <c r="L17" s="249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1396.0563364131669</v>
      </c>
      <c r="M17" s="249">
        <f t="shared" si="29"/>
        <v>1749.5816820481973</v>
      </c>
      <c r="N17" s="249">
        <f t="shared" si="29"/>
        <v>308.19792636071435</v>
      </c>
      <c r="O17" s="249">
        <f t="shared" si="8"/>
        <v>3453.835944822079</v>
      </c>
    </row>
    <row r="18" spans="1:15" s="236" customFormat="1" x14ac:dyDescent="0.3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3">
      <c r="A19" s="244" t="s">
        <v>32</v>
      </c>
      <c r="B19" s="247">
        <f>SUM(B9:B17)</f>
        <v>19809.600999958791</v>
      </c>
      <c r="C19" s="247">
        <f t="shared" ref="C19:O19" si="30">SUM(C9:C17)</f>
        <v>9455.3980000426873</v>
      </c>
      <c r="D19" s="247">
        <f t="shared" si="30"/>
        <v>4390.9859999985911</v>
      </c>
      <c r="E19" s="247">
        <f t="shared" si="30"/>
        <v>33655.985000000066</v>
      </c>
      <c r="F19" s="247"/>
      <c r="G19" s="247">
        <f t="shared" si="30"/>
        <v>20641.436999990783</v>
      </c>
      <c r="H19" s="247">
        <f t="shared" si="30"/>
        <v>9969.5480000106872</v>
      </c>
      <c r="I19" s="247">
        <f t="shared" si="30"/>
        <v>4363.9829999983704</v>
      </c>
      <c r="J19" s="247">
        <f t="shared" si="30"/>
        <v>34974.967999999833</v>
      </c>
      <c r="K19" s="247"/>
      <c r="L19" s="247">
        <f t="shared" si="30"/>
        <v>22231.995000008825</v>
      </c>
      <c r="M19" s="247">
        <f t="shared" si="30"/>
        <v>10507.562999980446</v>
      </c>
      <c r="N19" s="247">
        <f t="shared" si="30"/>
        <v>4828.3140000108315</v>
      </c>
      <c r="O19" s="247">
        <f t="shared" si="30"/>
        <v>37567.872000000112</v>
      </c>
    </row>
    <row r="20" spans="1:15" s="236" customFormat="1" x14ac:dyDescent="0.3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3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35</v>
      </c>
    </row>
    <row r="22" spans="1:15" s="236" customFormat="1" x14ac:dyDescent="0.3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3">
      <c r="A23" s="241" t="str">
        <f>name!A4</f>
        <v>Agriculture, etc</v>
      </c>
      <c r="B23" s="375">
        <f>$B$6</f>
        <v>2015</v>
      </c>
      <c r="C23" s="375"/>
      <c r="D23" s="375"/>
      <c r="E23" s="375"/>
      <c r="F23" s="263"/>
      <c r="G23" s="375">
        <f>$G$6</f>
        <v>2020</v>
      </c>
      <c r="H23" s="375"/>
      <c r="I23" s="375"/>
      <c r="J23" s="375"/>
      <c r="K23" s="263"/>
      <c r="L23" s="375">
        <f>$L$6</f>
        <v>2035</v>
      </c>
      <c r="M23" s="375"/>
      <c r="N23" s="375"/>
      <c r="O23" s="375"/>
    </row>
    <row r="24" spans="1:15" s="236" customFormat="1" x14ac:dyDescent="0.3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3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3">
      <c r="A26" s="237" t="str">
        <f>name!E$4</f>
        <v>Managers, directors and senior officials</v>
      </c>
      <c r="B26" s="302">
        <v>14.322763943864954</v>
      </c>
      <c r="C26" s="302">
        <v>2.581245279338932</v>
      </c>
      <c r="D26" s="302">
        <v>4.4744248148962855</v>
      </c>
      <c r="E26" s="302">
        <f>SUM(B26:D26)</f>
        <v>21.378434038100171</v>
      </c>
      <c r="F26" s="303"/>
      <c r="G26" s="302">
        <v>16.833292369748644</v>
      </c>
      <c r="H26" s="302">
        <v>4.7244840073237926</v>
      </c>
      <c r="I26" s="302">
        <v>4.5890839590037329</v>
      </c>
      <c r="J26" s="302">
        <f>SUM(G26:I26)</f>
        <v>26.14686033607617</v>
      </c>
      <c r="K26" s="303"/>
      <c r="L26" s="302">
        <v>23.683399707481033</v>
      </c>
      <c r="M26" s="302">
        <v>4.6849954956882813</v>
      </c>
      <c r="N26" s="302">
        <v>5.2105159674300472</v>
      </c>
      <c r="O26" s="302">
        <f>SUM(L26:N26)</f>
        <v>33.578911170599362</v>
      </c>
    </row>
    <row r="27" spans="1:15" s="236" customFormat="1" x14ac:dyDescent="0.3">
      <c r="A27" s="237" t="str">
        <f>name!E$5</f>
        <v>Professional occupations</v>
      </c>
      <c r="B27" s="302">
        <v>12.211692116517231</v>
      </c>
      <c r="C27" s="302">
        <v>2.0309574780031325</v>
      </c>
      <c r="D27" s="302">
        <v>1.6512955736663206</v>
      </c>
      <c r="E27" s="302">
        <f t="shared" ref="E27:E34" si="31">SUM(B27:D27)</f>
        <v>15.893945168186685</v>
      </c>
      <c r="F27" s="303"/>
      <c r="G27" s="302">
        <v>19.616517148243407</v>
      </c>
      <c r="H27" s="302">
        <v>3.8388986458732344</v>
      </c>
      <c r="I27" s="302">
        <v>2.1479354293440065</v>
      </c>
      <c r="J27" s="302">
        <f t="shared" ref="J27:J34" si="32">SUM(G27:I27)</f>
        <v>25.603351223460646</v>
      </c>
      <c r="K27" s="303"/>
      <c r="L27" s="302">
        <v>28.265614014613451</v>
      </c>
      <c r="M27" s="302">
        <v>4.8139915292100737</v>
      </c>
      <c r="N27" s="302">
        <v>2.1142256830770529</v>
      </c>
      <c r="O27" s="302">
        <f t="shared" ref="O27:O34" si="33">SUM(L27:N27)</f>
        <v>35.193831226900578</v>
      </c>
    </row>
    <row r="28" spans="1:15" s="236" customFormat="1" x14ac:dyDescent="0.3">
      <c r="A28" s="237" t="str">
        <f>name!E$6</f>
        <v>Associate professional occupations</v>
      </c>
      <c r="B28" s="302">
        <v>8.8281648103629387</v>
      </c>
      <c r="C28" s="302">
        <v>1.8782310163733191</v>
      </c>
      <c r="D28" s="302">
        <v>0.94108772770754623</v>
      </c>
      <c r="E28" s="302">
        <f t="shared" si="31"/>
        <v>11.647483554443806</v>
      </c>
      <c r="F28" s="303"/>
      <c r="G28" s="302">
        <v>12.053471088478956</v>
      </c>
      <c r="H28" s="302">
        <v>3.1282520452126819</v>
      </c>
      <c r="I28" s="302">
        <v>1.2355656878519297</v>
      </c>
      <c r="J28" s="302">
        <f t="shared" si="32"/>
        <v>16.417288821543568</v>
      </c>
      <c r="K28" s="303"/>
      <c r="L28" s="302">
        <v>13.725587115950461</v>
      </c>
      <c r="M28" s="302">
        <v>2.9696887403839147</v>
      </c>
      <c r="N28" s="302">
        <v>1.4579141548093912</v>
      </c>
      <c r="O28" s="302">
        <f t="shared" si="33"/>
        <v>18.153190011143767</v>
      </c>
    </row>
    <row r="29" spans="1:15" s="236" customFormat="1" x14ac:dyDescent="0.3">
      <c r="A29" s="237" t="str">
        <f>name!E$7</f>
        <v>Administrative and secretarial occupations</v>
      </c>
      <c r="B29" s="302">
        <v>8.3824617740937075</v>
      </c>
      <c r="C29" s="302">
        <v>7.5078121869289598</v>
      </c>
      <c r="D29" s="302">
        <v>1.0302911204376972</v>
      </c>
      <c r="E29" s="302">
        <f t="shared" si="31"/>
        <v>16.920565081460367</v>
      </c>
      <c r="F29" s="303"/>
      <c r="G29" s="302">
        <v>12.681757945849208</v>
      </c>
      <c r="H29" s="302">
        <v>8.4136457746883995</v>
      </c>
      <c r="I29" s="302">
        <v>1.2510109306517982</v>
      </c>
      <c r="J29" s="302">
        <f t="shared" si="32"/>
        <v>22.346414651189406</v>
      </c>
      <c r="K29" s="303"/>
      <c r="L29" s="302">
        <v>9.8804725756000007</v>
      </c>
      <c r="M29" s="302">
        <v>6.9694748189016256</v>
      </c>
      <c r="N29" s="302">
        <v>0.76420117287548395</v>
      </c>
      <c r="O29" s="302">
        <f t="shared" si="33"/>
        <v>17.614148567377111</v>
      </c>
    </row>
    <row r="30" spans="1:15" s="236" customFormat="1" x14ac:dyDescent="0.3">
      <c r="A30" s="237" t="str">
        <f>name!E$8</f>
        <v>Skilled trades occupations</v>
      </c>
      <c r="B30" s="302">
        <v>64.739658263019294</v>
      </c>
      <c r="C30" s="302">
        <v>15.190516945225882</v>
      </c>
      <c r="D30" s="302">
        <v>135.55236984662469</v>
      </c>
      <c r="E30" s="302">
        <f t="shared" si="31"/>
        <v>215.48254505486986</v>
      </c>
      <c r="F30" s="303"/>
      <c r="G30" s="302">
        <v>56.447974579242896</v>
      </c>
      <c r="H30" s="302">
        <v>13.294620712110122</v>
      </c>
      <c r="I30" s="302">
        <v>123.56068035426065</v>
      </c>
      <c r="J30" s="302">
        <f>SUM(G30:I30)</f>
        <v>193.30327564561367</v>
      </c>
      <c r="K30" s="303"/>
      <c r="L30" s="302">
        <v>61.844478369467652</v>
      </c>
      <c r="M30" s="302">
        <v>17.04803354894548</v>
      </c>
      <c r="N30" s="302">
        <v>112.72895428550152</v>
      </c>
      <c r="O30" s="302">
        <f t="shared" si="33"/>
        <v>191.62146620391465</v>
      </c>
    </row>
    <row r="31" spans="1:15" s="236" customFormat="1" x14ac:dyDescent="0.3">
      <c r="A31" s="237" t="str">
        <f>name!E$9</f>
        <v>Caring, leisure and other service occupations</v>
      </c>
      <c r="B31" s="302">
        <v>9.8298249469899339</v>
      </c>
      <c r="C31" s="302">
        <v>3.5956149812504457</v>
      </c>
      <c r="D31" s="302">
        <v>2.3297689103511607</v>
      </c>
      <c r="E31" s="302">
        <f t="shared" si="31"/>
        <v>15.755208838591541</v>
      </c>
      <c r="F31" s="303"/>
      <c r="G31" s="302">
        <v>9.9979214786551971</v>
      </c>
      <c r="H31" s="302">
        <v>4.3691142740349589</v>
      </c>
      <c r="I31" s="302">
        <v>3.4566497035362405</v>
      </c>
      <c r="J31" s="302">
        <f t="shared" si="32"/>
        <v>17.823685456226396</v>
      </c>
      <c r="K31" s="303"/>
      <c r="L31" s="302">
        <v>11.353753316234064</v>
      </c>
      <c r="M31" s="302">
        <v>2.8102634894389498</v>
      </c>
      <c r="N31" s="302">
        <v>3.9741460213556916</v>
      </c>
      <c r="O31" s="302">
        <f t="shared" si="33"/>
        <v>18.138162827028708</v>
      </c>
    </row>
    <row r="32" spans="1:15" s="236" customFormat="1" x14ac:dyDescent="0.3">
      <c r="A32" s="237" t="str">
        <f>name!E$10</f>
        <v>Sales and customer service occupations</v>
      </c>
      <c r="B32" s="302">
        <v>3.7350781198201748</v>
      </c>
      <c r="C32" s="302">
        <v>2.2673444255452986</v>
      </c>
      <c r="D32" s="302">
        <v>1.4367129658303683</v>
      </c>
      <c r="E32" s="302">
        <f t="shared" si="31"/>
        <v>7.4391355111958415</v>
      </c>
      <c r="F32" s="303"/>
      <c r="G32" s="302">
        <v>4.2863118041932831</v>
      </c>
      <c r="H32" s="302">
        <v>2.522407080371432</v>
      </c>
      <c r="I32" s="302">
        <v>1.2078299034826638</v>
      </c>
      <c r="J32" s="302">
        <f t="shared" si="32"/>
        <v>8.0165487880473787</v>
      </c>
      <c r="K32" s="303"/>
      <c r="L32" s="302">
        <v>4.6730510890057779</v>
      </c>
      <c r="M32" s="302">
        <v>2.4036249946053068</v>
      </c>
      <c r="N32" s="302">
        <v>0.95837732327615699</v>
      </c>
      <c r="O32" s="302">
        <f t="shared" si="33"/>
        <v>8.0350534068872417</v>
      </c>
    </row>
    <row r="33" spans="1:15" s="236" customFormat="1" x14ac:dyDescent="0.3">
      <c r="A33" s="237" t="str">
        <f>name!E$11</f>
        <v>Process, plant and machine operatives</v>
      </c>
      <c r="B33" s="302">
        <v>15.037487957010045</v>
      </c>
      <c r="C33" s="302">
        <v>3.317932947237201</v>
      </c>
      <c r="D33" s="302">
        <v>1.4348318845698367</v>
      </c>
      <c r="E33" s="302">
        <f t="shared" si="31"/>
        <v>19.790252788817082</v>
      </c>
      <c r="F33" s="303"/>
      <c r="G33" s="302">
        <v>9.8298700775215835</v>
      </c>
      <c r="H33" s="302">
        <v>2.4433792388592557</v>
      </c>
      <c r="I33" s="302">
        <v>2.0455828362282045</v>
      </c>
      <c r="J33" s="302">
        <f t="shared" si="32"/>
        <v>14.318832152609044</v>
      </c>
      <c r="K33" s="303"/>
      <c r="L33" s="302">
        <v>10.986702077735918</v>
      </c>
      <c r="M33" s="302">
        <v>4.0627919174203813</v>
      </c>
      <c r="N33" s="302">
        <v>3.7431808502578452</v>
      </c>
      <c r="O33" s="302">
        <f t="shared" si="33"/>
        <v>18.792674845414147</v>
      </c>
    </row>
    <row r="34" spans="1:15" s="236" customFormat="1" x14ac:dyDescent="0.3">
      <c r="A34" s="237" t="str">
        <f>name!E$12</f>
        <v>Elementary occupations</v>
      </c>
      <c r="B34" s="302">
        <v>37.747868068400045</v>
      </c>
      <c r="C34" s="302">
        <v>10.7823447404018</v>
      </c>
      <c r="D34" s="302">
        <v>14.149217157043628</v>
      </c>
      <c r="E34" s="302">
        <f t="shared" si="31"/>
        <v>62.679429965845479</v>
      </c>
      <c r="F34" s="303"/>
      <c r="G34" s="302">
        <v>24.861883508233607</v>
      </c>
      <c r="H34" s="302">
        <v>9.6571982215482723</v>
      </c>
      <c r="I34" s="302">
        <v>13.506661192446407</v>
      </c>
      <c r="J34" s="302">
        <f t="shared" si="32"/>
        <v>48.025742922228289</v>
      </c>
      <c r="K34" s="303"/>
      <c r="L34" s="302">
        <v>20.177941735058234</v>
      </c>
      <c r="M34" s="302">
        <v>5.6871354654091082</v>
      </c>
      <c r="N34" s="302">
        <v>18.18548453736771</v>
      </c>
      <c r="O34" s="302">
        <f t="shared" si="33"/>
        <v>44.050561737835054</v>
      </c>
    </row>
    <row r="35" spans="1:15" s="236" customFormat="1" x14ac:dyDescent="0.3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3">
      <c r="A36" s="244" t="s">
        <v>32</v>
      </c>
      <c r="B36" s="311">
        <f>SUM(B26:B34)</f>
        <v>174.83500000007831</v>
      </c>
      <c r="C36" s="311">
        <f t="shared" ref="C36:O36" si="34">SUM(C26:C34)</f>
        <v>49.152000000304966</v>
      </c>
      <c r="D36" s="311">
        <f t="shared" si="34"/>
        <v>163.00000000112755</v>
      </c>
      <c r="E36" s="311">
        <f t="shared" si="34"/>
        <v>386.98700000151086</v>
      </c>
      <c r="F36" s="311"/>
      <c r="G36" s="311">
        <f t="shared" si="34"/>
        <v>166.60900000016676</v>
      </c>
      <c r="H36" s="311">
        <f t="shared" si="34"/>
        <v>52.392000000022144</v>
      </c>
      <c r="I36" s="311">
        <f t="shared" si="34"/>
        <v>153.00099999680563</v>
      </c>
      <c r="J36" s="311">
        <f t="shared" si="34"/>
        <v>372.00199999699453</v>
      </c>
      <c r="K36" s="311"/>
      <c r="L36" s="311">
        <f t="shared" si="34"/>
        <v>184.5910000011466</v>
      </c>
      <c r="M36" s="311">
        <f t="shared" si="34"/>
        <v>51.450000000003122</v>
      </c>
      <c r="N36" s="311">
        <f t="shared" si="34"/>
        <v>149.1369999959509</v>
      </c>
      <c r="O36" s="311">
        <f t="shared" si="34"/>
        <v>385.17799999710064</v>
      </c>
    </row>
    <row r="37" spans="1:15" s="236" customFormat="1" x14ac:dyDescent="0.3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3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35</v>
      </c>
    </row>
    <row r="39" spans="1:15" s="236" customFormat="1" x14ac:dyDescent="0.3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3">
      <c r="A40" s="241" t="str">
        <f>name!A5</f>
        <v>Coal, oil &amp; gas; Mining &amp; related</v>
      </c>
      <c r="B40" s="375">
        <f>$B$6</f>
        <v>2015</v>
      </c>
      <c r="C40" s="375"/>
      <c r="D40" s="375"/>
      <c r="E40" s="375"/>
      <c r="F40" s="263"/>
      <c r="G40" s="375">
        <f>$G$6</f>
        <v>2020</v>
      </c>
      <c r="H40" s="375"/>
      <c r="I40" s="375"/>
      <c r="J40" s="375"/>
      <c r="K40" s="263"/>
      <c r="L40" s="375">
        <f>$L$6</f>
        <v>2035</v>
      </c>
      <c r="M40" s="375"/>
      <c r="N40" s="375"/>
      <c r="O40" s="375"/>
    </row>
    <row r="41" spans="1:15" s="236" customFormat="1" x14ac:dyDescent="0.3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3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3">
      <c r="A43" s="237" t="str">
        <f>name!E$4</f>
        <v>Managers, directors and senior officials</v>
      </c>
      <c r="B43" s="302">
        <v>6.6959564240447813</v>
      </c>
      <c r="C43" s="302">
        <v>0.11121721217361955</v>
      </c>
      <c r="D43" s="302">
        <v>1.3497447395955662</v>
      </c>
      <c r="E43" s="302">
        <f>SUM(B43:D43)</f>
        <v>8.1569183758139676</v>
      </c>
      <c r="F43" s="303"/>
      <c r="G43" s="302">
        <v>6.5797898782581692</v>
      </c>
      <c r="H43" s="302">
        <v>0.24246078507264882</v>
      </c>
      <c r="I43" s="302">
        <v>1.269591200054941</v>
      </c>
      <c r="J43" s="302">
        <f>SUM(G43:I43)</f>
        <v>8.0918418633857598</v>
      </c>
      <c r="K43" s="303"/>
      <c r="L43" s="302">
        <v>5.2812166646174914</v>
      </c>
      <c r="M43" s="302">
        <v>0.2153644267223942</v>
      </c>
      <c r="N43" s="302">
        <v>1.0785635272516114</v>
      </c>
      <c r="O43" s="302">
        <f>SUM(L43:N43)</f>
        <v>6.575144618591497</v>
      </c>
    </row>
    <row r="44" spans="1:15" s="236" customFormat="1" x14ac:dyDescent="0.3">
      <c r="A44" s="237" t="str">
        <f>name!E$5</f>
        <v>Professional occupations</v>
      </c>
      <c r="B44" s="302">
        <v>14.212619598706819</v>
      </c>
      <c r="C44" s="302">
        <v>0.31021604544946579</v>
      </c>
      <c r="D44" s="302">
        <v>1.2369883206599905</v>
      </c>
      <c r="E44" s="302">
        <f t="shared" ref="E44:E51" si="35">SUM(B44:D44)</f>
        <v>15.759823964816276</v>
      </c>
      <c r="F44" s="303"/>
      <c r="G44" s="302">
        <v>14.36459781625295</v>
      </c>
      <c r="H44" s="302">
        <v>0.41493082396221725</v>
      </c>
      <c r="I44" s="302">
        <v>0.93411592891110717</v>
      </c>
      <c r="J44" s="302">
        <f t="shared" ref="J44:J46" si="36">SUM(G44:I44)</f>
        <v>15.713644569126274</v>
      </c>
      <c r="K44" s="303"/>
      <c r="L44" s="302">
        <v>13.633668334541223</v>
      </c>
      <c r="M44" s="302">
        <v>0.34983252821609029</v>
      </c>
      <c r="N44" s="302">
        <v>0.46169265373276319</v>
      </c>
      <c r="O44" s="302">
        <f t="shared" ref="O44:O51" si="37">SUM(L44:N44)</f>
        <v>14.445193516490077</v>
      </c>
    </row>
    <row r="45" spans="1:15" s="236" customFormat="1" x14ac:dyDescent="0.3">
      <c r="A45" s="237" t="str">
        <f>name!E$6</f>
        <v>Associate professional occupations</v>
      </c>
      <c r="B45" s="302">
        <v>7.6068370931541871</v>
      </c>
      <c r="C45" s="302">
        <v>0.20137534003071852</v>
      </c>
      <c r="D45" s="302">
        <v>0.81793328299811263</v>
      </c>
      <c r="E45" s="302">
        <f t="shared" si="35"/>
        <v>8.626145716183018</v>
      </c>
      <c r="F45" s="303"/>
      <c r="G45" s="302">
        <v>7.5837534079257205</v>
      </c>
      <c r="H45" s="302">
        <v>0.25614664184862551</v>
      </c>
      <c r="I45" s="302">
        <v>0.58588825726715144</v>
      </c>
      <c r="J45" s="302">
        <f t="shared" si="36"/>
        <v>8.4257883070414969</v>
      </c>
      <c r="K45" s="303"/>
      <c r="L45" s="302">
        <v>5.3716640524077066</v>
      </c>
      <c r="M45" s="302">
        <v>0.20402684029904333</v>
      </c>
      <c r="N45" s="302">
        <v>0.36259068174353593</v>
      </c>
      <c r="O45" s="302">
        <f t="shared" si="37"/>
        <v>5.9382815744502864</v>
      </c>
    </row>
    <row r="46" spans="1:15" s="236" customFormat="1" x14ac:dyDescent="0.3">
      <c r="A46" s="237" t="str">
        <f>name!E$7</f>
        <v>Administrative and secretarial occupations</v>
      </c>
      <c r="B46" s="302">
        <v>4.8231568590518439</v>
      </c>
      <c r="C46" s="302">
        <v>0.55418906746356933</v>
      </c>
      <c r="D46" s="302">
        <v>1.0233841173866871</v>
      </c>
      <c r="E46" s="302">
        <f t="shared" si="35"/>
        <v>6.4007300439021</v>
      </c>
      <c r="F46" s="303"/>
      <c r="G46" s="302">
        <v>3.9146451884351889</v>
      </c>
      <c r="H46" s="302">
        <v>0.6803344233174432</v>
      </c>
      <c r="I46" s="302">
        <v>0.98320147039874517</v>
      </c>
      <c r="J46" s="302">
        <f t="shared" si="36"/>
        <v>5.5781810821513771</v>
      </c>
      <c r="K46" s="303"/>
      <c r="L46" s="302">
        <v>2.3773677786163732</v>
      </c>
      <c r="M46" s="302">
        <v>0.50493661104501764</v>
      </c>
      <c r="N46" s="302">
        <v>0.51594820162862332</v>
      </c>
      <c r="O46" s="302">
        <f t="shared" si="37"/>
        <v>3.3982525912900141</v>
      </c>
    </row>
    <row r="47" spans="1:15" s="236" customFormat="1" x14ac:dyDescent="0.3">
      <c r="A47" s="237" t="str">
        <f>name!E$8</f>
        <v>Skilled trades occupations</v>
      </c>
      <c r="B47" s="302">
        <v>10.644051191739216</v>
      </c>
      <c r="C47" s="302">
        <v>0.22645451569749989</v>
      </c>
      <c r="D47" s="302">
        <v>2.2717334059595902</v>
      </c>
      <c r="E47" s="302">
        <f t="shared" si="35"/>
        <v>13.142239113396306</v>
      </c>
      <c r="F47" s="303"/>
      <c r="G47" s="302">
        <v>7.6293169630523447</v>
      </c>
      <c r="H47" s="302">
        <v>0.14002865820150676</v>
      </c>
      <c r="I47" s="302">
        <v>1.151581109026959</v>
      </c>
      <c r="J47" s="302">
        <f>SUM(G47:I47)</f>
        <v>8.9209267302808097</v>
      </c>
      <c r="K47" s="303"/>
      <c r="L47" s="302">
        <v>4.126576964731024</v>
      </c>
      <c r="M47" s="302">
        <v>0.15058807852740769</v>
      </c>
      <c r="N47" s="302">
        <v>0.88866175053434537</v>
      </c>
      <c r="O47" s="302">
        <f t="shared" si="37"/>
        <v>5.1658267937927773</v>
      </c>
    </row>
    <row r="48" spans="1:15" s="236" customFormat="1" x14ac:dyDescent="0.3">
      <c r="A48" s="237" t="str">
        <f>name!E$9</f>
        <v>Caring, leisure and other service occupations</v>
      </c>
      <c r="B48" s="302">
        <v>0.71642656564831408</v>
      </c>
      <c r="C48" s="302">
        <v>0.43549639523814815</v>
      </c>
      <c r="D48" s="302">
        <v>0.16712684926131197</v>
      </c>
      <c r="E48" s="302">
        <f t="shared" si="35"/>
        <v>1.3190498101477743</v>
      </c>
      <c r="F48" s="303"/>
      <c r="G48" s="302">
        <v>0.68503606995417521</v>
      </c>
      <c r="H48" s="302">
        <v>0.39333944103209117</v>
      </c>
      <c r="I48" s="302">
        <v>0.18129223288792418</v>
      </c>
      <c r="J48" s="302">
        <f t="shared" ref="J48:J51" si="38">SUM(G48:I48)</f>
        <v>1.2596677438741906</v>
      </c>
      <c r="K48" s="303"/>
      <c r="L48" s="302">
        <v>0.48944520573554212</v>
      </c>
      <c r="M48" s="302">
        <v>0.36744171400337017</v>
      </c>
      <c r="N48" s="302">
        <v>0.26948428104558758</v>
      </c>
      <c r="O48" s="302">
        <f t="shared" si="37"/>
        <v>1.1263712007844999</v>
      </c>
    </row>
    <row r="49" spans="1:15" s="236" customFormat="1" x14ac:dyDescent="0.3">
      <c r="A49" s="237" t="str">
        <f>name!E$10</f>
        <v>Sales and customer service occupations</v>
      </c>
      <c r="B49" s="302">
        <v>1.0879286483613142</v>
      </c>
      <c r="C49" s="302">
        <v>0.36795917522701993</v>
      </c>
      <c r="D49" s="302">
        <v>0.30862678402385696</v>
      </c>
      <c r="E49" s="302">
        <f t="shared" si="35"/>
        <v>1.7645146076121911</v>
      </c>
      <c r="F49" s="303"/>
      <c r="G49" s="302">
        <v>0.9235998628264217</v>
      </c>
      <c r="H49" s="302">
        <v>0.33362696909398493</v>
      </c>
      <c r="I49" s="302">
        <v>0.1975571101099638</v>
      </c>
      <c r="J49" s="302">
        <f t="shared" si="38"/>
        <v>1.4547839420303703</v>
      </c>
      <c r="K49" s="303"/>
      <c r="L49" s="302">
        <v>0.71961015466739786</v>
      </c>
      <c r="M49" s="302">
        <v>0.24594297410881844</v>
      </c>
      <c r="N49" s="302">
        <v>0.16644071361386095</v>
      </c>
      <c r="O49" s="302">
        <f t="shared" si="37"/>
        <v>1.1319938423900773</v>
      </c>
    </row>
    <row r="50" spans="1:15" s="236" customFormat="1" x14ac:dyDescent="0.3">
      <c r="A50" s="237" t="str">
        <f>name!E$11</f>
        <v>Process, plant and machine operatives</v>
      </c>
      <c r="B50" s="302">
        <v>13.069777076377479</v>
      </c>
      <c r="C50" s="302">
        <v>0.35609800507795536</v>
      </c>
      <c r="D50" s="302">
        <v>1.3695138054698726</v>
      </c>
      <c r="E50" s="302">
        <f t="shared" si="35"/>
        <v>14.795388886925306</v>
      </c>
      <c r="F50" s="303"/>
      <c r="G50" s="302">
        <v>9.5195916809081069</v>
      </c>
      <c r="H50" s="302">
        <v>0.28023056160947274</v>
      </c>
      <c r="I50" s="302">
        <v>0.94261240523517498</v>
      </c>
      <c r="J50" s="302">
        <f t="shared" si="38"/>
        <v>10.742434647752756</v>
      </c>
      <c r="K50" s="303"/>
      <c r="L50" s="302">
        <v>6.7786269655721094</v>
      </c>
      <c r="M50" s="302">
        <v>0.24827519114404378</v>
      </c>
      <c r="N50" s="302">
        <v>0.93900449792012541</v>
      </c>
      <c r="O50" s="302">
        <f t="shared" si="37"/>
        <v>7.9659066546362789</v>
      </c>
    </row>
    <row r="51" spans="1:15" s="236" customFormat="1" x14ac:dyDescent="0.3">
      <c r="A51" s="237" t="str">
        <f>name!E$12</f>
        <v>Elementary occupations</v>
      </c>
      <c r="B51" s="302">
        <v>1.2062465425409237</v>
      </c>
      <c r="C51" s="302">
        <v>0.37299424364104949</v>
      </c>
      <c r="D51" s="302">
        <v>2.4569486946394918</v>
      </c>
      <c r="E51" s="302">
        <f t="shared" si="35"/>
        <v>4.0361894808214647</v>
      </c>
      <c r="F51" s="303"/>
      <c r="G51" s="302">
        <v>0.7966691323073527</v>
      </c>
      <c r="H51" s="302">
        <v>0.25990169587951584</v>
      </c>
      <c r="I51" s="302">
        <v>0.74616028607792928</v>
      </c>
      <c r="J51" s="302">
        <f t="shared" si="38"/>
        <v>1.8027311142647979</v>
      </c>
      <c r="K51" s="303"/>
      <c r="L51" s="302">
        <v>0.38382387920592614</v>
      </c>
      <c r="M51" s="302">
        <v>0.13459163596524057</v>
      </c>
      <c r="N51" s="302">
        <v>0.63261369257452682</v>
      </c>
      <c r="O51" s="302">
        <f t="shared" si="37"/>
        <v>1.1510292077456934</v>
      </c>
    </row>
    <row r="52" spans="1:15" s="236" customFormat="1" x14ac:dyDescent="0.3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3">
      <c r="A53" s="244" t="s">
        <v>32</v>
      </c>
      <c r="B53" s="311">
        <f>SUM(B43:B51)</f>
        <v>60.062999999624871</v>
      </c>
      <c r="C53" s="311">
        <f t="shared" ref="C53:E53" si="39">SUM(C43:C51)</f>
        <v>2.9359999999990456</v>
      </c>
      <c r="D53" s="311">
        <f t="shared" si="39"/>
        <v>11.00199999999448</v>
      </c>
      <c r="E53" s="311">
        <f t="shared" si="39"/>
        <v>74.000999999618401</v>
      </c>
      <c r="F53" s="311"/>
      <c r="G53" s="311">
        <f t="shared" ref="G53:J53" si="40">SUM(G43:G51)</f>
        <v>51.996999999920426</v>
      </c>
      <c r="H53" s="311">
        <f t="shared" si="40"/>
        <v>3.0010000000175063</v>
      </c>
      <c r="I53" s="311">
        <f t="shared" si="40"/>
        <v>6.9919999999698952</v>
      </c>
      <c r="J53" s="311">
        <f t="shared" si="40"/>
        <v>61.989999999907816</v>
      </c>
      <c r="K53" s="311"/>
      <c r="L53" s="311">
        <f t="shared" ref="L53:O53" si="41">SUM(L43:L51)</f>
        <v>39.1620000000948</v>
      </c>
      <c r="M53" s="311">
        <f t="shared" si="41"/>
        <v>2.4210000000314258</v>
      </c>
      <c r="N53" s="311">
        <f t="shared" si="41"/>
        <v>5.3150000000449804</v>
      </c>
      <c r="O53" s="311">
        <f t="shared" si="41"/>
        <v>46.898000000171201</v>
      </c>
    </row>
    <row r="54" spans="1:15" s="236" customFormat="1" x14ac:dyDescent="0.3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3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35</v>
      </c>
    </row>
    <row r="56" spans="1:15" s="236" customFormat="1" x14ac:dyDescent="0.3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3">
      <c r="A57" s="241" t="str">
        <f>name!A6</f>
        <v>Food products</v>
      </c>
      <c r="B57" s="375">
        <f>$B$6</f>
        <v>2015</v>
      </c>
      <c r="C57" s="375"/>
      <c r="D57" s="375"/>
      <c r="E57" s="375"/>
      <c r="F57" s="263"/>
      <c r="G57" s="375">
        <f>$G$6</f>
        <v>2020</v>
      </c>
      <c r="H57" s="375"/>
      <c r="I57" s="375"/>
      <c r="J57" s="375"/>
      <c r="K57" s="263"/>
      <c r="L57" s="375">
        <f>$L$6</f>
        <v>2035</v>
      </c>
      <c r="M57" s="375"/>
      <c r="N57" s="375"/>
      <c r="O57" s="375"/>
    </row>
    <row r="58" spans="1:15" s="236" customFormat="1" x14ac:dyDescent="0.3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3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3">
      <c r="A60" s="237" t="str">
        <f>name!E$4</f>
        <v>Managers, directors and senior officials</v>
      </c>
      <c r="B60" s="302">
        <v>24.623988094959859</v>
      </c>
      <c r="C60" s="302">
        <v>1.9423256885139448</v>
      </c>
      <c r="D60" s="302">
        <v>2.6612186448007269</v>
      </c>
      <c r="E60" s="302">
        <f>SUM(B60:D60)</f>
        <v>29.227532428274529</v>
      </c>
      <c r="F60" s="303"/>
      <c r="G60" s="302">
        <v>33.684532354751688</v>
      </c>
      <c r="H60" s="302">
        <v>3.1159308902113736</v>
      </c>
      <c r="I60" s="302">
        <v>2.2987035151223791</v>
      </c>
      <c r="J60" s="302">
        <f>SUM(G60:I60)</f>
        <v>39.099166760085438</v>
      </c>
      <c r="K60" s="303"/>
      <c r="L60" s="302">
        <v>35.238446334430719</v>
      </c>
      <c r="M60" s="302">
        <v>3.4673853965012151</v>
      </c>
      <c r="N60" s="302">
        <v>2.5164371435833757</v>
      </c>
      <c r="O60" s="302">
        <f>SUM(L60:N60)</f>
        <v>41.222268874515308</v>
      </c>
    </row>
    <row r="61" spans="1:15" s="236" customFormat="1" x14ac:dyDescent="0.3">
      <c r="A61" s="237" t="str">
        <f>name!E$5</f>
        <v>Professional occupations</v>
      </c>
      <c r="B61" s="302">
        <v>20.905958834254317</v>
      </c>
      <c r="C61" s="302">
        <v>1.0750767562501482</v>
      </c>
      <c r="D61" s="302">
        <v>1.0908679990076129</v>
      </c>
      <c r="E61" s="302">
        <f t="shared" ref="E61:E68" si="42">SUM(B61:D61)</f>
        <v>23.071903589512079</v>
      </c>
      <c r="F61" s="303"/>
      <c r="G61" s="302">
        <v>31.597767465105818</v>
      </c>
      <c r="H61" s="302">
        <v>1.6518741600937947</v>
      </c>
      <c r="I61" s="302">
        <v>0.98074599961026232</v>
      </c>
      <c r="J61" s="302">
        <f t="shared" ref="J61:J63" si="43">SUM(G61:I61)</f>
        <v>34.230387624809879</v>
      </c>
      <c r="K61" s="303"/>
      <c r="L61" s="302">
        <v>42.163150427159025</v>
      </c>
      <c r="M61" s="302">
        <v>1.7626985625762632</v>
      </c>
      <c r="N61" s="302">
        <v>0.73412394655484925</v>
      </c>
      <c r="O61" s="302">
        <f t="shared" ref="O61:O68" si="44">SUM(L61:N61)</f>
        <v>44.659972936290139</v>
      </c>
    </row>
    <row r="62" spans="1:15" s="236" customFormat="1" x14ac:dyDescent="0.3">
      <c r="A62" s="237" t="str">
        <f>name!E$6</f>
        <v>Associate professional occupations</v>
      </c>
      <c r="B62" s="302">
        <v>29.720768574884218</v>
      </c>
      <c r="C62" s="302">
        <v>2.2970281368014693</v>
      </c>
      <c r="D62" s="302">
        <v>0.82247471229695879</v>
      </c>
      <c r="E62" s="302">
        <f t="shared" si="42"/>
        <v>32.840271423982649</v>
      </c>
      <c r="F62" s="303"/>
      <c r="G62" s="302">
        <v>41.864440633752501</v>
      </c>
      <c r="H62" s="302">
        <v>2.8248501357263187</v>
      </c>
      <c r="I62" s="302">
        <v>0.60054379162128746</v>
      </c>
      <c r="J62" s="302">
        <f t="shared" si="43"/>
        <v>45.289834561100101</v>
      </c>
      <c r="K62" s="303"/>
      <c r="L62" s="302">
        <v>43.570356012279433</v>
      </c>
      <c r="M62" s="302">
        <v>2.2635318592117355</v>
      </c>
      <c r="N62" s="302">
        <v>0.38018992457093065</v>
      </c>
      <c r="O62" s="302">
        <f t="shared" si="44"/>
        <v>46.214077796062099</v>
      </c>
    </row>
    <row r="63" spans="1:15" s="236" customFormat="1" x14ac:dyDescent="0.3">
      <c r="A63" s="237" t="str">
        <f>name!E$7</f>
        <v>Administrative and secretarial occupations</v>
      </c>
      <c r="B63" s="302">
        <v>19.76270832717347</v>
      </c>
      <c r="C63" s="302">
        <v>7.2896632630430105</v>
      </c>
      <c r="D63" s="302">
        <v>0.99243481169577119</v>
      </c>
      <c r="E63" s="302">
        <f t="shared" si="42"/>
        <v>28.04480640191225</v>
      </c>
      <c r="F63" s="303"/>
      <c r="G63" s="302">
        <v>24.917143793539257</v>
      </c>
      <c r="H63" s="302">
        <v>7.1907918545253073</v>
      </c>
      <c r="I63" s="302">
        <v>0.52361869085173329</v>
      </c>
      <c r="J63" s="302">
        <f t="shared" si="43"/>
        <v>32.631554338916295</v>
      </c>
      <c r="K63" s="303"/>
      <c r="L63" s="302">
        <v>23.871343919161447</v>
      </c>
      <c r="M63" s="302">
        <v>6.6954107119194211</v>
      </c>
      <c r="N63" s="302">
        <v>0.4801275643880919</v>
      </c>
      <c r="O63" s="302">
        <f t="shared" si="44"/>
        <v>31.04688219546896</v>
      </c>
    </row>
    <row r="64" spans="1:15" s="236" customFormat="1" x14ac:dyDescent="0.3">
      <c r="A64" s="237" t="str">
        <f>name!E$8</f>
        <v>Skilled trades occupations</v>
      </c>
      <c r="B64" s="302">
        <v>49.214771805365309</v>
      </c>
      <c r="C64" s="302">
        <v>2.6274093782248551</v>
      </c>
      <c r="D64" s="302">
        <v>6.3506604746779871</v>
      </c>
      <c r="E64" s="302">
        <f t="shared" si="42"/>
        <v>58.192841658268151</v>
      </c>
      <c r="F64" s="303"/>
      <c r="G64" s="302">
        <v>45.378745436931716</v>
      </c>
      <c r="H64" s="302">
        <v>2.091901355122848</v>
      </c>
      <c r="I64" s="302">
        <v>4.66523478901905</v>
      </c>
      <c r="J64" s="302">
        <f>SUM(G64:I64)</f>
        <v>52.135881581073619</v>
      </c>
      <c r="K64" s="303"/>
      <c r="L64" s="302">
        <v>40.368739162508831</v>
      </c>
      <c r="M64" s="302">
        <v>1.5865101325747659</v>
      </c>
      <c r="N64" s="302">
        <v>4.0687438495195849</v>
      </c>
      <c r="O64" s="302">
        <f t="shared" si="44"/>
        <v>46.023993144603182</v>
      </c>
    </row>
    <row r="65" spans="1:15" s="236" customFormat="1" x14ac:dyDescent="0.3">
      <c r="A65" s="237" t="str">
        <f>name!E$9</f>
        <v>Caring, leisure and other service occupations</v>
      </c>
      <c r="B65" s="302">
        <v>2.0065041468944225</v>
      </c>
      <c r="C65" s="302">
        <v>0.49976145033440061</v>
      </c>
      <c r="D65" s="302">
        <v>0.30752032126743828</v>
      </c>
      <c r="E65" s="302">
        <f t="shared" si="42"/>
        <v>2.8137859184962615</v>
      </c>
      <c r="F65" s="303"/>
      <c r="G65" s="302">
        <v>2.4545355307083629</v>
      </c>
      <c r="H65" s="302">
        <v>0.48279593385654029</v>
      </c>
      <c r="I65" s="302">
        <v>0.3237076655368461</v>
      </c>
      <c r="J65" s="302">
        <f t="shared" ref="J65:J68" si="45">SUM(G65:I65)</f>
        <v>3.2610391301017496</v>
      </c>
      <c r="K65" s="303"/>
      <c r="L65" s="302">
        <v>2.4534393782357675</v>
      </c>
      <c r="M65" s="302">
        <v>0.40472584921731797</v>
      </c>
      <c r="N65" s="302">
        <v>0.40316643901214416</v>
      </c>
      <c r="O65" s="302">
        <f t="shared" si="44"/>
        <v>3.2613316664652294</v>
      </c>
    </row>
    <row r="66" spans="1:15" s="236" customFormat="1" x14ac:dyDescent="0.3">
      <c r="A66" s="237" t="str">
        <f>name!E$10</f>
        <v>Sales and customer service occupations</v>
      </c>
      <c r="B66" s="302">
        <v>7.9235628854302727</v>
      </c>
      <c r="C66" s="302">
        <v>7.0047233630992274</v>
      </c>
      <c r="D66" s="302">
        <v>0.73514830890741922</v>
      </c>
      <c r="E66" s="302">
        <f t="shared" si="42"/>
        <v>15.663434557436918</v>
      </c>
      <c r="F66" s="303"/>
      <c r="G66" s="302">
        <v>9.0161614543034307</v>
      </c>
      <c r="H66" s="302">
        <v>6.7076676412095821</v>
      </c>
      <c r="I66" s="302">
        <v>0.44943893649289601</v>
      </c>
      <c r="J66" s="302">
        <f t="shared" si="45"/>
        <v>16.173268032005907</v>
      </c>
      <c r="K66" s="303"/>
      <c r="L66" s="302">
        <v>9.4363548763256695</v>
      </c>
      <c r="M66" s="302">
        <v>6.584616842947419</v>
      </c>
      <c r="N66" s="302">
        <v>0.4156781297512106</v>
      </c>
      <c r="O66" s="302">
        <f t="shared" si="44"/>
        <v>16.436649849024299</v>
      </c>
    </row>
    <row r="67" spans="1:15" s="236" customFormat="1" x14ac:dyDescent="0.3">
      <c r="A67" s="237" t="str">
        <f>name!E$11</f>
        <v>Process, plant and machine operatives</v>
      </c>
      <c r="B67" s="302">
        <v>114.56610121869463</v>
      </c>
      <c r="C67" s="302">
        <v>11.13886418488374</v>
      </c>
      <c r="D67" s="302">
        <v>2.5205547588143635</v>
      </c>
      <c r="E67" s="302">
        <f t="shared" si="42"/>
        <v>128.22552016239274</v>
      </c>
      <c r="F67" s="303"/>
      <c r="G67" s="302">
        <v>105.38454851044682</v>
      </c>
      <c r="H67" s="302">
        <v>10.394810958378478</v>
      </c>
      <c r="I67" s="302">
        <v>2.7055032161058996</v>
      </c>
      <c r="J67" s="302">
        <f t="shared" si="45"/>
        <v>118.4848626849312</v>
      </c>
      <c r="K67" s="303"/>
      <c r="L67" s="302">
        <v>104.98939451451791</v>
      </c>
      <c r="M67" s="302">
        <v>12.713176102109864</v>
      </c>
      <c r="N67" s="302">
        <v>3.6124072150602871</v>
      </c>
      <c r="O67" s="302">
        <f t="shared" si="44"/>
        <v>121.31497783168807</v>
      </c>
    </row>
    <row r="68" spans="1:15" s="236" customFormat="1" x14ac:dyDescent="0.3">
      <c r="A68" s="237" t="str">
        <f>name!E$12</f>
        <v>Elementary occupations</v>
      </c>
      <c r="B68" s="302">
        <v>54.726636112925739</v>
      </c>
      <c r="C68" s="302">
        <v>12.01614777985467</v>
      </c>
      <c r="D68" s="302">
        <v>1.4661199687062481</v>
      </c>
      <c r="E68" s="302">
        <f t="shared" si="42"/>
        <v>68.208903861486661</v>
      </c>
      <c r="F68" s="303"/>
      <c r="G68" s="302">
        <v>49.844124820129494</v>
      </c>
      <c r="H68" s="302">
        <v>11.537377071487967</v>
      </c>
      <c r="I68" s="302">
        <v>0.66650339546011539</v>
      </c>
      <c r="J68" s="302">
        <f t="shared" si="45"/>
        <v>62.048005287077579</v>
      </c>
      <c r="K68" s="303"/>
      <c r="L68" s="302">
        <v>39.485775376070706</v>
      </c>
      <c r="M68" s="302">
        <v>10.501944542677975</v>
      </c>
      <c r="N68" s="302">
        <v>0.76512578754055371</v>
      </c>
      <c r="O68" s="302">
        <f t="shared" si="44"/>
        <v>50.752845706289236</v>
      </c>
    </row>
    <row r="69" spans="1:15" s="236" customFormat="1" x14ac:dyDescent="0.3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3">
      <c r="A70" s="244" t="s">
        <v>32</v>
      </c>
      <c r="B70" s="311">
        <f>SUM(B60:B68)</f>
        <v>323.45100000058227</v>
      </c>
      <c r="C70" s="311">
        <f t="shared" ref="C70:E70" si="46">SUM(C60:C68)</f>
        <v>45.891000001005466</v>
      </c>
      <c r="D70" s="311">
        <f t="shared" si="46"/>
        <v>16.947000000174523</v>
      </c>
      <c r="E70" s="311">
        <f t="shared" si="46"/>
        <v>386.28900000176219</v>
      </c>
      <c r="F70" s="311"/>
      <c r="G70" s="311">
        <f t="shared" ref="G70:J70" si="47">SUM(G60:G68)</f>
        <v>344.14199999966911</v>
      </c>
      <c r="H70" s="311">
        <f t="shared" si="47"/>
        <v>45.998000000612208</v>
      </c>
      <c r="I70" s="311">
        <f t="shared" si="47"/>
        <v>13.213999999820468</v>
      </c>
      <c r="J70" s="311">
        <f t="shared" si="47"/>
        <v>403.35400000010173</v>
      </c>
      <c r="K70" s="311"/>
      <c r="L70" s="311">
        <f t="shared" ref="L70:O70" si="48">SUM(L60:L68)</f>
        <v>341.57700000068951</v>
      </c>
      <c r="M70" s="311">
        <f t="shared" si="48"/>
        <v>45.979999999735981</v>
      </c>
      <c r="N70" s="311">
        <f t="shared" si="48"/>
        <v>13.375999999981028</v>
      </c>
      <c r="O70" s="311">
        <f t="shared" si="48"/>
        <v>400.93300000040648</v>
      </c>
    </row>
    <row r="71" spans="1:15" s="236" customFormat="1" x14ac:dyDescent="0.3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3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35</v>
      </c>
    </row>
    <row r="73" spans="1:15" s="236" customFormat="1" x14ac:dyDescent="0.3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3">
      <c r="A74" s="241" t="str">
        <f>name!A7</f>
        <v>Beverages and tobacco</v>
      </c>
      <c r="B74" s="375">
        <f>$B$6</f>
        <v>2015</v>
      </c>
      <c r="C74" s="375"/>
      <c r="D74" s="375"/>
      <c r="E74" s="375"/>
      <c r="F74" s="263"/>
      <c r="G74" s="375">
        <f>$G$6</f>
        <v>2020</v>
      </c>
      <c r="H74" s="375"/>
      <c r="I74" s="375"/>
      <c r="J74" s="375"/>
      <c r="K74" s="263"/>
      <c r="L74" s="375">
        <f>$L$6</f>
        <v>2035</v>
      </c>
      <c r="M74" s="375"/>
      <c r="N74" s="375"/>
      <c r="O74" s="375"/>
    </row>
    <row r="75" spans="1:15" s="236" customFormat="1" x14ac:dyDescent="0.3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3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3">
      <c r="A77" s="237" t="str">
        <f>name!E$4</f>
        <v>Managers, directors and senior officials</v>
      </c>
      <c r="B77" s="302">
        <v>4.5160807262296574</v>
      </c>
      <c r="C77" s="302">
        <v>0.28445817103637061</v>
      </c>
      <c r="D77" s="302">
        <v>0.24349284003107807</v>
      </c>
      <c r="E77" s="302">
        <f>SUM(B77:D77)</f>
        <v>5.0440317372971064</v>
      </c>
      <c r="F77" s="303"/>
      <c r="G77" s="302">
        <v>5.9940391008713485</v>
      </c>
      <c r="H77" s="302">
        <v>0.654828724140332</v>
      </c>
      <c r="I77" s="302">
        <v>0.41897982320343885</v>
      </c>
      <c r="J77" s="302">
        <f>SUM(G77:I77)</f>
        <v>7.0678476482151193</v>
      </c>
      <c r="K77" s="303"/>
      <c r="L77" s="302">
        <v>5.9302446136569413</v>
      </c>
      <c r="M77" s="302">
        <v>0.76659864747656836</v>
      </c>
      <c r="N77" s="302">
        <v>0.53188972815020918</v>
      </c>
      <c r="O77" s="302">
        <f>SUM(L77:N77)</f>
        <v>7.2287329892837189</v>
      </c>
    </row>
    <row r="78" spans="1:15" s="236" customFormat="1" x14ac:dyDescent="0.3">
      <c r="A78" s="237" t="str">
        <f>name!E$5</f>
        <v>Professional occupations</v>
      </c>
      <c r="B78" s="302">
        <v>4.8400462664738857</v>
      </c>
      <c r="C78" s="302">
        <v>0.36125313092497929</v>
      </c>
      <c r="D78" s="302">
        <v>0.42289109953112902</v>
      </c>
      <c r="E78" s="302">
        <f t="shared" ref="E78:E85" si="49">SUM(B78:D78)</f>
        <v>5.6241904969299936</v>
      </c>
      <c r="F78" s="303"/>
      <c r="G78" s="302">
        <v>7.1349217242464453</v>
      </c>
      <c r="H78" s="302">
        <v>0.69945812667682206</v>
      </c>
      <c r="I78" s="302">
        <v>0.58433265123391176</v>
      </c>
      <c r="J78" s="302">
        <f t="shared" ref="J78:J80" si="50">SUM(G78:I78)</f>
        <v>8.4187125021571791</v>
      </c>
      <c r="K78" s="303"/>
      <c r="L78" s="302">
        <v>8.6604025777201006</v>
      </c>
      <c r="M78" s="302">
        <v>0.7218331859560243</v>
      </c>
      <c r="N78" s="302">
        <v>0.52486084329842364</v>
      </c>
      <c r="O78" s="302">
        <f t="shared" ref="O78:O85" si="51">SUM(L78:N78)</f>
        <v>9.9070966069745481</v>
      </c>
    </row>
    <row r="79" spans="1:15" s="236" customFormat="1" x14ac:dyDescent="0.3">
      <c r="A79" s="237" t="str">
        <f>name!E$6</f>
        <v>Associate professional occupations</v>
      </c>
      <c r="B79" s="302">
        <v>5.3295441723732635</v>
      </c>
      <c r="C79" s="302">
        <v>0.65483106256744461</v>
      </c>
      <c r="D79" s="302">
        <v>0.19845905036913145</v>
      </c>
      <c r="E79" s="302">
        <f t="shared" si="49"/>
        <v>6.1828342853098395</v>
      </c>
      <c r="F79" s="303"/>
      <c r="G79" s="302">
        <v>7.3065581827473327</v>
      </c>
      <c r="H79" s="302">
        <v>1.1926705161034725</v>
      </c>
      <c r="I79" s="302">
        <v>0.25193066961926075</v>
      </c>
      <c r="J79" s="302">
        <f t="shared" si="50"/>
        <v>8.7511593684700664</v>
      </c>
      <c r="K79" s="303"/>
      <c r="L79" s="302">
        <v>7.1756905796982826</v>
      </c>
      <c r="M79" s="302">
        <v>1.0500949621227855</v>
      </c>
      <c r="N79" s="302">
        <v>0.20616134167368225</v>
      </c>
      <c r="O79" s="302">
        <f t="shared" si="51"/>
        <v>8.4319468834947511</v>
      </c>
    </row>
    <row r="80" spans="1:15" s="236" customFormat="1" x14ac:dyDescent="0.3">
      <c r="A80" s="237" t="str">
        <f>name!E$7</f>
        <v>Administrative and secretarial occupations</v>
      </c>
      <c r="B80" s="302">
        <v>2.7985401657230358</v>
      </c>
      <c r="C80" s="302">
        <v>1.0287619520950979</v>
      </c>
      <c r="D80" s="302">
        <v>8.9227688571434483E-2</v>
      </c>
      <c r="E80" s="302">
        <f t="shared" si="49"/>
        <v>3.9165298063895682</v>
      </c>
      <c r="F80" s="303"/>
      <c r="G80" s="302">
        <v>3.0679707018700535</v>
      </c>
      <c r="H80" s="302">
        <v>1.4305866805267746</v>
      </c>
      <c r="I80" s="302">
        <v>9.7712236348677706E-2</v>
      </c>
      <c r="J80" s="302">
        <f t="shared" si="50"/>
        <v>4.5962696187455059</v>
      </c>
      <c r="K80" s="303"/>
      <c r="L80" s="302">
        <v>2.365733961492797</v>
      </c>
      <c r="M80" s="302">
        <v>1.2957313855309203</v>
      </c>
      <c r="N80" s="302">
        <v>9.3621460077402727E-2</v>
      </c>
      <c r="O80" s="302">
        <f t="shared" si="51"/>
        <v>3.7550868071011196</v>
      </c>
    </row>
    <row r="81" spans="1:15" s="236" customFormat="1" x14ac:dyDescent="0.3">
      <c r="A81" s="237" t="str">
        <f>name!E$8</f>
        <v>Skilled trades occupations</v>
      </c>
      <c r="B81" s="302">
        <v>3.0497086191378124</v>
      </c>
      <c r="C81" s="302">
        <v>0.17944420901744476</v>
      </c>
      <c r="D81" s="302">
        <v>0.37384028149017495</v>
      </c>
      <c r="E81" s="302">
        <f t="shared" si="49"/>
        <v>3.6029931096454324</v>
      </c>
      <c r="F81" s="303"/>
      <c r="G81" s="302">
        <v>2.9357126421581707</v>
      </c>
      <c r="H81" s="302">
        <v>0.19859175102858342</v>
      </c>
      <c r="I81" s="302">
        <v>0.46938930865343143</v>
      </c>
      <c r="J81" s="302">
        <f>SUM(G81:I81)</f>
        <v>3.6036937018401853</v>
      </c>
      <c r="K81" s="303"/>
      <c r="L81" s="302">
        <v>2.4761605739652728</v>
      </c>
      <c r="M81" s="302">
        <v>0.17120001265893048</v>
      </c>
      <c r="N81" s="302">
        <v>0.48874259489767607</v>
      </c>
      <c r="O81" s="302">
        <f t="shared" si="51"/>
        <v>3.1361031815218796</v>
      </c>
    </row>
    <row r="82" spans="1:15" s="236" customFormat="1" x14ac:dyDescent="0.3">
      <c r="A82" s="237" t="str">
        <f>name!E$9</f>
        <v>Caring, leisure and other service occupations</v>
      </c>
      <c r="B82" s="302">
        <v>0.84154347995350898</v>
      </c>
      <c r="C82" s="302">
        <v>0.38957489404160167</v>
      </c>
      <c r="D82" s="302">
        <v>0.16864710022366258</v>
      </c>
      <c r="E82" s="302">
        <f t="shared" si="49"/>
        <v>1.3997654742187731</v>
      </c>
      <c r="F82" s="303"/>
      <c r="G82" s="302">
        <v>0.99395300483375337</v>
      </c>
      <c r="H82" s="302">
        <v>0.4279435244822517</v>
      </c>
      <c r="I82" s="302">
        <v>0.25725312122616917</v>
      </c>
      <c r="J82" s="302">
        <f t="shared" ref="J82:J85" si="52">SUM(G82:I82)</f>
        <v>1.6791496505421741</v>
      </c>
      <c r="K82" s="303"/>
      <c r="L82" s="302">
        <v>1.1196153810505864</v>
      </c>
      <c r="M82" s="302">
        <v>0.36590956382989437</v>
      </c>
      <c r="N82" s="302">
        <v>0.28810104728291697</v>
      </c>
      <c r="O82" s="302">
        <f t="shared" si="51"/>
        <v>1.7736259921633977</v>
      </c>
    </row>
    <row r="83" spans="1:15" s="236" customFormat="1" x14ac:dyDescent="0.3">
      <c r="A83" s="237" t="str">
        <f>name!E$10</f>
        <v>Sales and customer service occupations</v>
      </c>
      <c r="B83" s="302">
        <v>1.4506435566250484</v>
      </c>
      <c r="C83" s="302">
        <v>0.58109941097723916</v>
      </c>
      <c r="D83" s="302">
        <v>0.18606213255280982</v>
      </c>
      <c r="E83" s="302">
        <f t="shared" si="49"/>
        <v>2.2178051001550974</v>
      </c>
      <c r="F83" s="303"/>
      <c r="G83" s="302">
        <v>1.5989369785445104</v>
      </c>
      <c r="H83" s="302">
        <v>0.87650503527267554</v>
      </c>
      <c r="I83" s="302">
        <v>0.21177848868005969</v>
      </c>
      <c r="J83" s="302">
        <f t="shared" si="52"/>
        <v>2.6872205024972455</v>
      </c>
      <c r="K83" s="303"/>
      <c r="L83" s="302">
        <v>1.5824987122606515</v>
      </c>
      <c r="M83" s="302">
        <v>0.99449487144008164</v>
      </c>
      <c r="N83" s="302">
        <v>0.27248406028640548</v>
      </c>
      <c r="O83" s="302">
        <f t="shared" si="51"/>
        <v>2.8494776439871385</v>
      </c>
    </row>
    <row r="84" spans="1:15" s="236" customFormat="1" x14ac:dyDescent="0.3">
      <c r="A84" s="237" t="str">
        <f>name!E$11</f>
        <v>Process, plant and machine operatives</v>
      </c>
      <c r="B84" s="302">
        <v>7.4207464489428432</v>
      </c>
      <c r="C84" s="302">
        <v>0.43341479146821105</v>
      </c>
      <c r="D84" s="302">
        <v>0.19369501305568484</v>
      </c>
      <c r="E84" s="302">
        <f t="shared" si="49"/>
        <v>8.0478562534667386</v>
      </c>
      <c r="F84" s="303"/>
      <c r="G84" s="302">
        <v>7.0713376954937832</v>
      </c>
      <c r="H84" s="302">
        <v>0.62494572534087833</v>
      </c>
      <c r="I84" s="302">
        <v>0.24981639687236315</v>
      </c>
      <c r="J84" s="302">
        <f t="shared" si="52"/>
        <v>7.946099817707025</v>
      </c>
      <c r="K84" s="303"/>
      <c r="L84" s="302">
        <v>6.9068084522157429</v>
      </c>
      <c r="M84" s="302">
        <v>0.8244029215494677</v>
      </c>
      <c r="N84" s="302">
        <v>0.26361310233764551</v>
      </c>
      <c r="O84" s="302">
        <f t="shared" si="51"/>
        <v>7.9948244761028562</v>
      </c>
    </row>
    <row r="85" spans="1:15" s="236" customFormat="1" x14ac:dyDescent="0.3">
      <c r="A85" s="237" t="str">
        <f>name!E$12</f>
        <v>Elementary occupations</v>
      </c>
      <c r="B85" s="302">
        <v>3.3821465645276065</v>
      </c>
      <c r="C85" s="302">
        <v>0.92216237790823918</v>
      </c>
      <c r="D85" s="302">
        <v>0.17668479417656413</v>
      </c>
      <c r="E85" s="302">
        <f t="shared" si="49"/>
        <v>4.48099373661241</v>
      </c>
      <c r="F85" s="303"/>
      <c r="G85" s="302">
        <v>3.1285699690256923</v>
      </c>
      <c r="H85" s="302">
        <v>0.8774699164501828</v>
      </c>
      <c r="I85" s="302">
        <v>0.15180730416243474</v>
      </c>
      <c r="J85" s="302">
        <f t="shared" si="52"/>
        <v>4.1578471896383098</v>
      </c>
      <c r="K85" s="303"/>
      <c r="L85" s="302">
        <v>2.0968451479453663</v>
      </c>
      <c r="M85" s="302">
        <v>0.56473444939809936</v>
      </c>
      <c r="N85" s="302">
        <v>0.21452582200119774</v>
      </c>
      <c r="O85" s="302">
        <f t="shared" si="51"/>
        <v>2.8761054193446633</v>
      </c>
    </row>
    <row r="86" spans="1:15" s="236" customFormat="1" x14ac:dyDescent="0.3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3">
      <c r="A87" s="244" t="s">
        <v>32</v>
      </c>
      <c r="B87" s="311">
        <f>SUM(B77:B85)</f>
        <v>33.628999999986668</v>
      </c>
      <c r="C87" s="311">
        <f t="shared" ref="C87:E87" si="53">SUM(C77:C85)</f>
        <v>4.8350000000366276</v>
      </c>
      <c r="D87" s="311">
        <f t="shared" si="53"/>
        <v>2.0530000000016697</v>
      </c>
      <c r="E87" s="311">
        <f t="shared" si="53"/>
        <v>40.517000000024964</v>
      </c>
      <c r="F87" s="311"/>
      <c r="G87" s="311">
        <f t="shared" ref="G87:J87" si="54">SUM(G77:G85)</f>
        <v>39.231999999791086</v>
      </c>
      <c r="H87" s="311">
        <f t="shared" si="54"/>
        <v>6.9830000000219732</v>
      </c>
      <c r="I87" s="311">
        <f t="shared" si="54"/>
        <v>2.6929999999997469</v>
      </c>
      <c r="J87" s="311">
        <f t="shared" si="54"/>
        <v>48.907999999812809</v>
      </c>
      <c r="K87" s="311"/>
      <c r="L87" s="311">
        <f t="shared" ref="L87:O87" si="55">SUM(L77:L85)</f>
        <v>38.314000000005741</v>
      </c>
      <c r="M87" s="311">
        <f t="shared" si="55"/>
        <v>6.7549999999627719</v>
      </c>
      <c r="N87" s="311">
        <f t="shared" si="55"/>
        <v>2.8840000000055599</v>
      </c>
      <c r="O87" s="311">
        <f t="shared" si="55"/>
        <v>47.952999999974068</v>
      </c>
    </row>
    <row r="88" spans="1:15" s="236" customFormat="1" x14ac:dyDescent="0.3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3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35</v>
      </c>
    </row>
    <row r="90" spans="1:15" s="236" customFormat="1" x14ac:dyDescent="0.3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3">
      <c r="A91" s="241" t="str">
        <f>name!A8</f>
        <v>Textiles</v>
      </c>
      <c r="B91" s="375">
        <f>$B$6</f>
        <v>2015</v>
      </c>
      <c r="C91" s="375"/>
      <c r="D91" s="375"/>
      <c r="E91" s="375"/>
      <c r="F91" s="263"/>
      <c r="G91" s="375">
        <f>$G$6</f>
        <v>2020</v>
      </c>
      <c r="H91" s="375"/>
      <c r="I91" s="375"/>
      <c r="J91" s="375"/>
      <c r="K91" s="263"/>
      <c r="L91" s="375">
        <f>$L$6</f>
        <v>2035</v>
      </c>
      <c r="M91" s="375"/>
      <c r="N91" s="375"/>
      <c r="O91" s="375"/>
    </row>
    <row r="92" spans="1:15" s="236" customFormat="1" x14ac:dyDescent="0.3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3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3">
      <c r="A94" s="237" t="str">
        <f>name!E$4</f>
        <v>Managers, directors and senior officials</v>
      </c>
      <c r="B94" s="302">
        <v>4.5659454882458732</v>
      </c>
      <c r="C94" s="302">
        <v>0.2312536793696941</v>
      </c>
      <c r="D94" s="302">
        <v>2.2090863196253778</v>
      </c>
      <c r="E94" s="302">
        <f>SUM(B94:D94)</f>
        <v>7.0062854872409455</v>
      </c>
      <c r="F94" s="303"/>
      <c r="G94" s="302">
        <v>6.4471233763257363</v>
      </c>
      <c r="H94" s="302">
        <v>0.69001387425114635</v>
      </c>
      <c r="I94" s="302">
        <v>2.8017409746803232</v>
      </c>
      <c r="J94" s="302">
        <f>SUM(G94:I94)</f>
        <v>9.9388782252572057</v>
      </c>
      <c r="K94" s="303"/>
      <c r="L94" s="302">
        <v>5.1152381895033185</v>
      </c>
      <c r="M94" s="302">
        <v>0.51777206048932067</v>
      </c>
      <c r="N94" s="302">
        <v>2.247290419372161</v>
      </c>
      <c r="O94" s="302">
        <f>SUM(L94:N94)</f>
        <v>7.8803006693648001</v>
      </c>
    </row>
    <row r="95" spans="1:15" s="236" customFormat="1" x14ac:dyDescent="0.3">
      <c r="A95" s="237" t="str">
        <f>name!E$5</f>
        <v>Professional occupations</v>
      </c>
      <c r="B95" s="302">
        <v>3.4299707248244049</v>
      </c>
      <c r="C95" s="302">
        <v>0.24300735189055286</v>
      </c>
      <c r="D95" s="302">
        <v>0.85261926001594701</v>
      </c>
      <c r="E95" s="302">
        <f t="shared" ref="E95:E102" si="56">SUM(B95:D95)</f>
        <v>4.5255973367309048</v>
      </c>
      <c r="F95" s="303"/>
      <c r="G95" s="302">
        <v>5.32956568284248</v>
      </c>
      <c r="H95" s="302">
        <v>0.62209618119969057</v>
      </c>
      <c r="I95" s="302">
        <v>0.86021878428853593</v>
      </c>
      <c r="J95" s="302">
        <f t="shared" ref="J95:J97" si="57">SUM(G95:I95)</f>
        <v>6.8118806483307068</v>
      </c>
      <c r="K95" s="303"/>
      <c r="L95" s="302">
        <v>5.0774258105830112</v>
      </c>
      <c r="M95" s="302">
        <v>0.48704421695017153</v>
      </c>
      <c r="N95" s="302">
        <v>0.53244174466767757</v>
      </c>
      <c r="O95" s="302">
        <f t="shared" ref="O95:O102" si="58">SUM(L95:N95)</f>
        <v>6.0969117722008601</v>
      </c>
    </row>
    <row r="96" spans="1:15" s="236" customFormat="1" x14ac:dyDescent="0.3">
      <c r="A96" s="237" t="str">
        <f>name!E$6</f>
        <v>Associate professional occupations</v>
      </c>
      <c r="B96" s="302">
        <v>3.3035685494310338</v>
      </c>
      <c r="C96" s="302">
        <v>0.45873447954255775</v>
      </c>
      <c r="D96" s="302">
        <v>1.311943876154819</v>
      </c>
      <c r="E96" s="302">
        <f t="shared" si="56"/>
        <v>5.0742469051284109</v>
      </c>
      <c r="F96" s="303"/>
      <c r="G96" s="302">
        <v>4.6795653956974297</v>
      </c>
      <c r="H96" s="302">
        <v>0.90312070858562377</v>
      </c>
      <c r="I96" s="302">
        <v>1.506967936906966</v>
      </c>
      <c r="J96" s="302">
        <f t="shared" si="57"/>
        <v>7.0896540411900189</v>
      </c>
      <c r="K96" s="303"/>
      <c r="L96" s="302">
        <v>3.6672715552362458</v>
      </c>
      <c r="M96" s="302">
        <v>0.55629916148294056</v>
      </c>
      <c r="N96" s="302">
        <v>1.1533229274444479</v>
      </c>
      <c r="O96" s="302">
        <f t="shared" si="58"/>
        <v>5.3768936441636344</v>
      </c>
    </row>
    <row r="97" spans="1:15" s="236" customFormat="1" x14ac:dyDescent="0.3">
      <c r="A97" s="237" t="str">
        <f>name!E$7</f>
        <v>Administrative and secretarial occupations</v>
      </c>
      <c r="B97" s="302">
        <v>3.6070869659784757</v>
      </c>
      <c r="C97" s="302">
        <v>0.67414038600679982</v>
      </c>
      <c r="D97" s="302">
        <v>0.22332416581079412</v>
      </c>
      <c r="E97" s="302">
        <f t="shared" si="56"/>
        <v>4.5045515177960702</v>
      </c>
      <c r="F97" s="303"/>
      <c r="G97" s="302">
        <v>4.6046426621249408</v>
      </c>
      <c r="H97" s="302">
        <v>1.0498368813204149</v>
      </c>
      <c r="I97" s="302">
        <v>0.23100688398652033</v>
      </c>
      <c r="J97" s="302">
        <f t="shared" si="57"/>
        <v>5.8854864274318759</v>
      </c>
      <c r="K97" s="303"/>
      <c r="L97" s="302">
        <v>3.2913464576675144</v>
      </c>
      <c r="M97" s="302">
        <v>0.59261738257856189</v>
      </c>
      <c r="N97" s="302">
        <v>0.18440616359578452</v>
      </c>
      <c r="O97" s="302">
        <f t="shared" si="58"/>
        <v>4.0683700038418609</v>
      </c>
    </row>
    <row r="98" spans="1:15" s="236" customFormat="1" x14ac:dyDescent="0.3">
      <c r="A98" s="237" t="str">
        <f>name!E$8</f>
        <v>Skilled trades occupations</v>
      </c>
      <c r="B98" s="302">
        <v>7.2140819038687063</v>
      </c>
      <c r="C98" s="302">
        <v>0.6741661122900946</v>
      </c>
      <c r="D98" s="302">
        <v>2.6547884829228519</v>
      </c>
      <c r="E98" s="302">
        <f t="shared" si="56"/>
        <v>10.543036499081653</v>
      </c>
      <c r="F98" s="303"/>
      <c r="G98" s="302">
        <v>6.927987594483886</v>
      </c>
      <c r="H98" s="302">
        <v>0.85385576526881146</v>
      </c>
      <c r="I98" s="302">
        <v>2.9177845598273371</v>
      </c>
      <c r="J98" s="302">
        <f>SUM(G98:I98)</f>
        <v>10.699627919580035</v>
      </c>
      <c r="K98" s="303"/>
      <c r="L98" s="302">
        <v>4.2121774343799467</v>
      </c>
      <c r="M98" s="302">
        <v>0.5635805364538703</v>
      </c>
      <c r="N98" s="302">
        <v>1.7730753057423452</v>
      </c>
      <c r="O98" s="302">
        <f t="shared" si="58"/>
        <v>6.548833276576163</v>
      </c>
    </row>
    <row r="99" spans="1:15" s="236" customFormat="1" x14ac:dyDescent="0.3">
      <c r="A99" s="237" t="str">
        <f>name!E$9</f>
        <v>Caring, leisure and other service occupations</v>
      </c>
      <c r="B99" s="302">
        <v>0.58387354201931307</v>
      </c>
      <c r="C99" s="302">
        <v>6.5994810001842763E-2</v>
      </c>
      <c r="D99" s="302">
        <v>0.50641855144715875</v>
      </c>
      <c r="E99" s="302">
        <f t="shared" si="56"/>
        <v>1.1562869034683145</v>
      </c>
      <c r="F99" s="303"/>
      <c r="G99" s="302">
        <v>0.67455484432247947</v>
      </c>
      <c r="H99" s="302">
        <v>0.16473784872467509</v>
      </c>
      <c r="I99" s="302">
        <v>1.02873522277993</v>
      </c>
      <c r="J99" s="302">
        <f t="shared" ref="J99:J102" si="59">SUM(G99:I99)</f>
        <v>1.8680279158270845</v>
      </c>
      <c r="K99" s="303"/>
      <c r="L99" s="302">
        <v>0.5347610886621007</v>
      </c>
      <c r="M99" s="302">
        <v>0.13726042030700683</v>
      </c>
      <c r="N99" s="302">
        <v>0.75774293563998563</v>
      </c>
      <c r="O99" s="302">
        <f t="shared" si="58"/>
        <v>1.4297644446090931</v>
      </c>
    </row>
    <row r="100" spans="1:15" s="236" customFormat="1" x14ac:dyDescent="0.3">
      <c r="A100" s="237" t="str">
        <f>name!E$10</f>
        <v>Sales and customer service occupations</v>
      </c>
      <c r="B100" s="302">
        <v>1.4070020323677095</v>
      </c>
      <c r="C100" s="302">
        <v>0.72238778129621528</v>
      </c>
      <c r="D100" s="302">
        <v>0.97318649364260323</v>
      </c>
      <c r="E100" s="302">
        <f t="shared" si="56"/>
        <v>3.1025763073065282</v>
      </c>
      <c r="F100" s="303"/>
      <c r="G100" s="302">
        <v>1.6125602434258448</v>
      </c>
      <c r="H100" s="302">
        <v>1.1400996218708896</v>
      </c>
      <c r="I100" s="302">
        <v>0.87175912054989846</v>
      </c>
      <c r="J100" s="302">
        <f t="shared" si="59"/>
        <v>3.6244189858466327</v>
      </c>
      <c r="K100" s="303"/>
      <c r="L100" s="302">
        <v>1.3140584151859034</v>
      </c>
      <c r="M100" s="302">
        <v>0.79062340471398607</v>
      </c>
      <c r="N100" s="302">
        <v>0.58610725210697634</v>
      </c>
      <c r="O100" s="302">
        <f t="shared" si="58"/>
        <v>2.6907890720068659</v>
      </c>
    </row>
    <row r="101" spans="1:15" s="236" customFormat="1" x14ac:dyDescent="0.3">
      <c r="A101" s="237" t="str">
        <f>name!E$11</f>
        <v>Process, plant and machine operatives</v>
      </c>
      <c r="B101" s="302">
        <v>11.132992792185872</v>
      </c>
      <c r="C101" s="302">
        <v>2.2258517486976186</v>
      </c>
      <c r="D101" s="302">
        <v>2.2791736815943686</v>
      </c>
      <c r="E101" s="302">
        <f t="shared" si="56"/>
        <v>15.638018222477859</v>
      </c>
      <c r="F101" s="303"/>
      <c r="G101" s="302">
        <v>10.515814178385703</v>
      </c>
      <c r="H101" s="302">
        <v>3.1303961504254074</v>
      </c>
      <c r="I101" s="302">
        <v>2.3837569830054206</v>
      </c>
      <c r="J101" s="302">
        <f t="shared" si="59"/>
        <v>16.029967311816531</v>
      </c>
      <c r="K101" s="303"/>
      <c r="L101" s="302">
        <v>8.7016226597792663</v>
      </c>
      <c r="M101" s="302">
        <v>3.0499357266900828</v>
      </c>
      <c r="N101" s="302">
        <v>1.7209906571947857</v>
      </c>
      <c r="O101" s="302">
        <f t="shared" si="58"/>
        <v>13.472549043664134</v>
      </c>
    </row>
    <row r="102" spans="1:15" s="236" customFormat="1" x14ac:dyDescent="0.3">
      <c r="A102" s="237" t="str">
        <f>name!E$12</f>
        <v>Elementary occupations</v>
      </c>
      <c r="B102" s="302">
        <v>3.2444780010222729</v>
      </c>
      <c r="C102" s="302">
        <v>1.0364636510511951</v>
      </c>
      <c r="D102" s="302">
        <v>1.8084591689291161</v>
      </c>
      <c r="E102" s="302">
        <f t="shared" si="56"/>
        <v>6.0894008210025836</v>
      </c>
      <c r="F102" s="303"/>
      <c r="G102" s="302">
        <v>3.2311860222857902</v>
      </c>
      <c r="H102" s="302">
        <v>1.6098429684973734</v>
      </c>
      <c r="I102" s="302">
        <v>1.4250295339103605</v>
      </c>
      <c r="J102" s="302">
        <f t="shared" si="59"/>
        <v>6.2660585246935243</v>
      </c>
      <c r="K102" s="303"/>
      <c r="L102" s="302">
        <v>1.7280983890664834</v>
      </c>
      <c r="M102" s="302">
        <v>0.93086709032350179</v>
      </c>
      <c r="N102" s="302">
        <v>1.3566225943260184</v>
      </c>
      <c r="O102" s="302">
        <f t="shared" si="58"/>
        <v>4.0155880737160032</v>
      </c>
    </row>
    <row r="103" spans="1:15" s="236" customFormat="1" x14ac:dyDescent="0.3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3">
      <c r="A104" s="244" t="s">
        <v>32</v>
      </c>
      <c r="B104" s="311">
        <f>SUM(B94:B102)</f>
        <v>38.488999999943658</v>
      </c>
      <c r="C104" s="311">
        <f t="shared" ref="C104:E104" si="60">SUM(C94:C102)</f>
        <v>6.3320000001465697</v>
      </c>
      <c r="D104" s="311">
        <f t="shared" si="60"/>
        <v>12.819000000143038</v>
      </c>
      <c r="E104" s="311">
        <f t="shared" si="60"/>
        <v>57.640000000233272</v>
      </c>
      <c r="F104" s="311"/>
      <c r="G104" s="311">
        <f t="shared" ref="G104:J104" si="61">SUM(G94:G102)</f>
        <v>44.022999999894289</v>
      </c>
      <c r="H104" s="311">
        <f t="shared" si="61"/>
        <v>10.164000000144034</v>
      </c>
      <c r="I104" s="311">
        <f t="shared" si="61"/>
        <v>14.026999999935292</v>
      </c>
      <c r="J104" s="311">
        <f t="shared" si="61"/>
        <v>68.213999999973609</v>
      </c>
      <c r="K104" s="311"/>
      <c r="L104" s="311">
        <f t="shared" ref="L104:O104" si="62">SUM(L94:L102)</f>
        <v>33.642000000063788</v>
      </c>
      <c r="M104" s="311">
        <f t="shared" si="62"/>
        <v>7.6259999999894417</v>
      </c>
      <c r="N104" s="311">
        <f t="shared" si="62"/>
        <v>10.31200000009018</v>
      </c>
      <c r="O104" s="311">
        <f t="shared" si="62"/>
        <v>51.580000000143414</v>
      </c>
    </row>
    <row r="105" spans="1:15" s="236" customFormat="1" x14ac:dyDescent="0.3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3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35</v>
      </c>
    </row>
    <row r="107" spans="1:15" s="236" customFormat="1" x14ac:dyDescent="0.3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3">
      <c r="A108" s="241" t="str">
        <f>name!A9</f>
        <v>Wearing apparel; Leather, etc</v>
      </c>
      <c r="B108" s="375">
        <f>$B$6</f>
        <v>2015</v>
      </c>
      <c r="C108" s="375"/>
      <c r="D108" s="375"/>
      <c r="E108" s="375"/>
      <c r="F108" s="263"/>
      <c r="G108" s="375">
        <f>$G$6</f>
        <v>2020</v>
      </c>
      <c r="H108" s="375"/>
      <c r="I108" s="375"/>
      <c r="J108" s="375"/>
      <c r="K108" s="263"/>
      <c r="L108" s="375">
        <f>$L$6</f>
        <v>2035</v>
      </c>
      <c r="M108" s="375"/>
      <c r="N108" s="375"/>
      <c r="O108" s="375"/>
    </row>
    <row r="109" spans="1:15" s="236" customFormat="1" x14ac:dyDescent="0.3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3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3">
      <c r="A111" s="237" t="str">
        <f>name!E$4</f>
        <v>Managers, directors and senior officials</v>
      </c>
      <c r="B111" s="302">
        <v>3.7895282074824435</v>
      </c>
      <c r="C111" s="302">
        <v>0.44637988341564561</v>
      </c>
      <c r="D111" s="302">
        <v>1.1564245241859086</v>
      </c>
      <c r="E111" s="302">
        <f>SUM(B111:D111)</f>
        <v>5.3923326150839976</v>
      </c>
      <c r="F111" s="303"/>
      <c r="G111" s="302">
        <v>3.7075006223175468</v>
      </c>
      <c r="H111" s="302">
        <v>0.57118833327572249</v>
      </c>
      <c r="I111" s="302">
        <v>2.0705837638174276</v>
      </c>
      <c r="J111" s="302">
        <f>SUM(G111:I111)</f>
        <v>6.3492727194106973</v>
      </c>
      <c r="K111" s="303"/>
      <c r="L111" s="302">
        <v>2.8752557784153239</v>
      </c>
      <c r="M111" s="302">
        <v>0.44364202645450274</v>
      </c>
      <c r="N111" s="302">
        <v>1.565515512406803</v>
      </c>
      <c r="O111" s="302">
        <f>SUM(L111:N111)</f>
        <v>4.8844133172766293</v>
      </c>
    </row>
    <row r="112" spans="1:15" s="236" customFormat="1" x14ac:dyDescent="0.3">
      <c r="A112" s="237" t="str">
        <f>name!E$5</f>
        <v>Professional occupations</v>
      </c>
      <c r="B112" s="302">
        <v>4.5891185200963642</v>
      </c>
      <c r="C112" s="302">
        <v>0.32860556542954794</v>
      </c>
      <c r="D112" s="302">
        <v>0.58546840952866941</v>
      </c>
      <c r="E112" s="302">
        <f t="shared" ref="E112:E119" si="63">SUM(B112:D112)</f>
        <v>5.5031924950545816</v>
      </c>
      <c r="F112" s="303"/>
      <c r="G112" s="302">
        <v>6.2172625319207055</v>
      </c>
      <c r="H112" s="302">
        <v>0.44091922882527534</v>
      </c>
      <c r="I112" s="302">
        <v>0.76288185643796624</v>
      </c>
      <c r="J112" s="302">
        <f t="shared" ref="J112:J114" si="64">SUM(G112:I112)</f>
        <v>7.4210636171839468</v>
      </c>
      <c r="K112" s="303"/>
      <c r="L112" s="302">
        <v>5.9805714107704233</v>
      </c>
      <c r="M112" s="302">
        <v>0.33161269580337788</v>
      </c>
      <c r="N112" s="302">
        <v>0.46005516811542363</v>
      </c>
      <c r="O112" s="302">
        <f t="shared" ref="O112:O119" si="65">SUM(L112:N112)</f>
        <v>6.772239274689225</v>
      </c>
    </row>
    <row r="113" spans="1:15" s="236" customFormat="1" x14ac:dyDescent="0.3">
      <c r="A113" s="237" t="str">
        <f>name!E$6</f>
        <v>Associate professional occupations</v>
      </c>
      <c r="B113" s="302">
        <v>4.1535291045412688</v>
      </c>
      <c r="C113" s="302">
        <v>0.79521944024322622</v>
      </c>
      <c r="D113" s="302">
        <v>1.3755806181962802</v>
      </c>
      <c r="E113" s="302">
        <f t="shared" si="63"/>
        <v>6.3243291629807752</v>
      </c>
      <c r="F113" s="303"/>
      <c r="G113" s="302">
        <v>4.3057824616266061</v>
      </c>
      <c r="H113" s="302">
        <v>0.85182584557788277</v>
      </c>
      <c r="I113" s="302">
        <v>1.6597353023510346</v>
      </c>
      <c r="J113" s="302">
        <f t="shared" si="64"/>
        <v>6.8173436095555235</v>
      </c>
      <c r="K113" s="303"/>
      <c r="L113" s="302">
        <v>3.3052411326043609</v>
      </c>
      <c r="M113" s="302">
        <v>0.46369017783317779</v>
      </c>
      <c r="N113" s="302">
        <v>1.0976026831874754</v>
      </c>
      <c r="O113" s="302">
        <f t="shared" si="65"/>
        <v>4.8665339936250138</v>
      </c>
    </row>
    <row r="114" spans="1:15" s="236" customFormat="1" x14ac:dyDescent="0.3">
      <c r="A114" s="237" t="str">
        <f>name!E$7</f>
        <v>Administrative and secretarial occupations</v>
      </c>
      <c r="B114" s="302">
        <v>5.1354585432120921</v>
      </c>
      <c r="C114" s="302">
        <v>1.1060035831562331</v>
      </c>
      <c r="D114" s="302">
        <v>0.29812574450730089</v>
      </c>
      <c r="E114" s="302">
        <f t="shared" si="63"/>
        <v>6.5395878708756259</v>
      </c>
      <c r="F114" s="303"/>
      <c r="G114" s="302">
        <v>4.4933663524690228</v>
      </c>
      <c r="H114" s="302">
        <v>0.942062724654534</v>
      </c>
      <c r="I114" s="302">
        <v>0.41860387025235157</v>
      </c>
      <c r="J114" s="302">
        <f t="shared" si="64"/>
        <v>5.8540329473759076</v>
      </c>
      <c r="K114" s="303"/>
      <c r="L114" s="302">
        <v>3.0983107956540179</v>
      </c>
      <c r="M114" s="302">
        <v>0.57707433342620718</v>
      </c>
      <c r="N114" s="302">
        <v>0.48663628752189342</v>
      </c>
      <c r="O114" s="302">
        <f t="shared" si="65"/>
        <v>4.1620214166021183</v>
      </c>
    </row>
    <row r="115" spans="1:15" s="236" customFormat="1" x14ac:dyDescent="0.3">
      <c r="A115" s="237" t="str">
        <f>name!E$8</f>
        <v>Skilled trades occupations</v>
      </c>
      <c r="B115" s="302">
        <v>3.9049092106308598</v>
      </c>
      <c r="C115" s="302">
        <v>1.1662332665576851</v>
      </c>
      <c r="D115" s="302">
        <v>2.8944289067234421</v>
      </c>
      <c r="E115" s="302">
        <f t="shared" si="63"/>
        <v>7.9655713839119873</v>
      </c>
      <c r="F115" s="303"/>
      <c r="G115" s="302">
        <v>3.0401755985400274</v>
      </c>
      <c r="H115" s="302">
        <v>0.88278153624142675</v>
      </c>
      <c r="I115" s="302">
        <v>3.6067690180561316</v>
      </c>
      <c r="J115" s="302">
        <f>SUM(G115:I115)</f>
        <v>7.5297261528375863</v>
      </c>
      <c r="K115" s="303"/>
      <c r="L115" s="302">
        <v>1.984923288462404</v>
      </c>
      <c r="M115" s="302">
        <v>0.64295219197827036</v>
      </c>
      <c r="N115" s="302">
        <v>2.5924301819079529</v>
      </c>
      <c r="O115" s="302">
        <f t="shared" si="65"/>
        <v>5.2203056623486273</v>
      </c>
    </row>
    <row r="116" spans="1:15" s="236" customFormat="1" x14ac:dyDescent="0.3">
      <c r="A116" s="237" t="str">
        <f>name!E$9</f>
        <v>Caring, leisure and other service occupations</v>
      </c>
      <c r="B116" s="302">
        <v>1.6067345838979834</v>
      </c>
      <c r="C116" s="302">
        <v>0.32942722038633376</v>
      </c>
      <c r="D116" s="302">
        <v>0.31689895869592039</v>
      </c>
      <c r="E116" s="302">
        <f t="shared" si="63"/>
        <v>2.2530607629802377</v>
      </c>
      <c r="F116" s="303"/>
      <c r="G116" s="302">
        <v>1.9740108673693495</v>
      </c>
      <c r="H116" s="302">
        <v>0.24594609215604488</v>
      </c>
      <c r="I116" s="302">
        <v>0.46216228894707656</v>
      </c>
      <c r="J116" s="302">
        <f t="shared" ref="J116:J119" si="66">SUM(G116:I116)</f>
        <v>2.6821192484724712</v>
      </c>
      <c r="K116" s="303"/>
      <c r="L116" s="302">
        <v>1.8633598791743453</v>
      </c>
      <c r="M116" s="302">
        <v>0.19625614160499008</v>
      </c>
      <c r="N116" s="302">
        <v>0.42694350533865166</v>
      </c>
      <c r="O116" s="302">
        <f t="shared" si="65"/>
        <v>2.4865595261179871</v>
      </c>
    </row>
    <row r="117" spans="1:15" s="236" customFormat="1" x14ac:dyDescent="0.3">
      <c r="A117" s="237" t="str">
        <f>name!E$10</f>
        <v>Sales and customer service occupations</v>
      </c>
      <c r="B117" s="302">
        <v>1.4388468911808159</v>
      </c>
      <c r="C117" s="302">
        <v>1.165019246684444</v>
      </c>
      <c r="D117" s="302">
        <v>0.22280745617610753</v>
      </c>
      <c r="E117" s="302">
        <f t="shared" si="63"/>
        <v>2.8266735940413672</v>
      </c>
      <c r="F117" s="303"/>
      <c r="G117" s="302">
        <v>1.3117950436817942</v>
      </c>
      <c r="H117" s="302">
        <v>0.82048207304952669</v>
      </c>
      <c r="I117" s="302">
        <v>0.22924072618550748</v>
      </c>
      <c r="J117" s="302">
        <f t="shared" si="66"/>
        <v>2.3615178429168284</v>
      </c>
      <c r="K117" s="303"/>
      <c r="L117" s="302">
        <v>1.1003595475842123</v>
      </c>
      <c r="M117" s="302">
        <v>0.58645602679813491</v>
      </c>
      <c r="N117" s="302">
        <v>0.15623656020335813</v>
      </c>
      <c r="O117" s="302">
        <f t="shared" si="65"/>
        <v>1.8430521345857054</v>
      </c>
    </row>
    <row r="118" spans="1:15" s="236" customFormat="1" x14ac:dyDescent="0.3">
      <c r="A118" s="237" t="str">
        <f>name!E$11</f>
        <v>Process, plant and machine operatives</v>
      </c>
      <c r="B118" s="302">
        <v>6.8611953180603971</v>
      </c>
      <c r="C118" s="302">
        <v>3.1837992684520287</v>
      </c>
      <c r="D118" s="302">
        <v>1.0146608455303221</v>
      </c>
      <c r="E118" s="302">
        <f t="shared" si="63"/>
        <v>11.059655432042748</v>
      </c>
      <c r="F118" s="303"/>
      <c r="G118" s="302">
        <v>4.0687054390439696</v>
      </c>
      <c r="H118" s="302">
        <v>3.2410575470673817</v>
      </c>
      <c r="I118" s="302">
        <v>1.3764767767509882</v>
      </c>
      <c r="J118" s="302">
        <f t="shared" si="66"/>
        <v>8.6862397628623391</v>
      </c>
      <c r="K118" s="303"/>
      <c r="L118" s="302">
        <v>2.9591176744538039</v>
      </c>
      <c r="M118" s="302">
        <v>2.9603462465606514</v>
      </c>
      <c r="N118" s="302">
        <v>1.2260317873548747</v>
      </c>
      <c r="O118" s="302">
        <f t="shared" si="65"/>
        <v>7.1454957083693298</v>
      </c>
    </row>
    <row r="119" spans="1:15" s="236" customFormat="1" x14ac:dyDescent="0.3">
      <c r="A119" s="237" t="str">
        <f>name!E$12</f>
        <v>Elementary occupations</v>
      </c>
      <c r="B119" s="302">
        <v>5.5936796209071202</v>
      </c>
      <c r="C119" s="302">
        <v>1.5413125259565164</v>
      </c>
      <c r="D119" s="302">
        <v>1.3126045365843859</v>
      </c>
      <c r="E119" s="302">
        <f t="shared" si="63"/>
        <v>8.4475966834480225</v>
      </c>
      <c r="F119" s="303"/>
      <c r="G119" s="302">
        <v>4.1774010829878403</v>
      </c>
      <c r="H119" s="302">
        <v>1.5987366193425323</v>
      </c>
      <c r="I119" s="302">
        <v>1.2405463970464836</v>
      </c>
      <c r="J119" s="302">
        <f t="shared" si="66"/>
        <v>7.0166840993768567</v>
      </c>
      <c r="K119" s="303"/>
      <c r="L119" s="302">
        <v>2.4068604929953361</v>
      </c>
      <c r="M119" s="302">
        <v>0.92697015950495232</v>
      </c>
      <c r="N119" s="302">
        <v>1.0415483140239254</v>
      </c>
      <c r="O119" s="302">
        <f t="shared" si="65"/>
        <v>4.375378966524214</v>
      </c>
    </row>
    <row r="120" spans="1:15" s="236" customFormat="1" x14ac:dyDescent="0.3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3">
      <c r="A121" s="244" t="s">
        <v>32</v>
      </c>
      <c r="B121" s="311">
        <f>SUM(B111:B119)</f>
        <v>37.073000000009344</v>
      </c>
      <c r="C121" s="311">
        <f t="shared" ref="C121:E121" si="67">SUM(C111:C119)</f>
        <v>10.062000000281662</v>
      </c>
      <c r="D121" s="311">
        <f t="shared" si="67"/>
        <v>9.1770000001283378</v>
      </c>
      <c r="E121" s="311">
        <f t="shared" si="67"/>
        <v>56.312000000419346</v>
      </c>
      <c r="F121" s="311"/>
      <c r="G121" s="311">
        <f t="shared" ref="G121:J121" si="68">SUM(G111:G119)</f>
        <v>33.295999999956862</v>
      </c>
      <c r="H121" s="311">
        <f t="shared" si="68"/>
        <v>9.5950000001903266</v>
      </c>
      <c r="I121" s="311">
        <f t="shared" si="68"/>
        <v>11.826999999844968</v>
      </c>
      <c r="J121" s="311">
        <f t="shared" si="68"/>
        <v>54.717999999992159</v>
      </c>
      <c r="K121" s="311"/>
      <c r="L121" s="311">
        <f t="shared" ref="L121:O121" si="69">SUM(L111:L119)</f>
        <v>25.574000000114228</v>
      </c>
      <c r="M121" s="311">
        <f t="shared" si="69"/>
        <v>7.1289999999642646</v>
      </c>
      <c r="N121" s="311">
        <f t="shared" si="69"/>
        <v>9.0530000000603579</v>
      </c>
      <c r="O121" s="311">
        <f t="shared" si="69"/>
        <v>41.756000000138854</v>
      </c>
    </row>
    <row r="122" spans="1:15" s="236" customFormat="1" x14ac:dyDescent="0.3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3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35</v>
      </c>
    </row>
    <row r="124" spans="1:15" s="236" customFormat="1" x14ac:dyDescent="0.3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3">
      <c r="A125" s="241" t="str">
        <f>name!A10</f>
        <v xml:space="preserve">Wood and cork </v>
      </c>
      <c r="B125" s="375">
        <f>$B$6</f>
        <v>2015</v>
      </c>
      <c r="C125" s="375"/>
      <c r="D125" s="375"/>
      <c r="E125" s="375"/>
      <c r="F125" s="263"/>
      <c r="G125" s="375">
        <f>$G$6</f>
        <v>2020</v>
      </c>
      <c r="H125" s="375"/>
      <c r="I125" s="375"/>
      <c r="J125" s="375"/>
      <c r="K125" s="263"/>
      <c r="L125" s="375">
        <f>$L$6</f>
        <v>2035</v>
      </c>
      <c r="M125" s="375"/>
      <c r="N125" s="375"/>
      <c r="O125" s="375"/>
    </row>
    <row r="126" spans="1:15" s="236" customFormat="1" x14ac:dyDescent="0.3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3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3">
      <c r="A128" s="237" t="str">
        <f>name!E$4</f>
        <v>Managers, directors and senior officials</v>
      </c>
      <c r="B128" s="302">
        <v>4.7576046172572273</v>
      </c>
      <c r="C128" s="302">
        <v>0.41508503239042338</v>
      </c>
      <c r="D128" s="302">
        <v>0.94852771637108824</v>
      </c>
      <c r="E128" s="302">
        <f>SUM(B128:D128)</f>
        <v>6.1212173660187386</v>
      </c>
      <c r="F128" s="303"/>
      <c r="G128" s="302">
        <v>6.9994701306481302</v>
      </c>
      <c r="H128" s="302">
        <v>0.72309936029844557</v>
      </c>
      <c r="I128" s="302">
        <v>2.0951697607516708</v>
      </c>
      <c r="J128" s="302">
        <f>SUM(G128:I128)</f>
        <v>9.8177392516982458</v>
      </c>
      <c r="K128" s="303"/>
      <c r="L128" s="302">
        <v>7.0314714912415193</v>
      </c>
      <c r="M128" s="302">
        <v>0.89804369854214194</v>
      </c>
      <c r="N128" s="302">
        <v>1.9506856611011676</v>
      </c>
      <c r="O128" s="302">
        <f>SUM(L128:N128)</f>
        <v>9.8802008508848296</v>
      </c>
    </row>
    <row r="129" spans="1:15" s="236" customFormat="1" x14ac:dyDescent="0.3">
      <c r="A129" s="237" t="str">
        <f>name!E$5</f>
        <v>Professional occupations</v>
      </c>
      <c r="B129" s="302">
        <v>3.6951111149717266</v>
      </c>
      <c r="C129" s="302">
        <v>0.28997489956639977</v>
      </c>
      <c r="D129" s="302">
        <v>0.30182642430001966</v>
      </c>
      <c r="E129" s="302">
        <f t="shared" ref="E129:E136" si="70">SUM(B129:D129)</f>
        <v>4.2869124388381454</v>
      </c>
      <c r="F129" s="303"/>
      <c r="G129" s="302">
        <v>6.1979345279019471</v>
      </c>
      <c r="H129" s="302">
        <v>0.41591586213006726</v>
      </c>
      <c r="I129" s="302">
        <v>0.57402992425148891</v>
      </c>
      <c r="J129" s="302">
        <f t="shared" ref="J129:J131" si="71">SUM(G129:I129)</f>
        <v>7.187880314283503</v>
      </c>
      <c r="K129" s="303"/>
      <c r="L129" s="302">
        <v>7.4456833077402766</v>
      </c>
      <c r="M129" s="302">
        <v>0.43548591762481009</v>
      </c>
      <c r="N129" s="302">
        <v>0.43354236876531643</v>
      </c>
      <c r="O129" s="302">
        <f t="shared" ref="O129:O136" si="72">SUM(L129:N129)</f>
        <v>8.3147115941304026</v>
      </c>
    </row>
    <row r="130" spans="1:15" s="236" customFormat="1" x14ac:dyDescent="0.3">
      <c r="A130" s="237" t="str">
        <f>name!E$6</f>
        <v>Associate professional occupations</v>
      </c>
      <c r="B130" s="302">
        <v>5.0691463574588287</v>
      </c>
      <c r="C130" s="302">
        <v>0.39318347364718692</v>
      </c>
      <c r="D130" s="302">
        <v>0.25006452808017787</v>
      </c>
      <c r="E130" s="302">
        <f t="shared" si="70"/>
        <v>5.7123943591861934</v>
      </c>
      <c r="F130" s="303"/>
      <c r="G130" s="302">
        <v>7.6880493741696974</v>
      </c>
      <c r="H130" s="302">
        <v>0.52298636946613097</v>
      </c>
      <c r="I130" s="302">
        <v>0.47711231618206645</v>
      </c>
      <c r="J130" s="302">
        <f t="shared" si="71"/>
        <v>8.6881480598178964</v>
      </c>
      <c r="K130" s="303"/>
      <c r="L130" s="302">
        <v>7.3046459503716505</v>
      </c>
      <c r="M130" s="302">
        <v>0.45046822482652293</v>
      </c>
      <c r="N130" s="302">
        <v>0.40298654320471483</v>
      </c>
      <c r="O130" s="302">
        <f t="shared" si="72"/>
        <v>8.1581007184028884</v>
      </c>
    </row>
    <row r="131" spans="1:15" s="236" customFormat="1" x14ac:dyDescent="0.3">
      <c r="A131" s="237" t="str">
        <f>name!E$7</f>
        <v>Administrative and secretarial occupations</v>
      </c>
      <c r="B131" s="302">
        <v>2.6177948157856772</v>
      </c>
      <c r="C131" s="302">
        <v>3.1852890574309858</v>
      </c>
      <c r="D131" s="302">
        <v>0.11441251858845017</v>
      </c>
      <c r="E131" s="302">
        <f t="shared" si="70"/>
        <v>5.9174963918051127</v>
      </c>
      <c r="F131" s="303"/>
      <c r="G131" s="302">
        <v>3.3223444036550185</v>
      </c>
      <c r="H131" s="302">
        <v>2.0243425742840677</v>
      </c>
      <c r="I131" s="302">
        <v>0.16340745204216492</v>
      </c>
      <c r="J131" s="302">
        <f t="shared" si="71"/>
        <v>5.5100944299812511</v>
      </c>
      <c r="K131" s="303"/>
      <c r="L131" s="302">
        <v>2.7392954635375415</v>
      </c>
      <c r="M131" s="302">
        <v>1.5799773990102008</v>
      </c>
      <c r="N131" s="302">
        <v>0.14663451601271676</v>
      </c>
      <c r="O131" s="302">
        <f t="shared" si="72"/>
        <v>4.4659073785604591</v>
      </c>
    </row>
    <row r="132" spans="1:15" s="236" customFormat="1" x14ac:dyDescent="0.3">
      <c r="A132" s="237" t="str">
        <f>name!E$8</f>
        <v>Skilled trades occupations</v>
      </c>
      <c r="B132" s="302">
        <v>21.542754066633567</v>
      </c>
      <c r="C132" s="302">
        <v>1.0496382600331475</v>
      </c>
      <c r="D132" s="302">
        <v>6.8563635188408023</v>
      </c>
      <c r="E132" s="302">
        <f t="shared" si="70"/>
        <v>29.448755845507517</v>
      </c>
      <c r="F132" s="303"/>
      <c r="G132" s="302">
        <v>19.955955318608126</v>
      </c>
      <c r="H132" s="302">
        <v>1.0064921352425331</v>
      </c>
      <c r="I132" s="302">
        <v>8.3945145957079692</v>
      </c>
      <c r="J132" s="302">
        <f>SUM(G132:I132)</f>
        <v>29.356962049558625</v>
      </c>
      <c r="K132" s="303"/>
      <c r="L132" s="302">
        <v>17.390878878281153</v>
      </c>
      <c r="M132" s="302">
        <v>1.2962377634700311</v>
      </c>
      <c r="N132" s="302">
        <v>6.9883019404323896</v>
      </c>
      <c r="O132" s="302">
        <f t="shared" si="72"/>
        <v>25.675418582183575</v>
      </c>
    </row>
    <row r="133" spans="1:15" s="236" customFormat="1" x14ac:dyDescent="0.3">
      <c r="A133" s="237" t="str">
        <f>name!E$9</f>
        <v>Caring, leisure and other service occupations</v>
      </c>
      <c r="B133" s="302">
        <v>0.7154064118607758</v>
      </c>
      <c r="C133" s="302">
        <v>0.35815220384746171</v>
      </c>
      <c r="D133" s="302">
        <v>0.22251894056570687</v>
      </c>
      <c r="E133" s="302">
        <f t="shared" si="70"/>
        <v>1.2960775562739444</v>
      </c>
      <c r="F133" s="303"/>
      <c r="G133" s="302">
        <v>0.87387068176721094</v>
      </c>
      <c r="H133" s="302">
        <v>0.45912496506536077</v>
      </c>
      <c r="I133" s="302">
        <v>0.36212264999052401</v>
      </c>
      <c r="J133" s="302">
        <f t="shared" ref="J133:J136" si="73">SUM(G133:I133)</f>
        <v>1.6951182968230958</v>
      </c>
      <c r="K133" s="303"/>
      <c r="L133" s="302">
        <v>1.0281030619285807</v>
      </c>
      <c r="M133" s="302">
        <v>0.55759431002455428</v>
      </c>
      <c r="N133" s="302">
        <v>0.52697457566233552</v>
      </c>
      <c r="O133" s="302">
        <f t="shared" si="72"/>
        <v>2.1126719476154707</v>
      </c>
    </row>
    <row r="134" spans="1:15" s="236" customFormat="1" x14ac:dyDescent="0.3">
      <c r="A134" s="237" t="str">
        <f>name!E$10</f>
        <v>Sales and customer service occupations</v>
      </c>
      <c r="B134" s="302">
        <v>1.2795964182080442</v>
      </c>
      <c r="C134" s="302">
        <v>0.6877038102925972</v>
      </c>
      <c r="D134" s="302">
        <v>0.17933094781206715</v>
      </c>
      <c r="E134" s="302">
        <f t="shared" si="70"/>
        <v>2.1466311763127086</v>
      </c>
      <c r="F134" s="303"/>
      <c r="G134" s="302">
        <v>1.3916129087839468</v>
      </c>
      <c r="H134" s="302">
        <v>0.53231948224043202</v>
      </c>
      <c r="I134" s="302">
        <v>0.25182374818427938</v>
      </c>
      <c r="J134" s="302">
        <f t="shared" si="73"/>
        <v>2.1757561392086582</v>
      </c>
      <c r="K134" s="303"/>
      <c r="L134" s="302">
        <v>1.4057321899160602</v>
      </c>
      <c r="M134" s="302">
        <v>0.5560897061044674</v>
      </c>
      <c r="N134" s="302">
        <v>0.16449192812972013</v>
      </c>
      <c r="O134" s="302">
        <f t="shared" si="72"/>
        <v>2.1263138241502477</v>
      </c>
    </row>
    <row r="135" spans="1:15" s="236" customFormat="1" x14ac:dyDescent="0.3">
      <c r="A135" s="237" t="str">
        <f>name!E$11</f>
        <v>Process, plant and machine operatives</v>
      </c>
      <c r="B135" s="302">
        <v>15.950672304342291</v>
      </c>
      <c r="C135" s="302">
        <v>0.95393613099826646</v>
      </c>
      <c r="D135" s="302">
        <v>0.80847963058872196</v>
      </c>
      <c r="E135" s="302">
        <f t="shared" si="70"/>
        <v>17.713088065929277</v>
      </c>
      <c r="F135" s="303"/>
      <c r="G135" s="302">
        <v>15.28683543136945</v>
      </c>
      <c r="H135" s="302">
        <v>1.2497145408990191</v>
      </c>
      <c r="I135" s="302">
        <v>1.5187768842199858</v>
      </c>
      <c r="J135" s="302">
        <f t="shared" si="73"/>
        <v>18.055326856488456</v>
      </c>
      <c r="K135" s="303"/>
      <c r="L135" s="302">
        <v>15.88999391146845</v>
      </c>
      <c r="M135" s="302">
        <v>1.4646208799394875</v>
      </c>
      <c r="N135" s="302">
        <v>1.6206175094917705</v>
      </c>
      <c r="O135" s="302">
        <f t="shared" si="72"/>
        <v>18.975232300899705</v>
      </c>
    </row>
    <row r="136" spans="1:15" s="236" customFormat="1" x14ac:dyDescent="0.3">
      <c r="A136" s="237" t="str">
        <f>name!E$12</f>
        <v>Elementary occupations</v>
      </c>
      <c r="B136" s="302">
        <v>4.1269138934897853</v>
      </c>
      <c r="C136" s="302">
        <v>0.92803713189456649</v>
      </c>
      <c r="D136" s="302">
        <v>2.0744757746889291</v>
      </c>
      <c r="E136" s="302">
        <f t="shared" si="70"/>
        <v>7.129426800073281</v>
      </c>
      <c r="F136" s="303"/>
      <c r="G136" s="302">
        <v>3.8869272230798457</v>
      </c>
      <c r="H136" s="302">
        <v>0.8570047104152213</v>
      </c>
      <c r="I136" s="302">
        <v>2.6810426683816666</v>
      </c>
      <c r="J136" s="302">
        <f t="shared" si="73"/>
        <v>7.424974601876734</v>
      </c>
      <c r="K136" s="303"/>
      <c r="L136" s="302">
        <v>2.3981957460603986</v>
      </c>
      <c r="M136" s="302">
        <v>0.59548210047084804</v>
      </c>
      <c r="N136" s="302">
        <v>2.5287649567240065</v>
      </c>
      <c r="O136" s="302">
        <f t="shared" si="72"/>
        <v>5.5224428032552533</v>
      </c>
    </row>
    <row r="137" spans="1:15" s="236" customFormat="1" x14ac:dyDescent="0.3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3">
      <c r="A138" s="244" t="s">
        <v>32</v>
      </c>
      <c r="B138" s="311">
        <f>SUM(B128:B136)</f>
        <v>59.755000000007918</v>
      </c>
      <c r="C138" s="311">
        <f t="shared" ref="C138:E138" si="74">SUM(C128:C136)</f>
        <v>8.2610000001010366</v>
      </c>
      <c r="D138" s="311">
        <f t="shared" si="74"/>
        <v>11.755999999835964</v>
      </c>
      <c r="E138" s="311">
        <f t="shared" si="74"/>
        <v>79.77199999994491</v>
      </c>
      <c r="F138" s="311"/>
      <c r="G138" s="311">
        <f t="shared" ref="G138:J138" si="75">SUM(G128:G136)</f>
        <v>65.602999999983382</v>
      </c>
      <c r="H138" s="311">
        <f t="shared" si="75"/>
        <v>7.7910000000412785</v>
      </c>
      <c r="I138" s="311">
        <f t="shared" si="75"/>
        <v>16.517999999711815</v>
      </c>
      <c r="J138" s="311">
        <f t="shared" si="75"/>
        <v>89.911999999736452</v>
      </c>
      <c r="K138" s="311"/>
      <c r="L138" s="311">
        <f t="shared" ref="L138:O138" si="76">SUM(L128:L136)</f>
        <v>62.634000000545626</v>
      </c>
      <c r="M138" s="311">
        <f t="shared" si="76"/>
        <v>7.8340000000130647</v>
      </c>
      <c r="N138" s="311">
        <f t="shared" si="76"/>
        <v>14.762999999524137</v>
      </c>
      <c r="O138" s="311">
        <f t="shared" si="76"/>
        <v>85.23100000008283</v>
      </c>
    </row>
    <row r="139" spans="1:15" s="236" customFormat="1" x14ac:dyDescent="0.3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3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35</v>
      </c>
    </row>
    <row r="141" spans="1:15" s="236" customFormat="1" x14ac:dyDescent="0.3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3">
      <c r="A142" s="241" t="str">
        <f>name!A11</f>
        <v>Paper, etc</v>
      </c>
      <c r="B142" s="375">
        <f>$B$6</f>
        <v>2015</v>
      </c>
      <c r="C142" s="375"/>
      <c r="D142" s="375"/>
      <c r="E142" s="375"/>
      <c r="F142" s="263"/>
      <c r="G142" s="375">
        <f>$G$6</f>
        <v>2020</v>
      </c>
      <c r="H142" s="375"/>
      <c r="I142" s="375"/>
      <c r="J142" s="375"/>
      <c r="K142" s="263"/>
      <c r="L142" s="375">
        <f>$L$6</f>
        <v>2035</v>
      </c>
      <c r="M142" s="375"/>
      <c r="N142" s="375"/>
      <c r="O142" s="375"/>
    </row>
    <row r="143" spans="1:15" s="236" customFormat="1" x14ac:dyDescent="0.3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3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3">
      <c r="A145" s="237" t="str">
        <f>name!E$4</f>
        <v>Managers, directors and senior officials</v>
      </c>
      <c r="B145" s="302">
        <v>5.6817446413393107</v>
      </c>
      <c r="C145" s="302">
        <v>0.1836801750110684</v>
      </c>
      <c r="D145" s="302">
        <v>2.5667941321395018</v>
      </c>
      <c r="E145" s="302">
        <f>SUM(B145:D145)</f>
        <v>8.4322189484898811</v>
      </c>
      <c r="F145" s="303"/>
      <c r="G145" s="302">
        <v>6.4110049249808618</v>
      </c>
      <c r="H145" s="302">
        <v>0.23407433460666599</v>
      </c>
      <c r="I145" s="302">
        <v>0.31104912060709322</v>
      </c>
      <c r="J145" s="302">
        <f>SUM(G145:I145)</f>
        <v>6.9561283801946203</v>
      </c>
      <c r="K145" s="303"/>
      <c r="L145" s="302">
        <v>6.8905276419203307</v>
      </c>
      <c r="M145" s="302">
        <v>0.29372324397518002</v>
      </c>
      <c r="N145" s="302">
        <v>0.38965406650716411</v>
      </c>
      <c r="O145" s="302">
        <f>SUM(L145:N145)</f>
        <v>7.5739049524026747</v>
      </c>
    </row>
    <row r="146" spans="1:15" s="236" customFormat="1" x14ac:dyDescent="0.3">
      <c r="A146" s="237" t="str">
        <f>name!E$5</f>
        <v>Professional occupations</v>
      </c>
      <c r="B146" s="302">
        <v>5.0404557108061763</v>
      </c>
      <c r="C146" s="302">
        <v>0.2158165849157736</v>
      </c>
      <c r="D146" s="302">
        <v>1.0739902647194166</v>
      </c>
      <c r="E146" s="302">
        <f t="shared" ref="E146:E153" si="77">SUM(B146:D146)</f>
        <v>6.3302625604413665</v>
      </c>
      <c r="F146" s="303"/>
      <c r="G146" s="302">
        <v>6.3571152049663757</v>
      </c>
      <c r="H146" s="302">
        <v>0.25111106558541624</v>
      </c>
      <c r="I146" s="302">
        <v>0.15940433371275109</v>
      </c>
      <c r="J146" s="302">
        <f t="shared" ref="J146:J148" si="78">SUM(G146:I146)</f>
        <v>6.7676306042645429</v>
      </c>
      <c r="K146" s="303"/>
      <c r="L146" s="302">
        <v>7.6571397845805169</v>
      </c>
      <c r="M146" s="302">
        <v>0.33195373502445974</v>
      </c>
      <c r="N146" s="302">
        <v>0.15555942349514931</v>
      </c>
      <c r="O146" s="302">
        <f t="shared" ref="O146:O153" si="79">SUM(L146:N146)</f>
        <v>8.1446529431001249</v>
      </c>
    </row>
    <row r="147" spans="1:15" s="236" customFormat="1" x14ac:dyDescent="0.3">
      <c r="A147" s="237" t="str">
        <f>name!E$6</f>
        <v>Associate professional occupations</v>
      </c>
      <c r="B147" s="302">
        <v>5.191167846173812</v>
      </c>
      <c r="C147" s="302">
        <v>0.5206600863158245</v>
      </c>
      <c r="D147" s="302">
        <v>1.4085345262215547</v>
      </c>
      <c r="E147" s="302">
        <f t="shared" si="77"/>
        <v>7.1203624587111909</v>
      </c>
      <c r="F147" s="303"/>
      <c r="G147" s="302">
        <v>6.2302795045820831</v>
      </c>
      <c r="H147" s="302">
        <v>0.48194035820155012</v>
      </c>
      <c r="I147" s="302">
        <v>0.32899592145381373</v>
      </c>
      <c r="J147" s="302">
        <f t="shared" si="78"/>
        <v>7.0412157842374468</v>
      </c>
      <c r="K147" s="303"/>
      <c r="L147" s="302">
        <v>6.3520275701840987</v>
      </c>
      <c r="M147" s="302">
        <v>0.43988783126135089</v>
      </c>
      <c r="N147" s="302">
        <v>0.38330705762564021</v>
      </c>
      <c r="O147" s="302">
        <f t="shared" si="79"/>
        <v>7.1752224590710902</v>
      </c>
    </row>
    <row r="148" spans="1:15" s="236" customFormat="1" x14ac:dyDescent="0.3">
      <c r="A148" s="237" t="str">
        <f>name!E$7</f>
        <v>Administrative and secretarial occupations</v>
      </c>
      <c r="B148" s="302">
        <v>2.8621002948141006</v>
      </c>
      <c r="C148" s="302">
        <v>0.99969327221044513</v>
      </c>
      <c r="D148" s="302">
        <v>0.27853894405471247</v>
      </c>
      <c r="E148" s="302">
        <f t="shared" si="77"/>
        <v>4.1403325110792579</v>
      </c>
      <c r="F148" s="303"/>
      <c r="G148" s="302">
        <v>2.9875913388821602</v>
      </c>
      <c r="H148" s="302">
        <v>0.40183722349819323</v>
      </c>
      <c r="I148" s="302">
        <v>5.361185424987322E-2</v>
      </c>
      <c r="J148" s="302">
        <f t="shared" si="78"/>
        <v>3.4430404166302266</v>
      </c>
      <c r="K148" s="303"/>
      <c r="L148" s="302">
        <v>2.5537246533783819</v>
      </c>
      <c r="M148" s="302">
        <v>0.3389167365190866</v>
      </c>
      <c r="N148" s="302">
        <v>4.0612340961493798E-2</v>
      </c>
      <c r="O148" s="302">
        <f t="shared" si="79"/>
        <v>2.9332537308589623</v>
      </c>
    </row>
    <row r="149" spans="1:15" s="236" customFormat="1" x14ac:dyDescent="0.3">
      <c r="A149" s="237" t="str">
        <f>name!E$8</f>
        <v>Skilled trades occupations</v>
      </c>
      <c r="B149" s="302">
        <v>10.630818262032397</v>
      </c>
      <c r="C149" s="302">
        <v>0.24409498089576948</v>
      </c>
      <c r="D149" s="302">
        <v>2.3903928857581924</v>
      </c>
      <c r="E149" s="302">
        <f t="shared" si="77"/>
        <v>13.265306128686358</v>
      </c>
      <c r="F149" s="303"/>
      <c r="G149" s="302">
        <v>8.3154428955465178</v>
      </c>
      <c r="H149" s="302">
        <v>0.18026461299199056</v>
      </c>
      <c r="I149" s="302">
        <v>0.1969446050337238</v>
      </c>
      <c r="J149" s="302">
        <f>SUM(G149:I149)</f>
        <v>8.6926521135722332</v>
      </c>
      <c r="K149" s="303"/>
      <c r="L149" s="302">
        <v>6.6575680733032696</v>
      </c>
      <c r="M149" s="302">
        <v>0.20502415716993647</v>
      </c>
      <c r="N149" s="302">
        <v>0.22087773719175183</v>
      </c>
      <c r="O149" s="302">
        <f t="shared" si="79"/>
        <v>7.083469967664958</v>
      </c>
    </row>
    <row r="150" spans="1:15" s="236" customFormat="1" x14ac:dyDescent="0.3">
      <c r="A150" s="237" t="str">
        <f>name!E$9</f>
        <v>Caring, leisure and other service occupations</v>
      </c>
      <c r="B150" s="302">
        <v>0.61058267553464929</v>
      </c>
      <c r="C150" s="302">
        <v>0.1850109199089508</v>
      </c>
      <c r="D150" s="302">
        <v>7.9543257021859312E-2</v>
      </c>
      <c r="E150" s="302">
        <f t="shared" si="77"/>
        <v>0.87513685246545936</v>
      </c>
      <c r="F150" s="303"/>
      <c r="G150" s="302">
        <v>0.5942196040860539</v>
      </c>
      <c r="H150" s="302">
        <v>8.3654260020069787E-2</v>
      </c>
      <c r="I150" s="302">
        <v>6.1593724577744646E-2</v>
      </c>
      <c r="J150" s="302">
        <f t="shared" ref="J150:J153" si="80">SUM(G150:I150)</f>
        <v>0.73946758868386842</v>
      </c>
      <c r="K150" s="303"/>
      <c r="L150" s="302">
        <v>0.54764912253461606</v>
      </c>
      <c r="M150" s="302">
        <v>7.544013075589534E-2</v>
      </c>
      <c r="N150" s="302">
        <v>5.8412002507927843E-2</v>
      </c>
      <c r="O150" s="302">
        <f t="shared" si="79"/>
        <v>0.68150125579843934</v>
      </c>
    </row>
    <row r="151" spans="1:15" s="236" customFormat="1" x14ac:dyDescent="0.3">
      <c r="A151" s="237" t="str">
        <f>name!E$10</f>
        <v>Sales and customer service occupations</v>
      </c>
      <c r="B151" s="302">
        <v>1.0835391467731503</v>
      </c>
      <c r="C151" s="302">
        <v>0.44145877539928735</v>
      </c>
      <c r="D151" s="302">
        <v>0.44003070582678344</v>
      </c>
      <c r="E151" s="302">
        <f t="shared" si="77"/>
        <v>1.9650286279992211</v>
      </c>
      <c r="F151" s="303"/>
      <c r="G151" s="302">
        <v>1.1136507414709194</v>
      </c>
      <c r="H151" s="302">
        <v>0.23629428112581854</v>
      </c>
      <c r="I151" s="302">
        <v>5.1890914536649194E-2</v>
      </c>
      <c r="J151" s="302">
        <f t="shared" si="80"/>
        <v>1.4018359371333873</v>
      </c>
      <c r="K151" s="303"/>
      <c r="L151" s="302">
        <v>1.2905988065747327</v>
      </c>
      <c r="M151" s="302">
        <v>0.23252188682519745</v>
      </c>
      <c r="N151" s="302">
        <v>5.4510753775440304E-2</v>
      </c>
      <c r="O151" s="302">
        <f t="shared" si="79"/>
        <v>1.5776314471753705</v>
      </c>
    </row>
    <row r="152" spans="1:15" s="236" customFormat="1" x14ac:dyDescent="0.3">
      <c r="A152" s="237" t="str">
        <f>name!E$11</f>
        <v>Process, plant and machine operatives</v>
      </c>
      <c r="B152" s="302">
        <v>15.433662597487841</v>
      </c>
      <c r="C152" s="302">
        <v>0.46981567427963372</v>
      </c>
      <c r="D152" s="302">
        <v>0.34893984732559669</v>
      </c>
      <c r="E152" s="302">
        <f t="shared" si="77"/>
        <v>16.252418119093072</v>
      </c>
      <c r="F152" s="303"/>
      <c r="G152" s="302">
        <v>11.721263893464602</v>
      </c>
      <c r="H152" s="302">
        <v>0.40320989589929118</v>
      </c>
      <c r="I152" s="302">
        <v>6.7541952087893917E-2</v>
      </c>
      <c r="J152" s="302">
        <f t="shared" si="80"/>
        <v>12.192015741451787</v>
      </c>
      <c r="K152" s="303"/>
      <c r="L152" s="302">
        <v>10.529701565092875</v>
      </c>
      <c r="M152" s="302">
        <v>0.46065528996581823</v>
      </c>
      <c r="N152" s="302">
        <v>0.10690846430093626</v>
      </c>
      <c r="O152" s="302">
        <f t="shared" si="79"/>
        <v>11.097265319359629</v>
      </c>
    </row>
    <row r="153" spans="1:15" s="236" customFormat="1" x14ac:dyDescent="0.3">
      <c r="A153" s="237" t="str">
        <f>name!E$12</f>
        <v>Elementary occupations</v>
      </c>
      <c r="B153" s="302">
        <v>5.8799288250033044</v>
      </c>
      <c r="C153" s="302">
        <v>1.2507695311424682</v>
      </c>
      <c r="D153" s="302">
        <v>0.65523543703818954</v>
      </c>
      <c r="E153" s="302">
        <f t="shared" si="77"/>
        <v>7.7859337931839629</v>
      </c>
      <c r="F153" s="303"/>
      <c r="G153" s="302">
        <v>4.7604318920431083</v>
      </c>
      <c r="H153" s="302">
        <v>0.94461396808600162</v>
      </c>
      <c r="I153" s="302">
        <v>0.15196757373784289</v>
      </c>
      <c r="J153" s="302">
        <f t="shared" si="80"/>
        <v>5.8570134338669533</v>
      </c>
      <c r="K153" s="303"/>
      <c r="L153" s="302">
        <v>3.0850627826382944</v>
      </c>
      <c r="M153" s="302">
        <v>0.79787698850728661</v>
      </c>
      <c r="N153" s="302">
        <v>0.16815815364964329</v>
      </c>
      <c r="O153" s="302">
        <f t="shared" si="79"/>
        <v>4.0510979247952248</v>
      </c>
    </row>
    <row r="154" spans="1:15" s="236" customFormat="1" x14ac:dyDescent="0.3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3">
      <c r="A155" s="244" t="s">
        <v>32</v>
      </c>
      <c r="B155" s="311">
        <f>SUM(B145:B153)</f>
        <v>52.413999999964737</v>
      </c>
      <c r="C155" s="311">
        <f t="shared" ref="C155:E155" si="81">SUM(C145:C153)</f>
        <v>4.5110000000792212</v>
      </c>
      <c r="D155" s="311">
        <f t="shared" si="81"/>
        <v>9.242000000105806</v>
      </c>
      <c r="E155" s="311">
        <f t="shared" si="81"/>
        <v>66.16700000014977</v>
      </c>
      <c r="F155" s="311"/>
      <c r="G155" s="311">
        <f t="shared" ref="G155:J155" si="82">SUM(G145:G153)</f>
        <v>48.49100000002268</v>
      </c>
      <c r="H155" s="311">
        <f t="shared" si="82"/>
        <v>3.2170000000149974</v>
      </c>
      <c r="I155" s="311">
        <f t="shared" si="82"/>
        <v>1.3829999999973859</v>
      </c>
      <c r="J155" s="311">
        <f t="shared" si="82"/>
        <v>53.091000000035052</v>
      </c>
      <c r="K155" s="311"/>
      <c r="L155" s="311">
        <f t="shared" ref="L155:O155" si="83">SUM(L145:L153)</f>
        <v>45.564000000207116</v>
      </c>
      <c r="M155" s="311">
        <f t="shared" si="83"/>
        <v>3.1760000000042115</v>
      </c>
      <c r="N155" s="311">
        <f t="shared" si="83"/>
        <v>1.5780000000151468</v>
      </c>
      <c r="O155" s="311">
        <f t="shared" si="83"/>
        <v>50.318000000226469</v>
      </c>
    </row>
    <row r="156" spans="1:15" s="236" customFormat="1" x14ac:dyDescent="0.3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3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35</v>
      </c>
    </row>
    <row r="158" spans="1:15" s="236" customFormat="1" x14ac:dyDescent="0.3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3">
      <c r="A159" s="241" t="str">
        <f>name!A12</f>
        <v>Printing and recording</v>
      </c>
      <c r="B159" s="375">
        <f>$B$6</f>
        <v>2015</v>
      </c>
      <c r="C159" s="375"/>
      <c r="D159" s="375"/>
      <c r="E159" s="375"/>
      <c r="F159" s="263"/>
      <c r="G159" s="375">
        <f>$G$6</f>
        <v>2020</v>
      </c>
      <c r="H159" s="375"/>
      <c r="I159" s="375"/>
      <c r="J159" s="375"/>
      <c r="K159" s="263"/>
      <c r="L159" s="375">
        <f>$L$6</f>
        <v>2035</v>
      </c>
      <c r="M159" s="375"/>
      <c r="N159" s="375"/>
      <c r="O159" s="375"/>
    </row>
    <row r="160" spans="1:15" s="236" customFormat="1" x14ac:dyDescent="0.3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3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3">
      <c r="A162" s="237" t="str">
        <f>name!E$4</f>
        <v>Managers, directors and senior officials</v>
      </c>
      <c r="B162" s="302">
        <v>17.843449855534029</v>
      </c>
      <c r="C162" s="302">
        <v>0.52819868417263471</v>
      </c>
      <c r="D162" s="302">
        <v>3.3914305287633444</v>
      </c>
      <c r="E162" s="302">
        <f>SUM(B162:D162)</f>
        <v>21.763079068470006</v>
      </c>
      <c r="F162" s="303"/>
      <c r="G162" s="302">
        <v>14.177480763192015</v>
      </c>
      <c r="H162" s="302">
        <v>1.1107377633932434</v>
      </c>
      <c r="I162" s="302">
        <v>1.4166809117287193</v>
      </c>
      <c r="J162" s="302">
        <f>SUM(G162:I162)</f>
        <v>16.70489943831398</v>
      </c>
      <c r="K162" s="303"/>
      <c r="L162" s="302">
        <v>11.636853466450885</v>
      </c>
      <c r="M162" s="302">
        <v>1.1982056130984373</v>
      </c>
      <c r="N162" s="302">
        <v>1.3404707545368919</v>
      </c>
      <c r="O162" s="302">
        <f>SUM(L162:N162)</f>
        <v>14.175529834086214</v>
      </c>
    </row>
    <row r="163" spans="1:15" s="236" customFormat="1" x14ac:dyDescent="0.3">
      <c r="A163" s="237" t="str">
        <f>name!E$5</f>
        <v>Professional occupations</v>
      </c>
      <c r="B163" s="302">
        <v>15.035392925600602</v>
      </c>
      <c r="C163" s="302">
        <v>0.94105692304913968</v>
      </c>
      <c r="D163" s="302">
        <v>2.1122923143824317</v>
      </c>
      <c r="E163" s="302">
        <f t="shared" ref="E163:E170" si="84">SUM(B163:D163)</f>
        <v>18.088742163032173</v>
      </c>
      <c r="F163" s="303"/>
      <c r="G163" s="302">
        <v>13.382473870449207</v>
      </c>
      <c r="H163" s="302">
        <v>1.4188078531940651</v>
      </c>
      <c r="I163" s="302">
        <v>0.93540037777037</v>
      </c>
      <c r="J163" s="302">
        <f t="shared" ref="J163:J165" si="85">SUM(G163:I163)</f>
        <v>15.736682101413642</v>
      </c>
      <c r="K163" s="303"/>
      <c r="L163" s="302">
        <v>12.299359322439502</v>
      </c>
      <c r="M163" s="302">
        <v>1.4930137901327907</v>
      </c>
      <c r="N163" s="302">
        <v>0.66539871653816562</v>
      </c>
      <c r="O163" s="302">
        <f t="shared" ref="O163:O170" si="86">SUM(L163:N163)</f>
        <v>14.457771829110458</v>
      </c>
    </row>
    <row r="164" spans="1:15" s="236" customFormat="1" x14ac:dyDescent="0.3">
      <c r="A164" s="237" t="str">
        <f>name!E$6</f>
        <v>Associate professional occupations</v>
      </c>
      <c r="B164" s="302">
        <v>17.806776344703742</v>
      </c>
      <c r="C164" s="302">
        <v>2.3169249336856845</v>
      </c>
      <c r="D164" s="302">
        <v>5.4127416642919126</v>
      </c>
      <c r="E164" s="302">
        <f t="shared" si="84"/>
        <v>25.53644294268134</v>
      </c>
      <c r="F164" s="303"/>
      <c r="G164" s="302">
        <v>14.584293591104267</v>
      </c>
      <c r="H164" s="302">
        <v>2.8452322499456493</v>
      </c>
      <c r="I164" s="302">
        <v>2.7239865516108592</v>
      </c>
      <c r="J164" s="302">
        <f t="shared" si="85"/>
        <v>20.153512392660776</v>
      </c>
      <c r="K164" s="303"/>
      <c r="L164" s="302">
        <v>11.855478555967835</v>
      </c>
      <c r="M164" s="302">
        <v>2.3745776976678949</v>
      </c>
      <c r="N164" s="302">
        <v>2.2366987289645635</v>
      </c>
      <c r="O164" s="302">
        <f t="shared" si="86"/>
        <v>16.466754982600293</v>
      </c>
    </row>
    <row r="165" spans="1:15" s="236" customFormat="1" x14ac:dyDescent="0.3">
      <c r="A165" s="237" t="str">
        <f>name!E$7</f>
        <v>Administrative and secretarial occupations</v>
      </c>
      <c r="B165" s="302">
        <v>7.350515403642814</v>
      </c>
      <c r="C165" s="302">
        <v>3.283232353773073</v>
      </c>
      <c r="D165" s="302">
        <v>0.6221025300979004</v>
      </c>
      <c r="E165" s="302">
        <f t="shared" si="84"/>
        <v>11.255850287513786</v>
      </c>
      <c r="F165" s="303"/>
      <c r="G165" s="302">
        <v>5.2904490214928339</v>
      </c>
      <c r="H165" s="302">
        <v>2.7970362101782986</v>
      </c>
      <c r="I165" s="302">
        <v>0.22504070236338047</v>
      </c>
      <c r="J165" s="302">
        <f t="shared" si="85"/>
        <v>8.3125259340345128</v>
      </c>
      <c r="K165" s="303"/>
      <c r="L165" s="302">
        <v>3.6014734820225898</v>
      </c>
      <c r="M165" s="302">
        <v>1.9188348409137634</v>
      </c>
      <c r="N165" s="302">
        <v>0.12192497483291133</v>
      </c>
      <c r="O165" s="302">
        <f t="shared" si="86"/>
        <v>5.6422332977692644</v>
      </c>
    </row>
    <row r="166" spans="1:15" s="236" customFormat="1" x14ac:dyDescent="0.3">
      <c r="A166" s="237" t="str">
        <f>name!E$8</f>
        <v>Skilled trades occupations</v>
      </c>
      <c r="B166" s="302">
        <v>18.030005801210248</v>
      </c>
      <c r="C166" s="302">
        <v>0.52515942571813456</v>
      </c>
      <c r="D166" s="302">
        <v>2.2191106050533098</v>
      </c>
      <c r="E166" s="302">
        <f t="shared" si="84"/>
        <v>20.77427583198169</v>
      </c>
      <c r="F166" s="303"/>
      <c r="G166" s="302">
        <v>10.627555535958654</v>
      </c>
      <c r="H166" s="302">
        <v>0.74081331148113128</v>
      </c>
      <c r="I166" s="302">
        <v>0.69313841481539751</v>
      </c>
      <c r="J166" s="302">
        <f>SUM(G166:I166)</f>
        <v>12.061507262255184</v>
      </c>
      <c r="K166" s="303"/>
      <c r="L166" s="302">
        <v>6.380482675866114</v>
      </c>
      <c r="M166" s="302">
        <v>0.71410149833928516</v>
      </c>
      <c r="N166" s="302">
        <v>0.61368898418410101</v>
      </c>
      <c r="O166" s="302">
        <f t="shared" si="86"/>
        <v>7.7082731583894999</v>
      </c>
    </row>
    <row r="167" spans="1:15" s="236" customFormat="1" x14ac:dyDescent="0.3">
      <c r="A167" s="237" t="str">
        <f>name!E$9</f>
        <v>Caring, leisure and other service occupations</v>
      </c>
      <c r="B167" s="302">
        <v>0.39385584643498467</v>
      </c>
      <c r="C167" s="302">
        <v>0.16854079418269699</v>
      </c>
      <c r="D167" s="302">
        <v>0.20753155709966348</v>
      </c>
      <c r="E167" s="302">
        <f t="shared" si="84"/>
        <v>0.76992819771734511</v>
      </c>
      <c r="F167" s="303"/>
      <c r="G167" s="302">
        <v>0.29391059227803279</v>
      </c>
      <c r="H167" s="302">
        <v>0.2024516351136969</v>
      </c>
      <c r="I167" s="302">
        <v>0.12983964272929427</v>
      </c>
      <c r="J167" s="302">
        <f t="shared" ref="J167:J170" si="87">SUM(G167:I167)</f>
        <v>0.62620187012102391</v>
      </c>
      <c r="K167" s="303"/>
      <c r="L167" s="302">
        <v>0.25419709769581766</v>
      </c>
      <c r="M167" s="302">
        <v>0.15642619793014362</v>
      </c>
      <c r="N167" s="302">
        <v>0.10650052882155286</v>
      </c>
      <c r="O167" s="302">
        <f t="shared" si="86"/>
        <v>0.51712382444751415</v>
      </c>
    </row>
    <row r="168" spans="1:15" s="236" customFormat="1" x14ac:dyDescent="0.3">
      <c r="A168" s="237" t="str">
        <f>name!E$10</f>
        <v>Sales and customer service occupations</v>
      </c>
      <c r="B168" s="302">
        <v>4.6498479768099754</v>
      </c>
      <c r="C168" s="302">
        <v>1.0380038562320519</v>
      </c>
      <c r="D168" s="302">
        <v>0.75437830083365986</v>
      </c>
      <c r="E168" s="302">
        <f t="shared" si="84"/>
        <v>6.4422301338756878</v>
      </c>
      <c r="F168" s="303"/>
      <c r="G168" s="302">
        <v>3.1495016769385731</v>
      </c>
      <c r="H168" s="302">
        <v>1.1158727398793782</v>
      </c>
      <c r="I168" s="302">
        <v>0.23997214599319203</v>
      </c>
      <c r="J168" s="302">
        <f t="shared" si="87"/>
        <v>4.5053465628111429</v>
      </c>
      <c r="K168" s="303"/>
      <c r="L168" s="302">
        <v>2.644329510122513</v>
      </c>
      <c r="M168" s="302">
        <v>0.97517440005237721</v>
      </c>
      <c r="N168" s="302">
        <v>0.16709972388875627</v>
      </c>
      <c r="O168" s="302">
        <f t="shared" si="86"/>
        <v>3.7866036340636464</v>
      </c>
    </row>
    <row r="169" spans="1:15" s="236" customFormat="1" x14ac:dyDescent="0.3">
      <c r="A169" s="237" t="str">
        <f>name!E$11</f>
        <v>Process, plant and machine operatives</v>
      </c>
      <c r="B169" s="302">
        <v>5.8561400291193095</v>
      </c>
      <c r="C169" s="302">
        <v>0.45624899687492138</v>
      </c>
      <c r="D169" s="302">
        <v>0.42828616670502923</v>
      </c>
      <c r="E169" s="302">
        <f t="shared" si="84"/>
        <v>6.7406751926992605</v>
      </c>
      <c r="F169" s="303"/>
      <c r="G169" s="302">
        <v>3.4597209716470672</v>
      </c>
      <c r="H169" s="302">
        <v>1.1570153713831839</v>
      </c>
      <c r="I169" s="302">
        <v>0.21486371422665523</v>
      </c>
      <c r="J169" s="302">
        <f t="shared" si="87"/>
        <v>4.8316000572569058</v>
      </c>
      <c r="K169" s="303"/>
      <c r="L169" s="302">
        <v>2.9709331035182514</v>
      </c>
      <c r="M169" s="302">
        <v>1.3409254294241406</v>
      </c>
      <c r="N169" s="302">
        <v>0.24079478949109057</v>
      </c>
      <c r="O169" s="302">
        <f t="shared" si="86"/>
        <v>4.552653322433482</v>
      </c>
    </row>
    <row r="170" spans="1:15" s="236" customFormat="1" x14ac:dyDescent="0.3">
      <c r="A170" s="237" t="str">
        <f>name!E$12</f>
        <v>Elementary occupations</v>
      </c>
      <c r="B170" s="302">
        <v>8.8760158164638021</v>
      </c>
      <c r="C170" s="302">
        <v>2.8476340324677478</v>
      </c>
      <c r="D170" s="302">
        <v>0.85312633305040453</v>
      </c>
      <c r="E170" s="302">
        <f t="shared" si="84"/>
        <v>12.576776181981955</v>
      </c>
      <c r="F170" s="303"/>
      <c r="G170" s="302">
        <v>5.0916139766944379</v>
      </c>
      <c r="H170" s="302">
        <v>3.6240328655426657</v>
      </c>
      <c r="I170" s="302">
        <v>0.3810775388024738</v>
      </c>
      <c r="J170" s="302">
        <f t="shared" si="87"/>
        <v>9.0967243810395768</v>
      </c>
      <c r="K170" s="303"/>
      <c r="L170" s="302">
        <v>2.9248927860273106</v>
      </c>
      <c r="M170" s="302">
        <v>2.49174053241431</v>
      </c>
      <c r="N170" s="302">
        <v>0.3164227988814407</v>
      </c>
      <c r="O170" s="302">
        <f t="shared" si="86"/>
        <v>5.733056117323061</v>
      </c>
    </row>
    <row r="171" spans="1:15" s="236" customFormat="1" x14ac:dyDescent="0.3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3">
      <c r="A172" s="244" t="s">
        <v>32</v>
      </c>
      <c r="B172" s="311">
        <f>SUM(B162:B170)</f>
        <v>95.84199999951953</v>
      </c>
      <c r="C172" s="311">
        <f t="shared" ref="C172:E172" si="88">SUM(C162:C170)</f>
        <v>12.105000000156085</v>
      </c>
      <c r="D172" s="311">
        <f t="shared" si="88"/>
        <v>16.001000000277653</v>
      </c>
      <c r="E172" s="311">
        <f t="shared" si="88"/>
        <v>123.94799999995323</v>
      </c>
      <c r="F172" s="311"/>
      <c r="G172" s="311">
        <f t="shared" ref="G172:J172" si="89">SUM(G162:G170)</f>
        <v>70.056999999755078</v>
      </c>
      <c r="H172" s="311">
        <f t="shared" si="89"/>
        <v>15.012000000111311</v>
      </c>
      <c r="I172" s="311">
        <f t="shared" si="89"/>
        <v>6.960000000040341</v>
      </c>
      <c r="J172" s="311">
        <f t="shared" si="89"/>
        <v>92.028999999906731</v>
      </c>
      <c r="K172" s="311"/>
      <c r="L172" s="311">
        <f t="shared" ref="L172:O172" si="90">SUM(L162:L170)</f>
        <v>54.568000000110814</v>
      </c>
      <c r="M172" s="311">
        <f t="shared" si="90"/>
        <v>12.662999999973145</v>
      </c>
      <c r="N172" s="311">
        <f t="shared" si="90"/>
        <v>5.8090000001394735</v>
      </c>
      <c r="O172" s="311">
        <f t="shared" si="90"/>
        <v>73.040000000223444</v>
      </c>
    </row>
    <row r="173" spans="1:15" s="236" customFormat="1" x14ac:dyDescent="0.3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3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35</v>
      </c>
    </row>
    <row r="175" spans="1:15" s="236" customFormat="1" x14ac:dyDescent="0.3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3">
      <c r="A176" s="241" t="str">
        <f>name!A13</f>
        <v>Coke and petroleum; Chemicals, etc</v>
      </c>
      <c r="B176" s="375">
        <f>$B$6</f>
        <v>2015</v>
      </c>
      <c r="C176" s="375"/>
      <c r="D176" s="375"/>
      <c r="E176" s="375"/>
      <c r="F176" s="263"/>
      <c r="G176" s="375">
        <f>$G$6</f>
        <v>2020</v>
      </c>
      <c r="H176" s="375"/>
      <c r="I176" s="375"/>
      <c r="J176" s="375"/>
      <c r="K176" s="263"/>
      <c r="L176" s="375">
        <f>$L$6</f>
        <v>2035</v>
      </c>
      <c r="M176" s="375"/>
      <c r="N176" s="375"/>
      <c r="O176" s="375"/>
    </row>
    <row r="177" spans="1:15" s="236" customFormat="1" x14ac:dyDescent="0.3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3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3">
      <c r="A179" s="237" t="str">
        <f>name!E$4</f>
        <v>Managers, directors and senior officials</v>
      </c>
      <c r="B179" s="302">
        <v>13.39049436142453</v>
      </c>
      <c r="C179" s="302">
        <v>0.30913639084981775</v>
      </c>
      <c r="D179" s="302">
        <v>0.73545156274972023</v>
      </c>
      <c r="E179" s="302">
        <f>SUM(B179:D179)</f>
        <v>14.435082315024067</v>
      </c>
      <c r="F179" s="303"/>
      <c r="G179" s="302">
        <v>14.988224878567388</v>
      </c>
      <c r="H179" s="302">
        <v>0.61650577890678726</v>
      </c>
      <c r="I179" s="302">
        <v>1.3239781233843051</v>
      </c>
      <c r="J179" s="302">
        <f>SUM(G179:I179)</f>
        <v>16.928708780858482</v>
      </c>
      <c r="K179" s="303"/>
      <c r="L179" s="302">
        <v>13.303985984180731</v>
      </c>
      <c r="M179" s="302">
        <v>0.65666425451265664</v>
      </c>
      <c r="N179" s="302">
        <v>1.1737300762887681</v>
      </c>
      <c r="O179" s="302">
        <f>SUM(L179:N179)</f>
        <v>15.134380314982156</v>
      </c>
    </row>
    <row r="180" spans="1:15" s="236" customFormat="1" x14ac:dyDescent="0.3">
      <c r="A180" s="237" t="str">
        <f>name!E$5</f>
        <v>Professional occupations</v>
      </c>
      <c r="B180" s="302">
        <v>24.021838039844351</v>
      </c>
      <c r="C180" s="302">
        <v>0.42345669416935644</v>
      </c>
      <c r="D180" s="302">
        <v>1.5549313408639223</v>
      </c>
      <c r="E180" s="302">
        <f t="shared" ref="E180:E187" si="91">SUM(B180:D180)</f>
        <v>26.000226074877631</v>
      </c>
      <c r="F180" s="303"/>
      <c r="G180" s="302">
        <v>29.369256523705321</v>
      </c>
      <c r="H180" s="302">
        <v>0.83220653711947978</v>
      </c>
      <c r="I180" s="302">
        <v>2.2611792086349713</v>
      </c>
      <c r="J180" s="302">
        <f t="shared" ref="J180:J182" si="92">SUM(G180:I180)</f>
        <v>32.462642269459771</v>
      </c>
      <c r="K180" s="303"/>
      <c r="L180" s="302">
        <v>29.208573323023131</v>
      </c>
      <c r="M180" s="302">
        <v>0.8521013792126032</v>
      </c>
      <c r="N180" s="302">
        <v>1.6418608288614014</v>
      </c>
      <c r="O180" s="302">
        <f t="shared" ref="O180:O187" si="93">SUM(L180:N180)</f>
        <v>31.702535531097134</v>
      </c>
    </row>
    <row r="181" spans="1:15" s="236" customFormat="1" x14ac:dyDescent="0.3">
      <c r="A181" s="237" t="str">
        <f>name!E$6</f>
        <v>Associate professional occupations</v>
      </c>
      <c r="B181" s="302">
        <v>13.027039442090333</v>
      </c>
      <c r="C181" s="302">
        <v>0.51982579721785205</v>
      </c>
      <c r="D181" s="302">
        <v>0.83808784999808139</v>
      </c>
      <c r="E181" s="302">
        <f t="shared" si="91"/>
        <v>14.384953089306265</v>
      </c>
      <c r="F181" s="303"/>
      <c r="G181" s="302">
        <v>15.422710483871386</v>
      </c>
      <c r="H181" s="302">
        <v>0.883271048566038</v>
      </c>
      <c r="I181" s="302">
        <v>1.1051166773486512</v>
      </c>
      <c r="J181" s="302">
        <f t="shared" si="92"/>
        <v>17.411098209786076</v>
      </c>
      <c r="K181" s="303"/>
      <c r="L181" s="302">
        <v>12.673654918859967</v>
      </c>
      <c r="M181" s="302">
        <v>0.74829259446651919</v>
      </c>
      <c r="N181" s="302">
        <v>1.002040928700795</v>
      </c>
      <c r="O181" s="302">
        <f t="shared" si="93"/>
        <v>14.423988442027282</v>
      </c>
    </row>
    <row r="182" spans="1:15" s="236" customFormat="1" x14ac:dyDescent="0.3">
      <c r="A182" s="237" t="str">
        <f>name!E$7</f>
        <v>Administrative and secretarial occupations</v>
      </c>
      <c r="B182" s="302">
        <v>7.7840540774274469</v>
      </c>
      <c r="C182" s="302">
        <v>1.083265364856135</v>
      </c>
      <c r="D182" s="302">
        <v>0.33306797739492267</v>
      </c>
      <c r="E182" s="302">
        <f t="shared" si="91"/>
        <v>9.2003874196785045</v>
      </c>
      <c r="F182" s="303"/>
      <c r="G182" s="302">
        <v>8.3057865159308086</v>
      </c>
      <c r="H182" s="302">
        <v>1.3414027052861188</v>
      </c>
      <c r="I182" s="302">
        <v>0.43207475236317017</v>
      </c>
      <c r="J182" s="302">
        <f t="shared" si="92"/>
        <v>10.079263973580098</v>
      </c>
      <c r="K182" s="303"/>
      <c r="L182" s="302">
        <v>6.6256434190639899</v>
      </c>
      <c r="M182" s="302">
        <v>0.95818464580426121</v>
      </c>
      <c r="N182" s="302">
        <v>0.35835049346333031</v>
      </c>
      <c r="O182" s="302">
        <f t="shared" si="93"/>
        <v>7.9421785583315812</v>
      </c>
    </row>
    <row r="183" spans="1:15" s="236" customFormat="1" x14ac:dyDescent="0.3">
      <c r="A183" s="237" t="str">
        <f>name!E$8</f>
        <v>Skilled trades occupations</v>
      </c>
      <c r="B183" s="302">
        <v>6.0333487047095646</v>
      </c>
      <c r="C183" s="302">
        <v>0.37868646405374479</v>
      </c>
      <c r="D183" s="302">
        <v>1.0757329041753094</v>
      </c>
      <c r="E183" s="302">
        <f t="shared" si="91"/>
        <v>7.4877680729386187</v>
      </c>
      <c r="F183" s="303"/>
      <c r="G183" s="302">
        <v>4.7352912681391377</v>
      </c>
      <c r="H183" s="302">
        <v>0.41673762863297675</v>
      </c>
      <c r="I183" s="302">
        <v>1.1204660717967441</v>
      </c>
      <c r="J183" s="302">
        <f>SUM(G183:I183)</f>
        <v>6.2724949685688589</v>
      </c>
      <c r="K183" s="303"/>
      <c r="L183" s="302">
        <v>3.3349641346966576</v>
      </c>
      <c r="M183" s="302">
        <v>0.40917798014755863</v>
      </c>
      <c r="N183" s="302">
        <v>1.2155712361279647</v>
      </c>
      <c r="O183" s="302">
        <f t="shared" si="93"/>
        <v>4.9597133509721809</v>
      </c>
    </row>
    <row r="184" spans="1:15" s="236" customFormat="1" x14ac:dyDescent="0.3">
      <c r="A184" s="237" t="str">
        <f>name!E$9</f>
        <v>Caring, leisure and other service occupations</v>
      </c>
      <c r="B184" s="302">
        <v>0.91787570624028081</v>
      </c>
      <c r="C184" s="302">
        <v>0.12905445988573155</v>
      </c>
      <c r="D184" s="302">
        <v>0.32778754292815993</v>
      </c>
      <c r="E184" s="302">
        <f t="shared" si="91"/>
        <v>1.3747177090541722</v>
      </c>
      <c r="F184" s="303"/>
      <c r="G184" s="302">
        <v>0.88923046008343243</v>
      </c>
      <c r="H184" s="302">
        <v>0.16927330713049588</v>
      </c>
      <c r="I184" s="302">
        <v>0.72359764280897232</v>
      </c>
      <c r="J184" s="302">
        <f t="shared" ref="J184:J187" si="94">SUM(G184:I184)</f>
        <v>1.7821014100229007</v>
      </c>
      <c r="K184" s="303"/>
      <c r="L184" s="302">
        <v>0.82049729891709189</v>
      </c>
      <c r="M184" s="302">
        <v>0.15118123353698323</v>
      </c>
      <c r="N184" s="302">
        <v>0.67868878469343785</v>
      </c>
      <c r="O184" s="302">
        <f t="shared" si="93"/>
        <v>1.6503673171475128</v>
      </c>
    </row>
    <row r="185" spans="1:15" s="236" customFormat="1" x14ac:dyDescent="0.3">
      <c r="A185" s="237" t="str">
        <f>name!E$10</f>
        <v>Sales and customer service occupations</v>
      </c>
      <c r="B185" s="302">
        <v>2.7315231795133212</v>
      </c>
      <c r="C185" s="302">
        <v>0.68832235536605546</v>
      </c>
      <c r="D185" s="302">
        <v>0.19049715009491666</v>
      </c>
      <c r="E185" s="302">
        <f t="shared" si="91"/>
        <v>3.6103426849742934</v>
      </c>
      <c r="F185" s="303"/>
      <c r="G185" s="302">
        <v>2.642830024382226</v>
      </c>
      <c r="H185" s="302">
        <v>0.82906278862984584</v>
      </c>
      <c r="I185" s="302">
        <v>0.23636524092827307</v>
      </c>
      <c r="J185" s="302">
        <f t="shared" si="94"/>
        <v>3.7082580539403449</v>
      </c>
      <c r="K185" s="303"/>
      <c r="L185" s="302">
        <v>2.5902837191078829</v>
      </c>
      <c r="M185" s="302">
        <v>0.7798126659573883</v>
      </c>
      <c r="N185" s="302">
        <v>0.1752371557218064</v>
      </c>
      <c r="O185" s="302">
        <f t="shared" si="93"/>
        <v>3.5453335407870776</v>
      </c>
    </row>
    <row r="186" spans="1:15" s="236" customFormat="1" x14ac:dyDescent="0.3">
      <c r="A186" s="237" t="str">
        <f>name!E$11</f>
        <v>Process, plant and machine operatives</v>
      </c>
      <c r="B186" s="302">
        <v>20.011134447881787</v>
      </c>
      <c r="C186" s="302">
        <v>0.85267441664720245</v>
      </c>
      <c r="D186" s="302">
        <v>0.42014803807453049</v>
      </c>
      <c r="E186" s="302">
        <f t="shared" si="91"/>
        <v>21.283956902603521</v>
      </c>
      <c r="F186" s="303"/>
      <c r="G186" s="302">
        <v>15.209548809918521</v>
      </c>
      <c r="H186" s="302">
        <v>1.1626805751153904</v>
      </c>
      <c r="I186" s="302">
        <v>0.8311647508237886</v>
      </c>
      <c r="J186" s="302">
        <f t="shared" si="94"/>
        <v>17.2033941358577</v>
      </c>
      <c r="K186" s="303"/>
      <c r="L186" s="302">
        <v>12.564588302491197</v>
      </c>
      <c r="M186" s="302">
        <v>1.588058261842793</v>
      </c>
      <c r="N186" s="302">
        <v>0.83723377006844424</v>
      </c>
      <c r="O186" s="302">
        <f t="shared" si="93"/>
        <v>14.989880334402434</v>
      </c>
    </row>
    <row r="187" spans="1:15" s="236" customFormat="1" x14ac:dyDescent="0.3">
      <c r="A187" s="237" t="str">
        <f>name!E$12</f>
        <v>Elementary occupations</v>
      </c>
      <c r="B187" s="302">
        <v>6.3066920403905806</v>
      </c>
      <c r="C187" s="302">
        <v>1.341578057056694</v>
      </c>
      <c r="D187" s="302">
        <v>0.52329563376902011</v>
      </c>
      <c r="E187" s="302">
        <f t="shared" si="91"/>
        <v>8.1715657312162939</v>
      </c>
      <c r="F187" s="303"/>
      <c r="G187" s="302">
        <v>4.7981210348421719</v>
      </c>
      <c r="H187" s="302">
        <v>1.4748596307054611</v>
      </c>
      <c r="I187" s="302">
        <v>0.91605753194330486</v>
      </c>
      <c r="J187" s="302">
        <f t="shared" si="94"/>
        <v>7.1890381974909383</v>
      </c>
      <c r="K187" s="303"/>
      <c r="L187" s="302">
        <v>2.8878088995571978</v>
      </c>
      <c r="M187" s="302">
        <v>1.1155269845224021</v>
      </c>
      <c r="N187" s="302">
        <v>0.85828672613488655</v>
      </c>
      <c r="O187" s="302">
        <f t="shared" si="93"/>
        <v>4.8616226102144857</v>
      </c>
    </row>
    <row r="188" spans="1:15" s="236" customFormat="1" x14ac:dyDescent="0.3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3">
      <c r="A189" s="244" t="s">
        <v>32</v>
      </c>
      <c r="B189" s="311">
        <f>SUM(B179:B187)</f>
        <v>94.223999999522206</v>
      </c>
      <c r="C189" s="311">
        <f t="shared" ref="C189:E189" si="95">SUM(C179:C187)</f>
        <v>5.726000000102589</v>
      </c>
      <c r="D189" s="311">
        <f t="shared" si="95"/>
        <v>5.9990000000485839</v>
      </c>
      <c r="E189" s="311">
        <f t="shared" si="95"/>
        <v>105.94899999967336</v>
      </c>
      <c r="F189" s="311"/>
      <c r="G189" s="311">
        <f t="shared" ref="G189:J189" si="96">SUM(G179:G187)</f>
        <v>96.360999999440381</v>
      </c>
      <c r="H189" s="311">
        <f t="shared" si="96"/>
        <v>7.7260000000925935</v>
      </c>
      <c r="I189" s="311">
        <f t="shared" si="96"/>
        <v>8.9500000000321798</v>
      </c>
      <c r="J189" s="311">
        <f t="shared" si="96"/>
        <v>113.03699999956517</v>
      </c>
      <c r="K189" s="311"/>
      <c r="L189" s="311">
        <f t="shared" ref="L189:O189" si="97">SUM(L179:L187)</f>
        <v>84.009999999897857</v>
      </c>
      <c r="M189" s="311">
        <f t="shared" si="97"/>
        <v>7.2590000000031658</v>
      </c>
      <c r="N189" s="311">
        <f t="shared" si="97"/>
        <v>7.9410000000608338</v>
      </c>
      <c r="O189" s="311">
        <f t="shared" si="97"/>
        <v>99.209999999961838</v>
      </c>
    </row>
    <row r="190" spans="1:15" s="236" customFormat="1" x14ac:dyDescent="0.3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3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35</v>
      </c>
    </row>
    <row r="192" spans="1:15" s="236" customFormat="1" x14ac:dyDescent="0.3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3">
      <c r="A193" s="241" t="str">
        <f>name!A14</f>
        <v>Pharmaceuticals</v>
      </c>
      <c r="B193" s="375">
        <f>$B$6</f>
        <v>2015</v>
      </c>
      <c r="C193" s="375"/>
      <c r="D193" s="375"/>
      <c r="E193" s="375"/>
      <c r="F193" s="263"/>
      <c r="G193" s="375">
        <f>$G$6</f>
        <v>2020</v>
      </c>
      <c r="H193" s="375"/>
      <c r="I193" s="375"/>
      <c r="J193" s="375"/>
      <c r="K193" s="263"/>
      <c r="L193" s="375">
        <f>$L$6</f>
        <v>2035</v>
      </c>
      <c r="M193" s="375"/>
      <c r="N193" s="375"/>
      <c r="O193" s="375"/>
    </row>
    <row r="194" spans="1:15" s="236" customFormat="1" x14ac:dyDescent="0.3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3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3">
      <c r="A196" s="237" t="str">
        <f>name!E$4</f>
        <v>Managers, directors and senior officials</v>
      </c>
      <c r="B196" s="302">
        <v>4.3190897159965713</v>
      </c>
      <c r="C196" s="302">
        <v>0.23522857266232966</v>
      </c>
      <c r="D196" s="302">
        <v>0.37690017564802042</v>
      </c>
      <c r="E196" s="302">
        <f>SUM(B196:D196)</f>
        <v>4.9312184643069212</v>
      </c>
      <c r="F196" s="303"/>
      <c r="G196" s="302">
        <v>5.3155275754823412</v>
      </c>
      <c r="H196" s="302">
        <v>0.30665075348294513</v>
      </c>
      <c r="I196" s="302">
        <v>0.8213313177553766</v>
      </c>
      <c r="J196" s="302">
        <f>SUM(G196:I196)</f>
        <v>6.4435096467206625</v>
      </c>
      <c r="K196" s="303"/>
      <c r="L196" s="302">
        <v>5.2120077721450802</v>
      </c>
      <c r="M196" s="302">
        <v>0.41234384354322651</v>
      </c>
      <c r="N196" s="302">
        <v>1.0133491081361363</v>
      </c>
      <c r="O196" s="302">
        <f>SUM(L196:N196)</f>
        <v>6.6377007238244428</v>
      </c>
    </row>
    <row r="197" spans="1:15" s="236" customFormat="1" x14ac:dyDescent="0.3">
      <c r="A197" s="237" t="str">
        <f>name!E$5</f>
        <v>Professional occupations</v>
      </c>
      <c r="B197" s="302">
        <v>13.566780980677926</v>
      </c>
      <c r="C197" s="302">
        <v>0.50056353406221621</v>
      </c>
      <c r="D197" s="302">
        <v>0.98350925118518828</v>
      </c>
      <c r="E197" s="302">
        <f t="shared" ref="E197:E204" si="98">SUM(B197:D197)</f>
        <v>15.05085376592533</v>
      </c>
      <c r="F197" s="303"/>
      <c r="G197" s="302">
        <v>19.431286509501629</v>
      </c>
      <c r="H197" s="302">
        <v>0.54081315863984614</v>
      </c>
      <c r="I197" s="302">
        <v>1.1892042976577089</v>
      </c>
      <c r="J197" s="302">
        <f t="shared" ref="J197:J199" si="99">SUM(G197:I197)</f>
        <v>21.161303965799185</v>
      </c>
      <c r="K197" s="303"/>
      <c r="L197" s="302">
        <v>21.492213714298618</v>
      </c>
      <c r="M197" s="302">
        <v>0.68056144614890346</v>
      </c>
      <c r="N197" s="302">
        <v>1.1110770598685384</v>
      </c>
      <c r="O197" s="302">
        <f t="shared" ref="O197:O204" si="100">SUM(L197:N197)</f>
        <v>23.28385222031606</v>
      </c>
    </row>
    <row r="198" spans="1:15" s="236" customFormat="1" x14ac:dyDescent="0.3">
      <c r="A198" s="237" t="str">
        <f>name!E$6</f>
        <v>Associate professional occupations</v>
      </c>
      <c r="B198" s="302">
        <v>5.7227348483921272</v>
      </c>
      <c r="C198" s="302">
        <v>0.48757811155131298</v>
      </c>
      <c r="D198" s="302">
        <v>0.46028364995376309</v>
      </c>
      <c r="E198" s="302">
        <f t="shared" si="98"/>
        <v>6.6705966098972036</v>
      </c>
      <c r="F198" s="303"/>
      <c r="G198" s="302">
        <v>7.7575899137817554</v>
      </c>
      <c r="H198" s="302">
        <v>0.49550034385406933</v>
      </c>
      <c r="I198" s="302">
        <v>0.71294974700154357</v>
      </c>
      <c r="J198" s="302">
        <f t="shared" si="99"/>
        <v>8.9660400046373674</v>
      </c>
      <c r="K198" s="303"/>
      <c r="L198" s="302">
        <v>7.2623142219275918</v>
      </c>
      <c r="M198" s="302">
        <v>0.58197291183822453</v>
      </c>
      <c r="N198" s="302">
        <v>0.83767354465714938</v>
      </c>
      <c r="O198" s="302">
        <f t="shared" si="100"/>
        <v>8.6819606784229659</v>
      </c>
    </row>
    <row r="199" spans="1:15" s="236" customFormat="1" x14ac:dyDescent="0.3">
      <c r="A199" s="237" t="str">
        <f>name!E$7</f>
        <v>Administrative and secretarial occupations</v>
      </c>
      <c r="B199" s="302">
        <v>2.2897623867640524</v>
      </c>
      <c r="C199" s="302">
        <v>0.32716453726231509</v>
      </c>
      <c r="D199" s="302">
        <v>0.16168946462960787</v>
      </c>
      <c r="E199" s="302">
        <f t="shared" si="98"/>
        <v>2.7786163886559754</v>
      </c>
      <c r="F199" s="303"/>
      <c r="G199" s="302">
        <v>2.5606788330676036</v>
      </c>
      <c r="H199" s="302">
        <v>0.27470449932232827</v>
      </c>
      <c r="I199" s="302">
        <v>0.12432645868006922</v>
      </c>
      <c r="J199" s="302">
        <f t="shared" si="99"/>
        <v>2.9597097910700012</v>
      </c>
      <c r="K199" s="303"/>
      <c r="L199" s="302">
        <v>1.8720848922787223</v>
      </c>
      <c r="M199" s="302">
        <v>0.25376331708627836</v>
      </c>
      <c r="N199" s="302">
        <v>0.10703195694889457</v>
      </c>
      <c r="O199" s="302">
        <f t="shared" si="100"/>
        <v>2.2328801663138953</v>
      </c>
    </row>
    <row r="200" spans="1:15" s="236" customFormat="1" x14ac:dyDescent="0.3">
      <c r="A200" s="237" t="str">
        <f>name!E$8</f>
        <v>Skilled trades occupations</v>
      </c>
      <c r="B200" s="302">
        <v>2.2010942224743459</v>
      </c>
      <c r="C200" s="302">
        <v>0.19297264896669394</v>
      </c>
      <c r="D200" s="302">
        <v>0.26199682169404431</v>
      </c>
      <c r="E200" s="302">
        <f t="shared" si="98"/>
        <v>2.6560636931350841</v>
      </c>
      <c r="F200" s="303"/>
      <c r="G200" s="302">
        <v>2.0732729929720026</v>
      </c>
      <c r="H200" s="302">
        <v>7.7710538121299577E-2</v>
      </c>
      <c r="I200" s="302">
        <v>0.747624329140118</v>
      </c>
      <c r="J200" s="302">
        <f>SUM(G200:I200)</f>
        <v>2.8986078602334202</v>
      </c>
      <c r="K200" s="303"/>
      <c r="L200" s="302">
        <v>1.6789776446231084</v>
      </c>
      <c r="M200" s="302">
        <v>0.14592101024056575</v>
      </c>
      <c r="N200" s="302">
        <v>1.022150035948995</v>
      </c>
      <c r="O200" s="302">
        <f t="shared" si="100"/>
        <v>2.8470486908126693</v>
      </c>
    </row>
    <row r="201" spans="1:15" s="236" customFormat="1" x14ac:dyDescent="0.3">
      <c r="A201" s="237" t="str">
        <f>name!E$9</f>
        <v>Caring, leisure and other service occupations</v>
      </c>
      <c r="B201" s="302">
        <v>0.6712592555335184</v>
      </c>
      <c r="C201" s="302">
        <v>0.1307378378411353</v>
      </c>
      <c r="D201" s="302">
        <v>0.15565858607217359</v>
      </c>
      <c r="E201" s="302">
        <f t="shared" si="98"/>
        <v>0.95765567944682717</v>
      </c>
      <c r="F201" s="303"/>
      <c r="G201" s="302">
        <v>0.74690256211420403</v>
      </c>
      <c r="H201" s="302">
        <v>9.029479371390782E-2</v>
      </c>
      <c r="I201" s="302">
        <v>8.8686995620440856E-2</v>
      </c>
      <c r="J201" s="302">
        <f t="shared" ref="J201:J204" si="101">SUM(G201:I201)</f>
        <v>0.92588435144855263</v>
      </c>
      <c r="K201" s="303"/>
      <c r="L201" s="302">
        <v>0.67278926819797136</v>
      </c>
      <c r="M201" s="302">
        <v>9.2046231955164357E-2</v>
      </c>
      <c r="N201" s="302">
        <v>0.13023438228997467</v>
      </c>
      <c r="O201" s="302">
        <f t="shared" si="100"/>
        <v>0.89506988244311037</v>
      </c>
    </row>
    <row r="202" spans="1:15" s="236" customFormat="1" x14ac:dyDescent="0.3">
      <c r="A202" s="237" t="str">
        <f>name!E$10</f>
        <v>Sales and customer service occupations</v>
      </c>
      <c r="B202" s="302">
        <v>0.77248722329356267</v>
      </c>
      <c r="C202" s="302">
        <v>0.22570281465157957</v>
      </c>
      <c r="D202" s="302">
        <v>0.17176307987812206</v>
      </c>
      <c r="E202" s="302">
        <f t="shared" si="98"/>
        <v>1.1699531178232643</v>
      </c>
      <c r="F202" s="303"/>
      <c r="G202" s="302">
        <v>0.88783732762002543</v>
      </c>
      <c r="H202" s="302">
        <v>0.13608264431712802</v>
      </c>
      <c r="I202" s="302">
        <v>0.19602700327666533</v>
      </c>
      <c r="J202" s="302">
        <f t="shared" si="101"/>
        <v>1.2199469752138188</v>
      </c>
      <c r="K202" s="303"/>
      <c r="L202" s="302">
        <v>0.92208560932626593</v>
      </c>
      <c r="M202" s="302">
        <v>0.18831628875974019</v>
      </c>
      <c r="N202" s="302">
        <v>0.20412057406476911</v>
      </c>
      <c r="O202" s="302">
        <f t="shared" si="100"/>
        <v>1.3145224721507753</v>
      </c>
    </row>
    <row r="203" spans="1:15" s="236" customFormat="1" x14ac:dyDescent="0.3">
      <c r="A203" s="237" t="str">
        <f>name!E$11</f>
        <v>Process, plant and machine operatives</v>
      </c>
      <c r="B203" s="302">
        <v>4.0491376499105183</v>
      </c>
      <c r="C203" s="302">
        <v>0.30639452029435688</v>
      </c>
      <c r="D203" s="302">
        <v>0.31905242550088381</v>
      </c>
      <c r="E203" s="302">
        <f t="shared" si="98"/>
        <v>4.6745845957057588</v>
      </c>
      <c r="F203" s="303"/>
      <c r="G203" s="302">
        <v>3.5468969274016584</v>
      </c>
      <c r="H203" s="302">
        <v>0.1767243143855361</v>
      </c>
      <c r="I203" s="302">
        <v>0.63950422490918468</v>
      </c>
      <c r="J203" s="302">
        <f t="shared" si="101"/>
        <v>4.3631254666963795</v>
      </c>
      <c r="K203" s="303"/>
      <c r="L203" s="302">
        <v>3.3054158843192094</v>
      </c>
      <c r="M203" s="302">
        <v>0.33705340662028405</v>
      </c>
      <c r="N203" s="302">
        <v>0.80578944239730999</v>
      </c>
      <c r="O203" s="302">
        <f t="shared" si="100"/>
        <v>4.4482587333368038</v>
      </c>
    </row>
    <row r="204" spans="1:15" s="236" customFormat="1" x14ac:dyDescent="0.3">
      <c r="A204" s="237" t="str">
        <f>name!E$12</f>
        <v>Elementary occupations</v>
      </c>
      <c r="B204" s="302">
        <v>1.4336537167232268</v>
      </c>
      <c r="C204" s="302">
        <v>0.55065742272928009</v>
      </c>
      <c r="D204" s="302">
        <v>1.1091465455140141</v>
      </c>
      <c r="E204" s="302">
        <f t="shared" si="98"/>
        <v>3.0934576849665207</v>
      </c>
      <c r="F204" s="303"/>
      <c r="G204" s="302">
        <v>1.2720073578380775</v>
      </c>
      <c r="H204" s="302">
        <v>0.34451895416968192</v>
      </c>
      <c r="I204" s="302">
        <v>0.45334562599606626</v>
      </c>
      <c r="J204" s="302">
        <f t="shared" si="101"/>
        <v>2.0698719380038257</v>
      </c>
      <c r="K204" s="303"/>
      <c r="L204" s="302">
        <v>0.85011099285625324</v>
      </c>
      <c r="M204" s="302">
        <v>0.34102154380365829</v>
      </c>
      <c r="N204" s="302">
        <v>0.55357389577191074</v>
      </c>
      <c r="O204" s="302">
        <f t="shared" si="100"/>
        <v>1.7447064324318222</v>
      </c>
    </row>
    <row r="205" spans="1:15" s="236" customFormat="1" x14ac:dyDescent="0.3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3">
      <c r="A206" s="244" t="s">
        <v>32</v>
      </c>
      <c r="B206" s="311">
        <f>SUM(B196:B204)</f>
        <v>35.025999999765851</v>
      </c>
      <c r="C206" s="311">
        <f t="shared" ref="C206:E206" si="102">SUM(C196:C204)</f>
        <v>2.9570000000212198</v>
      </c>
      <c r="D206" s="311">
        <f t="shared" si="102"/>
        <v>4.0000000000758185</v>
      </c>
      <c r="E206" s="311">
        <f t="shared" si="102"/>
        <v>41.982999999862891</v>
      </c>
      <c r="F206" s="311"/>
      <c r="G206" s="311">
        <f t="shared" ref="G206:J206" si="103">SUM(G196:G204)</f>
        <v>43.591999999779297</v>
      </c>
      <c r="H206" s="311">
        <f t="shared" si="103"/>
        <v>2.4430000000067418</v>
      </c>
      <c r="I206" s="311">
        <f t="shared" si="103"/>
        <v>4.9730000000371728</v>
      </c>
      <c r="J206" s="311">
        <f t="shared" si="103"/>
        <v>51.007999999823213</v>
      </c>
      <c r="K206" s="311"/>
      <c r="L206" s="311">
        <f t="shared" ref="L206:O206" si="104">SUM(L196:L204)</f>
        <v>43.267999999972822</v>
      </c>
      <c r="M206" s="311">
        <f t="shared" si="104"/>
        <v>3.0329999999960449</v>
      </c>
      <c r="N206" s="311">
        <f t="shared" si="104"/>
        <v>5.7850000000836772</v>
      </c>
      <c r="O206" s="311">
        <f t="shared" si="104"/>
        <v>52.086000000052543</v>
      </c>
    </row>
    <row r="207" spans="1:15" s="236" customFormat="1" x14ac:dyDescent="0.3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3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35</v>
      </c>
    </row>
    <row r="209" spans="1:15" s="236" customFormat="1" x14ac:dyDescent="0.3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3">
      <c r="A210" s="241" t="str">
        <f>name!A15</f>
        <v>Rubber and plastic</v>
      </c>
      <c r="B210" s="375">
        <f>$B$6</f>
        <v>2015</v>
      </c>
      <c r="C210" s="375"/>
      <c r="D210" s="375"/>
      <c r="E210" s="375"/>
      <c r="F210" s="263"/>
      <c r="G210" s="375">
        <f>$G$6</f>
        <v>2020</v>
      </c>
      <c r="H210" s="375"/>
      <c r="I210" s="375"/>
      <c r="J210" s="375"/>
      <c r="K210" s="263"/>
      <c r="L210" s="375">
        <f>$L$6</f>
        <v>2035</v>
      </c>
      <c r="M210" s="375"/>
      <c r="N210" s="375"/>
      <c r="O210" s="375"/>
    </row>
    <row r="211" spans="1:15" s="236" customFormat="1" x14ac:dyDescent="0.3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3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3">
      <c r="A213" s="237" t="str">
        <f>name!E$4</f>
        <v>Managers, directors and senior officials</v>
      </c>
      <c r="B213" s="302">
        <v>17.226391846562116</v>
      </c>
      <c r="C213" s="302">
        <v>0.67190844662488847</v>
      </c>
      <c r="D213" s="302">
        <v>2.8353274461161728</v>
      </c>
      <c r="E213" s="302">
        <f>SUM(B213:D213)</f>
        <v>20.733627739303181</v>
      </c>
      <c r="F213" s="303"/>
      <c r="G213" s="302">
        <v>21.158920203933249</v>
      </c>
      <c r="H213" s="302">
        <v>1.4700049641110029</v>
      </c>
      <c r="I213" s="302">
        <v>2.2496127177856255</v>
      </c>
      <c r="J213" s="302">
        <f>SUM(G213:I213)</f>
        <v>24.878537885829878</v>
      </c>
      <c r="K213" s="303"/>
      <c r="L213" s="302">
        <v>18.910825585720133</v>
      </c>
      <c r="M213" s="302">
        <v>1.5403857498715561</v>
      </c>
      <c r="N213" s="302">
        <v>2.0357745108600382</v>
      </c>
      <c r="O213" s="302">
        <f>SUM(L213:N213)</f>
        <v>22.486985846451727</v>
      </c>
    </row>
    <row r="214" spans="1:15" s="236" customFormat="1" x14ac:dyDescent="0.3">
      <c r="A214" s="237" t="str">
        <f>name!E$5</f>
        <v>Professional occupations</v>
      </c>
      <c r="B214" s="302">
        <v>15.585467631868584</v>
      </c>
      <c r="C214" s="302">
        <v>0.41055655466281737</v>
      </c>
      <c r="D214" s="302">
        <v>0.96405478539742318</v>
      </c>
      <c r="E214" s="302">
        <f t="shared" ref="E214:E221" si="105">SUM(B214:D214)</f>
        <v>16.960078971928823</v>
      </c>
      <c r="F214" s="303"/>
      <c r="G214" s="302">
        <v>21.530785485265739</v>
      </c>
      <c r="H214" s="302">
        <v>0.89402706702887691</v>
      </c>
      <c r="I214" s="302">
        <v>0.67697785242445774</v>
      </c>
      <c r="J214" s="302">
        <f t="shared" ref="J214:J216" si="106">SUM(G214:I214)</f>
        <v>23.101790404719072</v>
      </c>
      <c r="K214" s="303"/>
      <c r="L214" s="302">
        <v>22.777816567248585</v>
      </c>
      <c r="M214" s="302">
        <v>0.87320967762610913</v>
      </c>
      <c r="N214" s="302">
        <v>0.55878030135229173</v>
      </c>
      <c r="O214" s="302">
        <f t="shared" ref="O214:O221" si="107">SUM(L214:N214)</f>
        <v>24.209806546226986</v>
      </c>
    </row>
    <row r="215" spans="1:15" s="236" customFormat="1" x14ac:dyDescent="0.3">
      <c r="A215" s="237" t="str">
        <f>name!E$6</f>
        <v>Associate professional occupations</v>
      </c>
      <c r="B215" s="302">
        <v>14.876150773128611</v>
      </c>
      <c r="C215" s="302">
        <v>0.65380500042316669</v>
      </c>
      <c r="D215" s="302">
        <v>1.013945020950205</v>
      </c>
      <c r="E215" s="302">
        <f t="shared" si="105"/>
        <v>16.543900794501983</v>
      </c>
      <c r="F215" s="303"/>
      <c r="G215" s="302">
        <v>19.175015602898032</v>
      </c>
      <c r="H215" s="302">
        <v>1.1488488326336281</v>
      </c>
      <c r="I215" s="302">
        <v>0.61621125620840389</v>
      </c>
      <c r="J215" s="302">
        <f t="shared" si="106"/>
        <v>20.940075691740066</v>
      </c>
      <c r="K215" s="303"/>
      <c r="L215" s="302">
        <v>15.738508522431887</v>
      </c>
      <c r="M215" s="302">
        <v>0.94278240147591152</v>
      </c>
      <c r="N215" s="302">
        <v>0.55594695403755934</v>
      </c>
      <c r="O215" s="302">
        <f t="shared" si="107"/>
        <v>17.237237877945358</v>
      </c>
    </row>
    <row r="216" spans="1:15" s="236" customFormat="1" x14ac:dyDescent="0.3">
      <c r="A216" s="237" t="str">
        <f>name!E$7</f>
        <v>Administrative and secretarial occupations</v>
      </c>
      <c r="B216" s="302">
        <v>9.8520268721662312</v>
      </c>
      <c r="C216" s="302">
        <v>2.9480787050500581</v>
      </c>
      <c r="D216" s="302">
        <v>0.65748719278312207</v>
      </c>
      <c r="E216" s="302">
        <f t="shared" si="105"/>
        <v>13.457592769999412</v>
      </c>
      <c r="F216" s="303"/>
      <c r="G216" s="302">
        <v>10.93324748249109</v>
      </c>
      <c r="H216" s="302">
        <v>3.910456940635811</v>
      </c>
      <c r="I216" s="302">
        <v>0.31064037993888488</v>
      </c>
      <c r="J216" s="302">
        <f t="shared" si="106"/>
        <v>15.154344803065786</v>
      </c>
      <c r="K216" s="303"/>
      <c r="L216" s="302">
        <v>7.7745732314558076</v>
      </c>
      <c r="M216" s="302">
        <v>2.6860791549988687</v>
      </c>
      <c r="N216" s="302">
        <v>0.21904974016962539</v>
      </c>
      <c r="O216" s="302">
        <f t="shared" si="107"/>
        <v>10.679702126624301</v>
      </c>
    </row>
    <row r="217" spans="1:15" s="236" customFormat="1" x14ac:dyDescent="0.3">
      <c r="A217" s="237" t="str">
        <f>name!E$8</f>
        <v>Skilled trades occupations</v>
      </c>
      <c r="B217" s="302">
        <v>28.253488728819537</v>
      </c>
      <c r="C217" s="302">
        <v>0.81709756233281328</v>
      </c>
      <c r="D217" s="302">
        <v>5.5999835589468701</v>
      </c>
      <c r="E217" s="302">
        <f t="shared" si="105"/>
        <v>34.67056985009922</v>
      </c>
      <c r="F217" s="303"/>
      <c r="G217" s="302">
        <v>25.196346246475915</v>
      </c>
      <c r="H217" s="302">
        <v>1.1851748616944431</v>
      </c>
      <c r="I217" s="302">
        <v>3.1083958796296733</v>
      </c>
      <c r="J217" s="302">
        <f>SUM(G217:I217)</f>
        <v>29.489916987800029</v>
      </c>
      <c r="K217" s="303"/>
      <c r="L217" s="302">
        <v>19.213436745841538</v>
      </c>
      <c r="M217" s="302">
        <v>1.4714802325943861</v>
      </c>
      <c r="N217" s="302">
        <v>2.9832118299960375</v>
      </c>
      <c r="O217" s="302">
        <f t="shared" si="107"/>
        <v>23.668128808431959</v>
      </c>
    </row>
    <row r="218" spans="1:15" s="236" customFormat="1" x14ac:dyDescent="0.3">
      <c r="A218" s="237" t="str">
        <f>name!E$9</f>
        <v>Caring, leisure and other service occupations</v>
      </c>
      <c r="B218" s="302">
        <v>2.2698981340559445</v>
      </c>
      <c r="C218" s="302">
        <v>0.67295172190181185</v>
      </c>
      <c r="D218" s="302">
        <v>0.11961377689767674</v>
      </c>
      <c r="E218" s="302">
        <f t="shared" si="105"/>
        <v>3.0624636328554331</v>
      </c>
      <c r="F218" s="303"/>
      <c r="G218" s="302">
        <v>2.6208774886237802</v>
      </c>
      <c r="H218" s="302">
        <v>0.93649176066242867</v>
      </c>
      <c r="I218" s="302">
        <v>8.0917086202781416E-2</v>
      </c>
      <c r="J218" s="302">
        <f t="shared" ref="J218:J221" si="108">SUM(G218:I218)</f>
        <v>3.6382863354889903</v>
      </c>
      <c r="K218" s="303"/>
      <c r="L218" s="302">
        <v>3.0636207845851429</v>
      </c>
      <c r="M218" s="302">
        <v>0.81125922887171809</v>
      </c>
      <c r="N218" s="302">
        <v>8.0936063464504396E-2</v>
      </c>
      <c r="O218" s="302">
        <f t="shared" si="107"/>
        <v>3.9558160769213653</v>
      </c>
    </row>
    <row r="219" spans="1:15" s="236" customFormat="1" x14ac:dyDescent="0.3">
      <c r="A219" s="237" t="str">
        <f>name!E$10</f>
        <v>Sales and customer service occupations</v>
      </c>
      <c r="B219" s="302">
        <v>5.4823217552130581</v>
      </c>
      <c r="C219" s="302">
        <v>0.93647860625766288</v>
      </c>
      <c r="D219" s="302">
        <v>0.63647593653506862</v>
      </c>
      <c r="E219" s="302">
        <f t="shared" si="105"/>
        <v>7.0552762980057899</v>
      </c>
      <c r="F219" s="303"/>
      <c r="G219" s="302">
        <v>5.6948572193221194</v>
      </c>
      <c r="H219" s="302">
        <v>1.4814756289242819</v>
      </c>
      <c r="I219" s="302">
        <v>0.26127017290430193</v>
      </c>
      <c r="J219" s="302">
        <f t="shared" si="108"/>
        <v>7.4376030211507036</v>
      </c>
      <c r="K219" s="303"/>
      <c r="L219" s="302">
        <v>5.1982704153213541</v>
      </c>
      <c r="M219" s="302">
        <v>1.3628413324925659</v>
      </c>
      <c r="N219" s="302">
        <v>0.18432838860981735</v>
      </c>
      <c r="O219" s="302">
        <f t="shared" si="107"/>
        <v>6.7454401364237366</v>
      </c>
    </row>
    <row r="220" spans="1:15" s="236" customFormat="1" x14ac:dyDescent="0.3">
      <c r="A220" s="237" t="str">
        <f>name!E$11</f>
        <v>Process, plant and machine operatives</v>
      </c>
      <c r="B220" s="302">
        <v>48.662173568608928</v>
      </c>
      <c r="C220" s="302">
        <v>1.9622612320400799</v>
      </c>
      <c r="D220" s="302">
        <v>1.7401780603087897</v>
      </c>
      <c r="E220" s="302">
        <f t="shared" si="105"/>
        <v>52.364612860957799</v>
      </c>
      <c r="F220" s="303"/>
      <c r="G220" s="302">
        <v>43.277141794730014</v>
      </c>
      <c r="H220" s="302">
        <v>2.9591829128259652</v>
      </c>
      <c r="I220" s="302">
        <v>1.2269115841654574</v>
      </c>
      <c r="J220" s="302">
        <f t="shared" si="108"/>
        <v>47.463236291721437</v>
      </c>
      <c r="K220" s="303"/>
      <c r="L220" s="302">
        <v>40.282151959889333</v>
      </c>
      <c r="M220" s="302">
        <v>3.9572280441637502</v>
      </c>
      <c r="N220" s="302">
        <v>1.2379369080957192</v>
      </c>
      <c r="O220" s="302">
        <f t="shared" si="107"/>
        <v>45.477316912148801</v>
      </c>
    </row>
    <row r="221" spans="1:15" s="236" customFormat="1" x14ac:dyDescent="0.3">
      <c r="A221" s="237" t="str">
        <f>name!E$12</f>
        <v>Elementary occupations</v>
      </c>
      <c r="B221" s="302">
        <v>13.57008068938233</v>
      </c>
      <c r="C221" s="302">
        <v>1.5048621709100143</v>
      </c>
      <c r="D221" s="302">
        <v>1.2259342220952625</v>
      </c>
      <c r="E221" s="302">
        <f t="shared" si="105"/>
        <v>16.300877082387608</v>
      </c>
      <c r="F221" s="303"/>
      <c r="G221" s="302">
        <v>11.598808475830257</v>
      </c>
      <c r="H221" s="302">
        <v>1.9623370315713864</v>
      </c>
      <c r="I221" s="302">
        <v>0.51406307071801349</v>
      </c>
      <c r="J221" s="302">
        <f t="shared" si="108"/>
        <v>14.075208578119657</v>
      </c>
      <c r="K221" s="303"/>
      <c r="L221" s="302">
        <v>6.6667961877823325</v>
      </c>
      <c r="M221" s="302">
        <v>1.3177341778195661</v>
      </c>
      <c r="N221" s="302">
        <v>0.35103530344712597</v>
      </c>
      <c r="O221" s="302">
        <f t="shared" si="107"/>
        <v>8.335565669049025</v>
      </c>
    </row>
    <row r="222" spans="1:15" s="236" customFormat="1" x14ac:dyDescent="0.3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3">
      <c r="A223" s="244" t="s">
        <v>32</v>
      </c>
      <c r="B223" s="311">
        <f>SUM(B213:B221)</f>
        <v>155.77799999980536</v>
      </c>
      <c r="C223" s="311">
        <f t="shared" ref="C223:E223" si="109">SUM(C213:C221)</f>
        <v>10.578000000203312</v>
      </c>
      <c r="D223" s="311">
        <f t="shared" si="109"/>
        <v>14.79300000003059</v>
      </c>
      <c r="E223" s="311">
        <f t="shared" si="109"/>
        <v>181.14900000003928</v>
      </c>
      <c r="F223" s="311"/>
      <c r="G223" s="311">
        <f t="shared" ref="G223:J223" si="110">SUM(G213:G221)</f>
        <v>161.18599999957019</v>
      </c>
      <c r="H223" s="311">
        <f t="shared" si="110"/>
        <v>15.948000000087823</v>
      </c>
      <c r="I223" s="311">
        <f t="shared" si="110"/>
        <v>9.0449999999775983</v>
      </c>
      <c r="J223" s="311">
        <f t="shared" si="110"/>
        <v>186.17899999963561</v>
      </c>
      <c r="K223" s="311"/>
      <c r="L223" s="311">
        <f t="shared" ref="L223:O223" si="111">SUM(L213:L221)</f>
        <v>139.62600000027612</v>
      </c>
      <c r="M223" s="311">
        <f t="shared" si="111"/>
        <v>14.962999999914434</v>
      </c>
      <c r="N223" s="311">
        <f t="shared" si="111"/>
        <v>8.2070000000327177</v>
      </c>
      <c r="O223" s="311">
        <f t="shared" si="111"/>
        <v>162.79600000022327</v>
      </c>
    </row>
    <row r="224" spans="1:15" s="236" customFormat="1" x14ac:dyDescent="0.3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3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35</v>
      </c>
    </row>
    <row r="226" spans="1:15" s="236" customFormat="1" x14ac:dyDescent="0.3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3">
      <c r="A227" s="241" t="str">
        <f>name!A16</f>
        <v>Other non-metallic</v>
      </c>
      <c r="B227" s="375">
        <f>$B$6</f>
        <v>2015</v>
      </c>
      <c r="C227" s="375"/>
      <c r="D227" s="375"/>
      <c r="E227" s="375"/>
      <c r="F227" s="263"/>
      <c r="G227" s="375">
        <f>$G$6</f>
        <v>2020</v>
      </c>
      <c r="H227" s="375"/>
      <c r="I227" s="375"/>
      <c r="J227" s="375"/>
      <c r="K227" s="263"/>
      <c r="L227" s="375">
        <f>$L$6</f>
        <v>2035</v>
      </c>
      <c r="M227" s="375"/>
      <c r="N227" s="375"/>
      <c r="O227" s="375"/>
    </row>
    <row r="228" spans="1:15" s="236" customFormat="1" x14ac:dyDescent="0.3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3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3">
      <c r="A230" s="237" t="str">
        <f>name!E$4</f>
        <v>Managers, directors and senior officials</v>
      </c>
      <c r="B230" s="302">
        <v>9.786996714502866</v>
      </c>
      <c r="C230" s="302">
        <v>0.18265145846607395</v>
      </c>
      <c r="D230" s="302">
        <v>1.0268432439597373</v>
      </c>
      <c r="E230" s="302">
        <f>SUM(B230:D230)</f>
        <v>10.996491416928677</v>
      </c>
      <c r="F230" s="303"/>
      <c r="G230" s="302">
        <v>12.804477444389505</v>
      </c>
      <c r="H230" s="302">
        <v>0.49298211054884183</v>
      </c>
      <c r="I230" s="302">
        <v>0.5264519905095465</v>
      </c>
      <c r="J230" s="302">
        <f>SUM(G230:I230)</f>
        <v>13.823911545447894</v>
      </c>
      <c r="K230" s="303"/>
      <c r="L230" s="302">
        <v>11.189026737617697</v>
      </c>
      <c r="M230" s="302">
        <v>0.52665887820772783</v>
      </c>
      <c r="N230" s="302">
        <v>0.58081067167825051</v>
      </c>
      <c r="O230" s="302">
        <f>SUM(L230:N230)</f>
        <v>12.296496287503675</v>
      </c>
    </row>
    <row r="231" spans="1:15" s="236" customFormat="1" x14ac:dyDescent="0.3">
      <c r="A231" s="237" t="str">
        <f>name!E$5</f>
        <v>Professional occupations</v>
      </c>
      <c r="B231" s="302">
        <v>6.9625878722422918</v>
      </c>
      <c r="C231" s="302">
        <v>0.32742961785109731</v>
      </c>
      <c r="D231" s="302">
        <v>0.28478814160507632</v>
      </c>
      <c r="E231" s="302">
        <f t="shared" ref="E231:E238" si="112">SUM(B231:D231)</f>
        <v>7.5748056316984647</v>
      </c>
      <c r="F231" s="303"/>
      <c r="G231" s="302">
        <v>10.287955088214447</v>
      </c>
      <c r="H231" s="302">
        <v>0.74447729596441647</v>
      </c>
      <c r="I231" s="302">
        <v>0.14754073141823296</v>
      </c>
      <c r="J231" s="302">
        <f t="shared" ref="J231:J233" si="113">SUM(G231:I231)</f>
        <v>11.179973115597098</v>
      </c>
      <c r="K231" s="303"/>
      <c r="L231" s="302">
        <v>10.721175459856944</v>
      </c>
      <c r="M231" s="302">
        <v>0.79376855326956364</v>
      </c>
      <c r="N231" s="302">
        <v>0.11961254253360656</v>
      </c>
      <c r="O231" s="302">
        <f t="shared" ref="O231:O238" si="114">SUM(L231:N231)</f>
        <v>11.634556555660115</v>
      </c>
    </row>
    <row r="232" spans="1:15" s="236" customFormat="1" x14ac:dyDescent="0.3">
      <c r="A232" s="237" t="str">
        <f>name!E$6</f>
        <v>Associate professional occupations</v>
      </c>
      <c r="B232" s="302">
        <v>6.9060748657985824</v>
      </c>
      <c r="C232" s="302">
        <v>0.37946223031886323</v>
      </c>
      <c r="D232" s="302">
        <v>0.2440242214756243</v>
      </c>
      <c r="E232" s="302">
        <f t="shared" si="112"/>
        <v>7.5295613175930693</v>
      </c>
      <c r="F232" s="303"/>
      <c r="G232" s="302">
        <v>9.2387994302108201</v>
      </c>
      <c r="H232" s="302">
        <v>0.98741654348758134</v>
      </c>
      <c r="I232" s="302">
        <v>0.13234865217533773</v>
      </c>
      <c r="J232" s="302">
        <f t="shared" si="113"/>
        <v>10.35856462587374</v>
      </c>
      <c r="K232" s="303"/>
      <c r="L232" s="302">
        <v>8.2095818915347536</v>
      </c>
      <c r="M232" s="302">
        <v>0.7597076280752515</v>
      </c>
      <c r="N232" s="302">
        <v>0.12047229080919561</v>
      </c>
      <c r="O232" s="302">
        <f t="shared" si="114"/>
        <v>9.0897618104191995</v>
      </c>
    </row>
    <row r="233" spans="1:15" s="236" customFormat="1" x14ac:dyDescent="0.3">
      <c r="A233" s="237" t="str">
        <f>name!E$7</f>
        <v>Administrative and secretarial occupations</v>
      </c>
      <c r="B233" s="302">
        <v>4.6512815019575919</v>
      </c>
      <c r="C233" s="302">
        <v>1.1184558134043614</v>
      </c>
      <c r="D233" s="302">
        <v>0.25801877616474755</v>
      </c>
      <c r="E233" s="302">
        <f t="shared" si="112"/>
        <v>6.027756091526701</v>
      </c>
      <c r="F233" s="303"/>
      <c r="G233" s="302">
        <v>5.6865478637702314</v>
      </c>
      <c r="H233" s="302">
        <v>1.6820055832411449</v>
      </c>
      <c r="I233" s="302">
        <v>0.14930149522499994</v>
      </c>
      <c r="J233" s="302">
        <f t="shared" si="113"/>
        <v>7.5178549422363758</v>
      </c>
      <c r="K233" s="303"/>
      <c r="L233" s="302">
        <v>3.9546253100348063</v>
      </c>
      <c r="M233" s="302">
        <v>1.2408344650845657</v>
      </c>
      <c r="N233" s="302">
        <v>0.12926660567952583</v>
      </c>
      <c r="O233" s="302">
        <f t="shared" si="114"/>
        <v>5.3247263807988974</v>
      </c>
    </row>
    <row r="234" spans="1:15" s="236" customFormat="1" x14ac:dyDescent="0.3">
      <c r="A234" s="237" t="str">
        <f>name!E$8</f>
        <v>Skilled trades occupations</v>
      </c>
      <c r="B234" s="302">
        <v>14.277474837433298</v>
      </c>
      <c r="C234" s="302">
        <v>0.32495172674606204</v>
      </c>
      <c r="D234" s="302">
        <v>3.7693258463085422</v>
      </c>
      <c r="E234" s="302">
        <f t="shared" si="112"/>
        <v>18.371752410487904</v>
      </c>
      <c r="F234" s="303"/>
      <c r="G234" s="302">
        <v>14.657675128295265</v>
      </c>
      <c r="H234" s="302">
        <v>0.45122534349140214</v>
      </c>
      <c r="I234" s="302">
        <v>1.28215927382809</v>
      </c>
      <c r="J234" s="302">
        <f>SUM(G234:I234)</f>
        <v>16.391059745614758</v>
      </c>
      <c r="K234" s="303"/>
      <c r="L234" s="302">
        <v>10.85028015390367</v>
      </c>
      <c r="M234" s="302">
        <v>0.53935350131974547</v>
      </c>
      <c r="N234" s="302">
        <v>1.4595045473032722</v>
      </c>
      <c r="O234" s="302">
        <f t="shared" si="114"/>
        <v>12.849138202526687</v>
      </c>
    </row>
    <row r="235" spans="1:15" s="236" customFormat="1" x14ac:dyDescent="0.3">
      <c r="A235" s="237" t="str">
        <f>name!E$9</f>
        <v>Caring, leisure and other service occupations</v>
      </c>
      <c r="B235" s="302">
        <v>1.0281610814697182</v>
      </c>
      <c r="C235" s="302">
        <v>0.16160283916306672</v>
      </c>
      <c r="D235" s="302">
        <v>0.11406177733476042</v>
      </c>
      <c r="E235" s="302">
        <f t="shared" si="112"/>
        <v>1.3038256979675453</v>
      </c>
      <c r="F235" s="303"/>
      <c r="G235" s="302">
        <v>1.3491899641448311</v>
      </c>
      <c r="H235" s="302">
        <v>0.23704570056598367</v>
      </c>
      <c r="I235" s="302">
        <v>0.10691669871333792</v>
      </c>
      <c r="J235" s="302">
        <f t="shared" ref="J235:J238" si="115">SUM(G235:I235)</f>
        <v>1.6931523634241525</v>
      </c>
      <c r="K235" s="303"/>
      <c r="L235" s="302">
        <v>1.647050636688177</v>
      </c>
      <c r="M235" s="302">
        <v>0.19299727619631019</v>
      </c>
      <c r="N235" s="302">
        <v>0.1322764081368385</v>
      </c>
      <c r="O235" s="302">
        <f t="shared" si="114"/>
        <v>1.9723243210213255</v>
      </c>
    </row>
    <row r="236" spans="1:15" s="236" customFormat="1" x14ac:dyDescent="0.3">
      <c r="A236" s="237" t="str">
        <f>name!E$10</f>
        <v>Sales and customer service occupations</v>
      </c>
      <c r="B236" s="302">
        <v>2.1260676742714986</v>
      </c>
      <c r="C236" s="302">
        <v>0.54165096570684756</v>
      </c>
      <c r="D236" s="302">
        <v>0.2698411598475835</v>
      </c>
      <c r="E236" s="302">
        <f t="shared" si="112"/>
        <v>2.9375597998259297</v>
      </c>
      <c r="F236" s="303"/>
      <c r="G236" s="302">
        <v>2.3889167590104612</v>
      </c>
      <c r="H236" s="302">
        <v>0.71264809770210513</v>
      </c>
      <c r="I236" s="302">
        <v>0.10308112007541638</v>
      </c>
      <c r="J236" s="302">
        <f t="shared" si="115"/>
        <v>3.2046459767879827</v>
      </c>
      <c r="K236" s="303"/>
      <c r="L236" s="302">
        <v>2.1874682447813973</v>
      </c>
      <c r="M236" s="302">
        <v>0.73929601933048839</v>
      </c>
      <c r="N236" s="302">
        <v>8.9916527148105427E-2</v>
      </c>
      <c r="O236" s="302">
        <f t="shared" si="114"/>
        <v>3.0166807912599909</v>
      </c>
    </row>
    <row r="237" spans="1:15" s="236" customFormat="1" x14ac:dyDescent="0.3">
      <c r="A237" s="237" t="str">
        <f>name!E$11</f>
        <v>Process, plant and machine operatives</v>
      </c>
      <c r="B237" s="302">
        <v>22.164698874902857</v>
      </c>
      <c r="C237" s="302">
        <v>0.36626313909611646</v>
      </c>
      <c r="D237" s="302">
        <v>0.71026853970879966</v>
      </c>
      <c r="E237" s="302">
        <f t="shared" si="112"/>
        <v>23.241230553707773</v>
      </c>
      <c r="F237" s="303"/>
      <c r="G237" s="302">
        <v>21.68171220186446</v>
      </c>
      <c r="H237" s="302">
        <v>0.66607783582680069</v>
      </c>
      <c r="I237" s="302">
        <v>0.28215537621637188</v>
      </c>
      <c r="J237" s="302">
        <f t="shared" si="115"/>
        <v>22.629945413907635</v>
      </c>
      <c r="K237" s="303"/>
      <c r="L237" s="302">
        <v>20.110793959500079</v>
      </c>
      <c r="M237" s="302">
        <v>0.94254204205979708</v>
      </c>
      <c r="N237" s="302">
        <v>0.33075212149262606</v>
      </c>
      <c r="O237" s="302">
        <f t="shared" si="114"/>
        <v>21.384088123052504</v>
      </c>
    </row>
    <row r="238" spans="1:15" s="236" customFormat="1" x14ac:dyDescent="0.3">
      <c r="A238" s="237" t="str">
        <f>name!E$12</f>
        <v>Elementary occupations</v>
      </c>
      <c r="B238" s="302">
        <v>6.1586565772361874</v>
      </c>
      <c r="C238" s="302">
        <v>1.0665322093425671</v>
      </c>
      <c r="D238" s="302">
        <v>0.52782829357299621</v>
      </c>
      <c r="E238" s="302">
        <f t="shared" si="112"/>
        <v>7.7530170801517508</v>
      </c>
      <c r="F238" s="303"/>
      <c r="G238" s="302">
        <v>5.9177261199476838</v>
      </c>
      <c r="H238" s="302">
        <v>1.0971214892581631</v>
      </c>
      <c r="I238" s="302">
        <v>0.15704466180282958</v>
      </c>
      <c r="J238" s="302">
        <f t="shared" si="115"/>
        <v>7.1718922710086765</v>
      </c>
      <c r="K238" s="303"/>
      <c r="L238" s="302">
        <v>3.3689976061900864</v>
      </c>
      <c r="M238" s="302">
        <v>0.75984163643205394</v>
      </c>
      <c r="N238" s="302">
        <v>0.17238828518563629</v>
      </c>
      <c r="O238" s="302">
        <f t="shared" si="114"/>
        <v>4.301227527807777</v>
      </c>
    </row>
    <row r="239" spans="1:15" s="236" customFormat="1" x14ac:dyDescent="0.3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3">
      <c r="A240" s="244" t="s">
        <v>32</v>
      </c>
      <c r="B240" s="311">
        <f>SUM(B230:B238)</f>
        <v>74.061999999814887</v>
      </c>
      <c r="C240" s="311">
        <f t="shared" ref="C240:E240" si="116">SUM(C230:C238)</f>
        <v>4.4690000000950558</v>
      </c>
      <c r="D240" s="311">
        <f t="shared" si="116"/>
        <v>7.2049999999778676</v>
      </c>
      <c r="E240" s="311">
        <f t="shared" si="116"/>
        <v>85.73599999988781</v>
      </c>
      <c r="F240" s="311"/>
      <c r="G240" s="311">
        <f t="shared" ref="G240:J240" si="117">SUM(G230:G238)</f>
        <v>84.012999999847707</v>
      </c>
      <c r="H240" s="311">
        <f t="shared" si="117"/>
        <v>7.0710000000864399</v>
      </c>
      <c r="I240" s="311">
        <f t="shared" si="117"/>
        <v>2.8869999999641625</v>
      </c>
      <c r="J240" s="311">
        <f t="shared" si="117"/>
        <v>93.970999999898311</v>
      </c>
      <c r="K240" s="311"/>
      <c r="L240" s="311">
        <f t="shared" ref="L240:O240" si="118">SUM(L230:L238)</f>
        <v>72.239000000107623</v>
      </c>
      <c r="M240" s="311">
        <f t="shared" si="118"/>
        <v>6.4949999999755033</v>
      </c>
      <c r="N240" s="311">
        <f t="shared" si="118"/>
        <v>3.1349999999670568</v>
      </c>
      <c r="O240" s="311">
        <f t="shared" si="118"/>
        <v>81.869000000050178</v>
      </c>
    </row>
    <row r="241" spans="1:15" s="236" customFormat="1" x14ac:dyDescent="0.3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3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35</v>
      </c>
    </row>
    <row r="243" spans="1:15" s="236" customFormat="1" x14ac:dyDescent="0.3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3">
      <c r="A244" s="241" t="str">
        <f>name!A17</f>
        <v>Basic metals</v>
      </c>
      <c r="B244" s="375">
        <f>$B$6</f>
        <v>2015</v>
      </c>
      <c r="C244" s="375"/>
      <c r="D244" s="375"/>
      <c r="E244" s="375"/>
      <c r="F244" s="263"/>
      <c r="G244" s="375">
        <f>$G$6</f>
        <v>2020</v>
      </c>
      <c r="H244" s="375"/>
      <c r="I244" s="375"/>
      <c r="J244" s="375"/>
      <c r="K244" s="263"/>
      <c r="L244" s="375">
        <f>$L$6</f>
        <v>2035</v>
      </c>
      <c r="M244" s="375"/>
      <c r="N244" s="375"/>
      <c r="O244" s="375"/>
    </row>
    <row r="245" spans="1:15" s="236" customFormat="1" x14ac:dyDescent="0.3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3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3">
      <c r="A247" s="237" t="str">
        <f>name!E$4</f>
        <v>Managers, directors and senior officials</v>
      </c>
      <c r="B247" s="302">
        <v>4.3405508596395013</v>
      </c>
      <c r="C247" s="302">
        <v>0.2360643703944067</v>
      </c>
      <c r="D247" s="302">
        <v>0.49229207183008189</v>
      </c>
      <c r="E247" s="302">
        <f>SUM(B247:D247)</f>
        <v>5.0689073018639901</v>
      </c>
      <c r="F247" s="303"/>
      <c r="G247" s="302">
        <v>4.7527101999457049</v>
      </c>
      <c r="H247" s="302">
        <v>0.41059959233361482</v>
      </c>
      <c r="I247" s="302">
        <v>0.29847268536604565</v>
      </c>
      <c r="J247" s="302">
        <f>SUM(G247:I247)</f>
        <v>5.4617824776453654</v>
      </c>
      <c r="K247" s="303"/>
      <c r="L247" s="302">
        <v>4.13410980602655</v>
      </c>
      <c r="M247" s="302">
        <v>0.36779119916494629</v>
      </c>
      <c r="N247" s="302">
        <v>0.30287528351329079</v>
      </c>
      <c r="O247" s="302">
        <f>SUM(L247:N247)</f>
        <v>4.8047762887047867</v>
      </c>
    </row>
    <row r="248" spans="1:15" s="236" customFormat="1" x14ac:dyDescent="0.3">
      <c r="A248" s="237" t="str">
        <f>name!E$5</f>
        <v>Professional occupations</v>
      </c>
      <c r="B248" s="302">
        <v>7.7995135066525547</v>
      </c>
      <c r="C248" s="302">
        <v>0.13793352661248179</v>
      </c>
      <c r="D248" s="302">
        <v>0.40412289714914928</v>
      </c>
      <c r="E248" s="302">
        <f t="shared" ref="E248:E255" si="119">SUM(B248:D248)</f>
        <v>8.3415699304141864</v>
      </c>
      <c r="F248" s="303"/>
      <c r="G248" s="302">
        <v>9.2380875031679039</v>
      </c>
      <c r="H248" s="302">
        <v>0.25554738205693356</v>
      </c>
      <c r="I248" s="302">
        <v>0.21979311481148386</v>
      </c>
      <c r="J248" s="302">
        <f t="shared" ref="J248:J250" si="120">SUM(G248:I248)</f>
        <v>9.7134280000363216</v>
      </c>
      <c r="K248" s="303"/>
      <c r="L248" s="302">
        <v>9.4585957527880229</v>
      </c>
      <c r="M248" s="302">
        <v>0.2164875579837216</v>
      </c>
      <c r="N248" s="302">
        <v>0.16440978708260121</v>
      </c>
      <c r="O248" s="302">
        <f t="shared" ref="O248:O255" si="121">SUM(L248:N248)</f>
        <v>9.839493097854346</v>
      </c>
    </row>
    <row r="249" spans="1:15" s="236" customFormat="1" x14ac:dyDescent="0.3">
      <c r="A249" s="237" t="str">
        <f>name!E$6</f>
        <v>Associate professional occupations</v>
      </c>
      <c r="B249" s="302">
        <v>5.2534848873105027</v>
      </c>
      <c r="C249" s="302">
        <v>0.20197887262968414</v>
      </c>
      <c r="D249" s="302">
        <v>0.20628865822252943</v>
      </c>
      <c r="E249" s="302">
        <f t="shared" si="119"/>
        <v>5.6617524181627168</v>
      </c>
      <c r="F249" s="303"/>
      <c r="G249" s="302">
        <v>6.0686165848212781</v>
      </c>
      <c r="H249" s="302">
        <v>0.27749537862013901</v>
      </c>
      <c r="I249" s="302">
        <v>0.14332351964376219</v>
      </c>
      <c r="J249" s="302">
        <f t="shared" si="120"/>
        <v>6.4894354830851793</v>
      </c>
      <c r="K249" s="303"/>
      <c r="L249" s="302">
        <v>5.082758090625366</v>
      </c>
      <c r="M249" s="302">
        <v>0.20350293414250917</v>
      </c>
      <c r="N249" s="302">
        <v>0.14539569694482588</v>
      </c>
      <c r="O249" s="302">
        <f t="shared" si="121"/>
        <v>5.4316567217127014</v>
      </c>
    </row>
    <row r="250" spans="1:15" s="236" customFormat="1" x14ac:dyDescent="0.3">
      <c r="A250" s="237" t="str">
        <f>name!E$7</f>
        <v>Administrative and secretarial occupations</v>
      </c>
      <c r="B250" s="302">
        <v>4.1389631349426184</v>
      </c>
      <c r="C250" s="302">
        <v>0.63643157090479763</v>
      </c>
      <c r="D250" s="302">
        <v>5.7198109978092292E-2</v>
      </c>
      <c r="E250" s="302">
        <f t="shared" si="119"/>
        <v>4.8325928158255085</v>
      </c>
      <c r="F250" s="303"/>
      <c r="G250" s="302">
        <v>4.1365974660219527</v>
      </c>
      <c r="H250" s="302">
        <v>0.62692804790118617</v>
      </c>
      <c r="I250" s="302">
        <v>4.2584869298421528E-2</v>
      </c>
      <c r="J250" s="302">
        <f t="shared" si="120"/>
        <v>4.8061103832215606</v>
      </c>
      <c r="K250" s="303"/>
      <c r="L250" s="302">
        <v>3.4701866105861248</v>
      </c>
      <c r="M250" s="302">
        <v>0.44735043315373862</v>
      </c>
      <c r="N250" s="302">
        <v>4.4746880469608105E-2</v>
      </c>
      <c r="O250" s="302">
        <f t="shared" si="121"/>
        <v>3.9622839242094718</v>
      </c>
    </row>
    <row r="251" spans="1:15" s="236" customFormat="1" x14ac:dyDescent="0.3">
      <c r="A251" s="237" t="str">
        <f>name!E$8</f>
        <v>Skilled trades occupations</v>
      </c>
      <c r="B251" s="302">
        <v>21.87885812244328</v>
      </c>
      <c r="C251" s="302">
        <v>0.56490033735301903</v>
      </c>
      <c r="D251" s="302">
        <v>0.63159472855826249</v>
      </c>
      <c r="E251" s="302">
        <f t="shared" si="119"/>
        <v>23.075353188354562</v>
      </c>
      <c r="F251" s="303"/>
      <c r="G251" s="302">
        <v>17.926278006785768</v>
      </c>
      <c r="H251" s="302">
        <v>0.50168700078127137</v>
      </c>
      <c r="I251" s="302">
        <v>0.21380465033310717</v>
      </c>
      <c r="J251" s="302">
        <f>SUM(G251:I251)</f>
        <v>18.641769657900145</v>
      </c>
      <c r="K251" s="303"/>
      <c r="L251" s="302">
        <v>13.062844847335626</v>
      </c>
      <c r="M251" s="302">
        <v>0.50159691621092484</v>
      </c>
      <c r="N251" s="302">
        <v>0.21360571099454875</v>
      </c>
      <c r="O251" s="302">
        <f t="shared" si="121"/>
        <v>13.778047474541099</v>
      </c>
    </row>
    <row r="252" spans="1:15" s="236" customFormat="1" x14ac:dyDescent="0.3">
      <c r="A252" s="237" t="str">
        <f>name!E$9</f>
        <v>Caring, leisure and other service occupations</v>
      </c>
      <c r="B252" s="302">
        <v>1.0365632676813474</v>
      </c>
      <c r="C252" s="302">
        <v>5.6948138280768501E-2</v>
      </c>
      <c r="D252" s="302">
        <v>2.7955991915470518E-2</v>
      </c>
      <c r="E252" s="302">
        <f t="shared" si="119"/>
        <v>1.1214673978775864</v>
      </c>
      <c r="F252" s="303"/>
      <c r="G252" s="302">
        <v>1.1522330155346421</v>
      </c>
      <c r="H252" s="302">
        <v>8.539467563044037E-2</v>
      </c>
      <c r="I252" s="302">
        <v>3.4231266756670861E-2</v>
      </c>
      <c r="J252" s="302">
        <f t="shared" ref="J252:J255" si="122">SUM(G252:I252)</f>
        <v>1.2718589579217534</v>
      </c>
      <c r="K252" s="303"/>
      <c r="L252" s="302">
        <v>1.2580390046259369</v>
      </c>
      <c r="M252" s="302">
        <v>6.6480322675691622E-2</v>
      </c>
      <c r="N252" s="302">
        <v>2.7563995083007421E-2</v>
      </c>
      <c r="O252" s="302">
        <f t="shared" si="121"/>
        <v>1.3520833223846358</v>
      </c>
    </row>
    <row r="253" spans="1:15" s="236" customFormat="1" x14ac:dyDescent="0.3">
      <c r="A253" s="237" t="str">
        <f>name!E$10</f>
        <v>Sales and customer service occupations</v>
      </c>
      <c r="B253" s="302">
        <v>0.61016606691763475</v>
      </c>
      <c r="C253" s="302">
        <v>0.12329002374101689</v>
      </c>
      <c r="D253" s="302">
        <v>4.2874773296789209E-2</v>
      </c>
      <c r="E253" s="302">
        <f t="shared" si="119"/>
        <v>0.77633086395544082</v>
      </c>
      <c r="F253" s="303"/>
      <c r="G253" s="302">
        <v>0.59634291850879428</v>
      </c>
      <c r="H253" s="302">
        <v>0.12816307475577526</v>
      </c>
      <c r="I253" s="302">
        <v>1.965564797641825E-2</v>
      </c>
      <c r="J253" s="302">
        <f t="shared" si="122"/>
        <v>0.74416164124098783</v>
      </c>
      <c r="K253" s="303"/>
      <c r="L253" s="302">
        <v>0.63816876676026379</v>
      </c>
      <c r="M253" s="302">
        <v>0.11846064479051305</v>
      </c>
      <c r="N253" s="302">
        <v>1.8595713007956399E-2</v>
      </c>
      <c r="O253" s="302">
        <f t="shared" si="121"/>
        <v>0.77522512455873316</v>
      </c>
    </row>
    <row r="254" spans="1:15" s="236" customFormat="1" x14ac:dyDescent="0.3">
      <c r="A254" s="237" t="str">
        <f>name!E$11</f>
        <v>Process, plant and machine operatives</v>
      </c>
      <c r="B254" s="302">
        <v>13.733080063152606</v>
      </c>
      <c r="C254" s="302">
        <v>0.47128906079191268</v>
      </c>
      <c r="D254" s="302">
        <v>0.36751093718299116</v>
      </c>
      <c r="E254" s="302">
        <f t="shared" si="119"/>
        <v>14.57188006112751</v>
      </c>
      <c r="F254" s="303"/>
      <c r="G254" s="302">
        <v>10.947161519289089</v>
      </c>
      <c r="H254" s="302">
        <v>0.42052137924973748</v>
      </c>
      <c r="I254" s="302">
        <v>0.17198766266765975</v>
      </c>
      <c r="J254" s="302">
        <f t="shared" si="122"/>
        <v>11.539670561206487</v>
      </c>
      <c r="K254" s="303"/>
      <c r="L254" s="302">
        <v>10.742899306845445</v>
      </c>
      <c r="M254" s="302">
        <v>0.47538365386587911</v>
      </c>
      <c r="N254" s="302">
        <v>0.18053625352294933</v>
      </c>
      <c r="O254" s="302">
        <f t="shared" si="121"/>
        <v>11.398819214234273</v>
      </c>
    </row>
    <row r="255" spans="1:15" s="236" customFormat="1" x14ac:dyDescent="0.3">
      <c r="A255" s="237" t="str">
        <f>name!E$12</f>
        <v>Elementary occupations</v>
      </c>
      <c r="B255" s="302">
        <v>3.1668200911967963</v>
      </c>
      <c r="C255" s="302">
        <v>0.32816409932576879</v>
      </c>
      <c r="D255" s="302">
        <v>0.33916183186105675</v>
      </c>
      <c r="E255" s="302">
        <f t="shared" si="119"/>
        <v>3.8341460223836217</v>
      </c>
      <c r="F255" s="303"/>
      <c r="G255" s="302">
        <v>2.5559727858794221</v>
      </c>
      <c r="H255" s="302">
        <v>0.33866346867897007</v>
      </c>
      <c r="I255" s="302">
        <v>0.12814658314482144</v>
      </c>
      <c r="J255" s="302">
        <f t="shared" si="122"/>
        <v>3.0227828377032138</v>
      </c>
      <c r="K255" s="303"/>
      <c r="L255" s="302">
        <v>1.4883978145604628</v>
      </c>
      <c r="M255" s="302">
        <v>0.20294633800194839</v>
      </c>
      <c r="N255" s="302">
        <v>0.14727067938412564</v>
      </c>
      <c r="O255" s="302">
        <f t="shared" si="121"/>
        <v>1.8386148319465367</v>
      </c>
    </row>
    <row r="256" spans="1:15" s="236" customFormat="1" x14ac:dyDescent="0.3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3">
      <c r="A257" s="244" t="s">
        <v>32</v>
      </c>
      <c r="B257" s="311">
        <f>SUM(B247:B255)</f>
        <v>61.957999999936838</v>
      </c>
      <c r="C257" s="311">
        <f t="shared" ref="C257:E257" si="123">SUM(C247:C255)</f>
        <v>2.7570000000338557</v>
      </c>
      <c r="D257" s="311">
        <f t="shared" si="123"/>
        <v>2.5689999999944226</v>
      </c>
      <c r="E257" s="311">
        <f t="shared" si="123"/>
        <v>67.283999999965133</v>
      </c>
      <c r="F257" s="311"/>
      <c r="G257" s="311">
        <f t="shared" ref="G257:J257" si="124">SUM(G247:G255)</f>
        <v>57.373999999954549</v>
      </c>
      <c r="H257" s="311">
        <f t="shared" si="124"/>
        <v>3.0450000000080681</v>
      </c>
      <c r="I257" s="311">
        <f t="shared" si="124"/>
        <v>1.2719999999983909</v>
      </c>
      <c r="J257" s="311">
        <f t="shared" si="124"/>
        <v>61.690999999961008</v>
      </c>
      <c r="K257" s="311"/>
      <c r="L257" s="311">
        <f t="shared" ref="L257:O257" si="125">SUM(L247:L255)</f>
        <v>49.336000000153795</v>
      </c>
      <c r="M257" s="311">
        <f t="shared" si="125"/>
        <v>2.5999999999898726</v>
      </c>
      <c r="N257" s="311">
        <f t="shared" si="125"/>
        <v>1.2450000000029133</v>
      </c>
      <c r="O257" s="311">
        <f t="shared" si="125"/>
        <v>53.181000000146582</v>
      </c>
    </row>
    <row r="258" spans="1:15" s="236" customFormat="1" x14ac:dyDescent="0.3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3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35</v>
      </c>
    </row>
    <row r="260" spans="1:15" s="236" customFormat="1" x14ac:dyDescent="0.3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3">
      <c r="A261" s="241" t="str">
        <f>name!A18</f>
        <v>Metal products</v>
      </c>
      <c r="B261" s="375">
        <f>$B$6</f>
        <v>2015</v>
      </c>
      <c r="C261" s="375"/>
      <c r="D261" s="375"/>
      <c r="E261" s="375"/>
      <c r="F261" s="263"/>
      <c r="G261" s="375">
        <f>$G$6</f>
        <v>2020</v>
      </c>
      <c r="H261" s="375"/>
      <c r="I261" s="375"/>
      <c r="J261" s="375"/>
      <c r="K261" s="263"/>
      <c r="L261" s="375">
        <f>$L$6</f>
        <v>2035</v>
      </c>
      <c r="M261" s="375"/>
      <c r="N261" s="375"/>
      <c r="O261" s="375"/>
    </row>
    <row r="262" spans="1:15" s="236" customFormat="1" x14ac:dyDescent="0.3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3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3">
      <c r="A264" s="237" t="str">
        <f>name!E$4</f>
        <v>Managers, directors and senior officials</v>
      </c>
      <c r="B264" s="302">
        <v>28.082927631412471</v>
      </c>
      <c r="C264" s="302">
        <v>2.1547174621326817</v>
      </c>
      <c r="D264" s="302">
        <v>3.0568287661038109</v>
      </c>
      <c r="E264" s="302">
        <f>SUM(B264:D264)</f>
        <v>33.29447385964896</v>
      </c>
      <c r="F264" s="303"/>
      <c r="G264" s="302">
        <v>27.393477511486903</v>
      </c>
      <c r="H264" s="302">
        <v>3.0624294014634565</v>
      </c>
      <c r="I264" s="302">
        <v>3.4954240477802196</v>
      </c>
      <c r="J264" s="302">
        <f>SUM(G264:I264)</f>
        <v>33.95133096073058</v>
      </c>
      <c r="K264" s="303"/>
      <c r="L264" s="302">
        <v>24.665177362780202</v>
      </c>
      <c r="M264" s="302">
        <v>3.0338876837775315</v>
      </c>
      <c r="N264" s="302">
        <v>2.8600370516465814</v>
      </c>
      <c r="O264" s="302">
        <f>SUM(L264:N264)</f>
        <v>30.559102098204317</v>
      </c>
    </row>
    <row r="265" spans="1:15" s="236" customFormat="1" x14ac:dyDescent="0.3">
      <c r="A265" s="237" t="str">
        <f>name!E$5</f>
        <v>Professional occupations</v>
      </c>
      <c r="B265" s="302">
        <v>36.488022217989624</v>
      </c>
      <c r="C265" s="302">
        <v>1.5858893067338644</v>
      </c>
      <c r="D265" s="302">
        <v>1.7892822312524264</v>
      </c>
      <c r="E265" s="302">
        <f t="shared" ref="E265:E272" si="126">SUM(B265:D265)</f>
        <v>39.863193755975914</v>
      </c>
      <c r="F265" s="303"/>
      <c r="G265" s="302">
        <v>39.571206860452058</v>
      </c>
      <c r="H265" s="302">
        <v>2.2369265031387449</v>
      </c>
      <c r="I265" s="302">
        <v>1.6651008627623323</v>
      </c>
      <c r="J265" s="302">
        <f t="shared" ref="J265:J267" si="127">SUM(G265:I265)</f>
        <v>43.473234226353135</v>
      </c>
      <c r="K265" s="303"/>
      <c r="L265" s="302">
        <v>41.685954102497483</v>
      </c>
      <c r="M265" s="302">
        <v>2.0386753637713708</v>
      </c>
      <c r="N265" s="302">
        <v>1.0227239442165563</v>
      </c>
      <c r="O265" s="302">
        <f t="shared" ref="O265:O272" si="128">SUM(L265:N265)</f>
        <v>44.74735341048541</v>
      </c>
    </row>
    <row r="266" spans="1:15" s="236" customFormat="1" x14ac:dyDescent="0.3">
      <c r="A266" s="237" t="str">
        <f>name!E$6</f>
        <v>Associate professional occupations</v>
      </c>
      <c r="B266" s="302">
        <v>33.173645143211239</v>
      </c>
      <c r="C266" s="302">
        <v>1.7536106738976385</v>
      </c>
      <c r="D266" s="302">
        <v>0.71121693930382546</v>
      </c>
      <c r="E266" s="302">
        <f t="shared" si="126"/>
        <v>35.638472756412703</v>
      </c>
      <c r="F266" s="303"/>
      <c r="G266" s="302">
        <v>33.848737970617556</v>
      </c>
      <c r="H266" s="302">
        <v>2.3034183353282289</v>
      </c>
      <c r="I266" s="302">
        <v>0.66689078462704798</v>
      </c>
      <c r="J266" s="302">
        <f t="shared" si="127"/>
        <v>36.819047090572838</v>
      </c>
      <c r="K266" s="303"/>
      <c r="L266" s="302">
        <v>28.301684131480283</v>
      </c>
      <c r="M266" s="302">
        <v>1.6090809720836148</v>
      </c>
      <c r="N266" s="302">
        <v>0.53632805433675279</v>
      </c>
      <c r="O266" s="302">
        <f t="shared" si="128"/>
        <v>30.44709315790065</v>
      </c>
    </row>
    <row r="267" spans="1:15" s="236" customFormat="1" x14ac:dyDescent="0.3">
      <c r="A267" s="237" t="str">
        <f>name!E$7</f>
        <v>Administrative and secretarial occupations</v>
      </c>
      <c r="B267" s="302">
        <v>15.414110000965001</v>
      </c>
      <c r="C267" s="302">
        <v>7.6348609279729054</v>
      </c>
      <c r="D267" s="302">
        <v>0.482924057632999</v>
      </c>
      <c r="E267" s="302">
        <f t="shared" si="126"/>
        <v>23.531894986570904</v>
      </c>
      <c r="F267" s="303"/>
      <c r="G267" s="302">
        <v>13.506592462586955</v>
      </c>
      <c r="H267" s="302">
        <v>6.9172431710914104</v>
      </c>
      <c r="I267" s="302">
        <v>0.61761229485433244</v>
      </c>
      <c r="J267" s="302">
        <f t="shared" si="127"/>
        <v>21.041447928532698</v>
      </c>
      <c r="K267" s="303"/>
      <c r="L267" s="302">
        <v>10.008004101521323</v>
      </c>
      <c r="M267" s="302">
        <v>4.5293121557831508</v>
      </c>
      <c r="N267" s="302">
        <v>0.40863787721171829</v>
      </c>
      <c r="O267" s="302">
        <f t="shared" si="128"/>
        <v>14.945954134516192</v>
      </c>
    </row>
    <row r="268" spans="1:15" s="236" customFormat="1" x14ac:dyDescent="0.3">
      <c r="A268" s="237" t="str">
        <f>name!E$8</f>
        <v>Skilled trades occupations</v>
      </c>
      <c r="B268" s="302">
        <v>117.99742687238351</v>
      </c>
      <c r="C268" s="302">
        <v>4.3086258411823755</v>
      </c>
      <c r="D268" s="302">
        <v>5.671396800170406</v>
      </c>
      <c r="E268" s="302">
        <f t="shared" si="126"/>
        <v>127.9774495137363</v>
      </c>
      <c r="F268" s="303"/>
      <c r="G268" s="302">
        <v>86.019655960051907</v>
      </c>
      <c r="H268" s="302">
        <v>4.0431786233000002</v>
      </c>
      <c r="I268" s="302">
        <v>3.7894239303561603</v>
      </c>
      <c r="J268" s="302">
        <f>SUM(G268:I268)</f>
        <v>93.852258513708065</v>
      </c>
      <c r="K268" s="303"/>
      <c r="L268" s="302">
        <v>64.528496733149126</v>
      </c>
      <c r="M268" s="302">
        <v>3.8755340438380927</v>
      </c>
      <c r="N268" s="302">
        <v>2.8950063668393158</v>
      </c>
      <c r="O268" s="302">
        <f t="shared" si="128"/>
        <v>71.299037143826524</v>
      </c>
    </row>
    <row r="269" spans="1:15" s="236" customFormat="1" x14ac:dyDescent="0.3">
      <c r="A269" s="237" t="str">
        <f>name!E$9</f>
        <v>Caring, leisure and other service occupations</v>
      </c>
      <c r="B269" s="302">
        <v>2.3231298190890319</v>
      </c>
      <c r="C269" s="302">
        <v>0.30251135210573044</v>
      </c>
      <c r="D269" s="302">
        <v>0.14100412632454223</v>
      </c>
      <c r="E269" s="302">
        <f t="shared" si="126"/>
        <v>2.7666452975193043</v>
      </c>
      <c r="F269" s="303"/>
      <c r="G269" s="302">
        <v>2.0854676413874853</v>
      </c>
      <c r="H269" s="302">
        <v>0.31545753573804974</v>
      </c>
      <c r="I269" s="302">
        <v>0.20716665346083749</v>
      </c>
      <c r="J269" s="302">
        <f t="shared" ref="J269:J272" si="129">SUM(G269:I269)</f>
        <v>2.6080918305863725</v>
      </c>
      <c r="K269" s="303"/>
      <c r="L269" s="302">
        <v>2.5662481112923166</v>
      </c>
      <c r="M269" s="302">
        <v>0.22878324991556065</v>
      </c>
      <c r="N269" s="302">
        <v>0.26782887690202545</v>
      </c>
      <c r="O269" s="302">
        <f t="shared" si="128"/>
        <v>3.0628602381099026</v>
      </c>
    </row>
    <row r="270" spans="1:15" s="236" customFormat="1" x14ac:dyDescent="0.3">
      <c r="A270" s="237" t="str">
        <f>name!E$10</f>
        <v>Sales and customer service occupations</v>
      </c>
      <c r="B270" s="302">
        <v>3.7389379661350342</v>
      </c>
      <c r="C270" s="302">
        <v>0.8683437963235936</v>
      </c>
      <c r="D270" s="302">
        <v>0.30249716670797167</v>
      </c>
      <c r="E270" s="302">
        <f t="shared" si="126"/>
        <v>4.9097789291665999</v>
      </c>
      <c r="F270" s="303"/>
      <c r="G270" s="302">
        <v>3.0834764373169565</v>
      </c>
      <c r="H270" s="302">
        <v>0.9035728688076482</v>
      </c>
      <c r="I270" s="302">
        <v>0.24753677236948615</v>
      </c>
      <c r="J270" s="302">
        <f t="shared" si="129"/>
        <v>4.2345860784940905</v>
      </c>
      <c r="K270" s="303"/>
      <c r="L270" s="302">
        <v>3.0754321871645152</v>
      </c>
      <c r="M270" s="302">
        <v>0.92629208672986096</v>
      </c>
      <c r="N270" s="302">
        <v>0.19658632282974936</v>
      </c>
      <c r="O270" s="302">
        <f t="shared" si="128"/>
        <v>4.1983105967241254</v>
      </c>
    </row>
    <row r="271" spans="1:15" s="236" customFormat="1" x14ac:dyDescent="0.3">
      <c r="A271" s="237" t="str">
        <f>name!E$11</f>
        <v>Process, plant and machine operatives</v>
      </c>
      <c r="B271" s="302">
        <v>44.882884592820012</v>
      </c>
      <c r="C271" s="302">
        <v>3.2280359167698371</v>
      </c>
      <c r="D271" s="302">
        <v>0.79412389877398271</v>
      </c>
      <c r="E271" s="302">
        <f t="shared" si="126"/>
        <v>48.905044408363828</v>
      </c>
      <c r="F271" s="303"/>
      <c r="G271" s="302">
        <v>30.379199608015877</v>
      </c>
      <c r="H271" s="302">
        <v>3.4429651243133677</v>
      </c>
      <c r="I271" s="302">
        <v>0.60399777953768308</v>
      </c>
      <c r="J271" s="302">
        <f t="shared" si="129"/>
        <v>34.426162511866927</v>
      </c>
      <c r="K271" s="303"/>
      <c r="L271" s="302">
        <v>30.353720521772956</v>
      </c>
      <c r="M271" s="302">
        <v>4.2668836457171926</v>
      </c>
      <c r="N271" s="302">
        <v>0.58647193982334345</v>
      </c>
      <c r="O271" s="302">
        <f t="shared" si="128"/>
        <v>35.20707610731349</v>
      </c>
    </row>
    <row r="272" spans="1:15" s="236" customFormat="1" x14ac:dyDescent="0.3">
      <c r="A272" s="237" t="str">
        <f>name!E$12</f>
        <v>Elementary occupations</v>
      </c>
      <c r="B272" s="302">
        <v>12.812915755354192</v>
      </c>
      <c r="C272" s="302">
        <v>2.3504047231577294</v>
      </c>
      <c r="D272" s="302">
        <v>0.48272601372010909</v>
      </c>
      <c r="E272" s="302">
        <f t="shared" si="126"/>
        <v>15.646046492232029</v>
      </c>
      <c r="F272" s="303"/>
      <c r="G272" s="302">
        <v>8.711185547280845</v>
      </c>
      <c r="H272" s="302">
        <v>2.0218084369786729</v>
      </c>
      <c r="I272" s="302">
        <v>0.35984687416887989</v>
      </c>
      <c r="J272" s="302">
        <f t="shared" si="129"/>
        <v>11.092840858428399</v>
      </c>
      <c r="K272" s="303"/>
      <c r="L272" s="302">
        <v>4.9622827487943599</v>
      </c>
      <c r="M272" s="302">
        <v>1.2315507982999758</v>
      </c>
      <c r="N272" s="302">
        <v>0.29337956612777433</v>
      </c>
      <c r="O272" s="302">
        <f t="shared" si="128"/>
        <v>6.4872131132221105</v>
      </c>
    </row>
    <row r="273" spans="1:15" s="236" customFormat="1" x14ac:dyDescent="0.3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3">
      <c r="A274" s="244" t="s">
        <v>32</v>
      </c>
      <c r="B274" s="311">
        <f>SUM(B264:B272)</f>
        <v>294.91399999936016</v>
      </c>
      <c r="C274" s="311">
        <f t="shared" ref="C274:E274" si="130">SUM(C264:C272)</f>
        <v>24.18700000027636</v>
      </c>
      <c r="D274" s="311">
        <f t="shared" si="130"/>
        <v>13.431999999990074</v>
      </c>
      <c r="E274" s="311">
        <f t="shared" si="130"/>
        <v>332.5329999996265</v>
      </c>
      <c r="F274" s="311"/>
      <c r="G274" s="311">
        <f t="shared" ref="G274:J274" si="131">SUM(G264:G272)</f>
        <v>244.59899999919654</v>
      </c>
      <c r="H274" s="311">
        <f t="shared" si="131"/>
        <v>25.247000000159577</v>
      </c>
      <c r="I274" s="311">
        <f t="shared" si="131"/>
        <v>11.652999999916981</v>
      </c>
      <c r="J274" s="311">
        <f t="shared" si="131"/>
        <v>281.49899999927317</v>
      </c>
      <c r="K274" s="311"/>
      <c r="L274" s="311">
        <f t="shared" ref="L274:O274" si="132">SUM(L264:L272)</f>
        <v>210.14700000045261</v>
      </c>
      <c r="M274" s="311">
        <f t="shared" si="132"/>
        <v>21.73999999991635</v>
      </c>
      <c r="N274" s="311">
        <f t="shared" si="132"/>
        <v>9.0669999999338167</v>
      </c>
      <c r="O274" s="311">
        <f t="shared" si="132"/>
        <v>240.95400000030273</v>
      </c>
    </row>
    <row r="275" spans="1:15" s="236" customFormat="1" x14ac:dyDescent="0.3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3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35</v>
      </c>
    </row>
    <row r="277" spans="1:15" s="236" customFormat="1" x14ac:dyDescent="0.3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3">
      <c r="A278" s="241" t="str">
        <f>name!A19</f>
        <v>Computer, etc</v>
      </c>
      <c r="B278" s="375">
        <f>$B$6</f>
        <v>2015</v>
      </c>
      <c r="C278" s="375"/>
      <c r="D278" s="375"/>
      <c r="E278" s="375"/>
      <c r="F278" s="263"/>
      <c r="G278" s="375">
        <f>$G$6</f>
        <v>2020</v>
      </c>
      <c r="H278" s="375"/>
      <c r="I278" s="375"/>
      <c r="J278" s="375"/>
      <c r="K278" s="263"/>
      <c r="L278" s="375">
        <f>$L$6</f>
        <v>2035</v>
      </c>
      <c r="M278" s="375"/>
      <c r="N278" s="375"/>
      <c r="O278" s="375"/>
    </row>
    <row r="279" spans="1:15" s="236" customFormat="1" x14ac:dyDescent="0.3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3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3">
      <c r="A281" s="237" t="str">
        <f>name!E$4</f>
        <v>Managers, directors and senior officials</v>
      </c>
      <c r="B281" s="302">
        <v>15.436944223067579</v>
      </c>
      <c r="C281" s="302">
        <v>0.83549749908376758</v>
      </c>
      <c r="D281" s="302">
        <v>0.98694149496577954</v>
      </c>
      <c r="E281" s="302">
        <f>SUM(B281:D281)</f>
        <v>17.259383217117126</v>
      </c>
      <c r="F281" s="303"/>
      <c r="G281" s="302">
        <v>18.083672134492044</v>
      </c>
      <c r="H281" s="302">
        <v>1.0388634180204248</v>
      </c>
      <c r="I281" s="302">
        <v>1.20681498404083</v>
      </c>
      <c r="J281" s="302">
        <f>SUM(G281:I281)</f>
        <v>20.329350536553299</v>
      </c>
      <c r="K281" s="303"/>
      <c r="L281" s="302">
        <v>16.587579316810828</v>
      </c>
      <c r="M281" s="302">
        <v>0.9440748544009987</v>
      </c>
      <c r="N281" s="302">
        <v>1.1043499523643852</v>
      </c>
      <c r="O281" s="302">
        <f>SUM(L281:N281)</f>
        <v>18.63600412357621</v>
      </c>
    </row>
    <row r="282" spans="1:15" s="236" customFormat="1" x14ac:dyDescent="0.3">
      <c r="A282" s="237" t="str">
        <f>name!E$5</f>
        <v>Professional occupations</v>
      </c>
      <c r="B282" s="302">
        <v>31.636908229740719</v>
      </c>
      <c r="C282" s="302">
        <v>0.8471209835166611</v>
      </c>
      <c r="D282" s="302">
        <v>1.5007448134430519</v>
      </c>
      <c r="E282" s="302">
        <f t="shared" ref="E282:E289" si="133">SUM(B282:D282)</f>
        <v>33.984774026700428</v>
      </c>
      <c r="F282" s="303"/>
      <c r="G282" s="302">
        <v>40.117460480221489</v>
      </c>
      <c r="H282" s="302">
        <v>1.0245727883982552</v>
      </c>
      <c r="I282" s="302">
        <v>1.4172457675390699</v>
      </c>
      <c r="J282" s="302">
        <f t="shared" ref="J282:J284" si="134">SUM(G282:I282)</f>
        <v>42.559279036158813</v>
      </c>
      <c r="K282" s="303"/>
      <c r="L282" s="302">
        <v>42.359983771201456</v>
      </c>
      <c r="M282" s="302">
        <v>0.88901215234356235</v>
      </c>
      <c r="N282" s="302">
        <v>1.1042136582750699</v>
      </c>
      <c r="O282" s="302">
        <f t="shared" ref="O282:O289" si="135">SUM(L282:N282)</f>
        <v>44.353209581820089</v>
      </c>
    </row>
    <row r="283" spans="1:15" s="236" customFormat="1" x14ac:dyDescent="0.3">
      <c r="A283" s="237" t="str">
        <f>name!E$6</f>
        <v>Associate professional occupations</v>
      </c>
      <c r="B283" s="302">
        <v>16.371008352752646</v>
      </c>
      <c r="C283" s="302">
        <v>0.98658068698209822</v>
      </c>
      <c r="D283" s="302">
        <v>0.91794407736611128</v>
      </c>
      <c r="E283" s="302">
        <f t="shared" si="133"/>
        <v>18.275533117100856</v>
      </c>
      <c r="F283" s="303"/>
      <c r="G283" s="302">
        <v>20.153669373454562</v>
      </c>
      <c r="H283" s="302">
        <v>1.0889958945627856</v>
      </c>
      <c r="I283" s="302">
        <v>0.9610960079285108</v>
      </c>
      <c r="J283" s="302">
        <f t="shared" si="134"/>
        <v>22.203761275945858</v>
      </c>
      <c r="K283" s="303"/>
      <c r="L283" s="302">
        <v>17.349596918738126</v>
      </c>
      <c r="M283" s="302">
        <v>0.8728833825596457</v>
      </c>
      <c r="N283" s="302">
        <v>0.69875065951096393</v>
      </c>
      <c r="O283" s="302">
        <f t="shared" si="135"/>
        <v>18.921230960808735</v>
      </c>
    </row>
    <row r="284" spans="1:15" s="236" customFormat="1" x14ac:dyDescent="0.3">
      <c r="A284" s="237" t="str">
        <f>name!E$7</f>
        <v>Administrative and secretarial occupations</v>
      </c>
      <c r="B284" s="302">
        <v>6.6326985706753314</v>
      </c>
      <c r="C284" s="302">
        <v>2.0166368988684424</v>
      </c>
      <c r="D284" s="302">
        <v>0.26830480248506505</v>
      </c>
      <c r="E284" s="302">
        <f t="shared" si="133"/>
        <v>8.917640272028839</v>
      </c>
      <c r="F284" s="303"/>
      <c r="G284" s="302">
        <v>6.9657839983904619</v>
      </c>
      <c r="H284" s="302">
        <v>1.7018888107794219</v>
      </c>
      <c r="I284" s="302">
        <v>0.30415574200013651</v>
      </c>
      <c r="J284" s="302">
        <f t="shared" si="134"/>
        <v>8.9718285511700202</v>
      </c>
      <c r="K284" s="303"/>
      <c r="L284" s="302">
        <v>4.9343146380288667</v>
      </c>
      <c r="M284" s="302">
        <v>0.98883269992223066</v>
      </c>
      <c r="N284" s="302">
        <v>0.26104075606730798</v>
      </c>
      <c r="O284" s="302">
        <f t="shared" si="135"/>
        <v>6.1841880940184053</v>
      </c>
    </row>
    <row r="285" spans="1:15" s="236" customFormat="1" x14ac:dyDescent="0.3">
      <c r="A285" s="237" t="str">
        <f>name!E$8</f>
        <v>Skilled trades occupations</v>
      </c>
      <c r="B285" s="302">
        <v>17.013875337446244</v>
      </c>
      <c r="C285" s="302">
        <v>1.0359988937452769</v>
      </c>
      <c r="D285" s="302">
        <v>1.2014974721174649</v>
      </c>
      <c r="E285" s="302">
        <f t="shared" si="133"/>
        <v>19.251371703308983</v>
      </c>
      <c r="F285" s="303"/>
      <c r="G285" s="302">
        <v>14.024745872135732</v>
      </c>
      <c r="H285" s="302">
        <v>0.71875609756757097</v>
      </c>
      <c r="I285" s="302">
        <v>0.87315014859700391</v>
      </c>
      <c r="J285" s="302">
        <f>SUM(G285:I285)</f>
        <v>15.616652118300307</v>
      </c>
      <c r="K285" s="303"/>
      <c r="L285" s="302">
        <v>10.728825430146454</v>
      </c>
      <c r="M285" s="302">
        <v>0.73416543093991626</v>
      </c>
      <c r="N285" s="302">
        <v>1.0769604427421455</v>
      </c>
      <c r="O285" s="302">
        <f t="shared" si="135"/>
        <v>12.539951303828515</v>
      </c>
    </row>
    <row r="286" spans="1:15" s="236" customFormat="1" x14ac:dyDescent="0.3">
      <c r="A286" s="237" t="str">
        <f>name!E$9</f>
        <v>Caring, leisure and other service occupations</v>
      </c>
      <c r="B286" s="302">
        <v>0.69129845281260693</v>
      </c>
      <c r="C286" s="302">
        <v>0.25971976652928347</v>
      </c>
      <c r="D286" s="302">
        <v>9.4275432654725058E-2</v>
      </c>
      <c r="E286" s="302">
        <f t="shared" si="133"/>
        <v>1.0452936519966154</v>
      </c>
      <c r="F286" s="303"/>
      <c r="G286" s="302">
        <v>0.69877649409090092</v>
      </c>
      <c r="H286" s="302">
        <v>0.22476048685391653</v>
      </c>
      <c r="I286" s="302">
        <v>0.11957395666813822</v>
      </c>
      <c r="J286" s="302">
        <f t="shared" ref="J286:J289" si="136">SUM(G286:I286)</f>
        <v>1.0431109376129557</v>
      </c>
      <c r="K286" s="303"/>
      <c r="L286" s="302">
        <v>0.6332768633267023</v>
      </c>
      <c r="M286" s="302">
        <v>0.13603257122732826</v>
      </c>
      <c r="N286" s="302">
        <v>0.17802037033246981</v>
      </c>
      <c r="O286" s="302">
        <f t="shared" si="135"/>
        <v>0.94732980488650043</v>
      </c>
    </row>
    <row r="287" spans="1:15" s="236" customFormat="1" x14ac:dyDescent="0.3">
      <c r="A287" s="237" t="str">
        <f>name!E$10</f>
        <v>Sales and customer service occupations</v>
      </c>
      <c r="B287" s="302">
        <v>2.5101829882942295</v>
      </c>
      <c r="C287" s="302">
        <v>1.0336412112998843</v>
      </c>
      <c r="D287" s="302">
        <v>0.187803037028101</v>
      </c>
      <c r="E287" s="302">
        <f t="shared" si="133"/>
        <v>3.7316272366222147</v>
      </c>
      <c r="F287" s="303"/>
      <c r="G287" s="302">
        <v>2.5586489604932012</v>
      </c>
      <c r="H287" s="302">
        <v>1.0970267804780798</v>
      </c>
      <c r="I287" s="302">
        <v>0.16024207439197533</v>
      </c>
      <c r="J287" s="302">
        <f t="shared" si="136"/>
        <v>3.8159178153632567</v>
      </c>
      <c r="K287" s="303"/>
      <c r="L287" s="302">
        <v>2.5564646868386243</v>
      </c>
      <c r="M287" s="302">
        <v>1.5021214850296045</v>
      </c>
      <c r="N287" s="302">
        <v>0.1419217663009171</v>
      </c>
      <c r="O287" s="302">
        <f t="shared" si="135"/>
        <v>4.2005079381691459</v>
      </c>
    </row>
    <row r="288" spans="1:15" s="236" customFormat="1" x14ac:dyDescent="0.3">
      <c r="A288" s="237" t="str">
        <f>name!E$11</f>
        <v>Process, plant and machine operatives</v>
      </c>
      <c r="B288" s="302">
        <v>10.508565051524799</v>
      </c>
      <c r="C288" s="302">
        <v>2.0208203600100552</v>
      </c>
      <c r="D288" s="302">
        <v>0.38461274843460558</v>
      </c>
      <c r="E288" s="302">
        <f t="shared" si="133"/>
        <v>12.913998159969459</v>
      </c>
      <c r="F288" s="303"/>
      <c r="G288" s="302">
        <v>8.126222591318081</v>
      </c>
      <c r="H288" s="302">
        <v>1.4848974662619467</v>
      </c>
      <c r="I288" s="302">
        <v>0.49735868285776669</v>
      </c>
      <c r="J288" s="302">
        <f t="shared" si="136"/>
        <v>10.108478740437794</v>
      </c>
      <c r="K288" s="303"/>
      <c r="L288" s="302">
        <v>6.8309393312838793</v>
      </c>
      <c r="M288" s="302">
        <v>1.2906574248014837</v>
      </c>
      <c r="N288" s="302">
        <v>0.67162013284930244</v>
      </c>
      <c r="O288" s="302">
        <f t="shared" si="135"/>
        <v>8.7932168889346656</v>
      </c>
    </row>
    <row r="289" spans="1:15" s="236" customFormat="1" x14ac:dyDescent="0.3">
      <c r="A289" s="237" t="str">
        <f>name!E$12</f>
        <v>Elementary occupations</v>
      </c>
      <c r="B289" s="302">
        <v>3.1985187931754608</v>
      </c>
      <c r="C289" s="302">
        <v>0.91098370005630958</v>
      </c>
      <c r="D289" s="302">
        <v>0.45887612158534841</v>
      </c>
      <c r="E289" s="302">
        <f t="shared" si="133"/>
        <v>4.5683786148171182</v>
      </c>
      <c r="F289" s="303"/>
      <c r="G289" s="302">
        <v>2.4090200949892187</v>
      </c>
      <c r="H289" s="302">
        <v>0.58023825712132981</v>
      </c>
      <c r="I289" s="302">
        <v>0.42936263599737662</v>
      </c>
      <c r="J289" s="302">
        <f t="shared" si="136"/>
        <v>3.418620988107925</v>
      </c>
      <c r="K289" s="303"/>
      <c r="L289" s="302">
        <v>1.5690190437305889</v>
      </c>
      <c r="M289" s="302">
        <v>0.3692199987491846</v>
      </c>
      <c r="N289" s="302">
        <v>0.53512226162811727</v>
      </c>
      <c r="O289" s="302">
        <f t="shared" si="135"/>
        <v>2.4733613041078906</v>
      </c>
    </row>
    <row r="290" spans="1:15" s="236" customFormat="1" x14ac:dyDescent="0.3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3">
      <c r="A291" s="244" t="s">
        <v>32</v>
      </c>
      <c r="B291" s="311">
        <f>SUM(B281:B289)</f>
        <v>103.99999999948963</v>
      </c>
      <c r="C291" s="311">
        <f t="shared" ref="C291:E291" si="137">SUM(C281:C289)</f>
        <v>9.94700000009178</v>
      </c>
      <c r="D291" s="311">
        <f t="shared" si="137"/>
        <v>6.0010000000802526</v>
      </c>
      <c r="E291" s="311">
        <f t="shared" si="137"/>
        <v>119.94799999966163</v>
      </c>
      <c r="F291" s="311"/>
      <c r="G291" s="311">
        <f t="shared" ref="G291:J291" si="138">SUM(G281:G289)</f>
        <v>113.1379999995857</v>
      </c>
      <c r="H291" s="311">
        <f t="shared" si="138"/>
        <v>8.9600000000437312</v>
      </c>
      <c r="I291" s="311">
        <f t="shared" si="138"/>
        <v>5.9690000000208085</v>
      </c>
      <c r="J291" s="311">
        <f t="shared" si="138"/>
        <v>128.06699999965022</v>
      </c>
      <c r="K291" s="311"/>
      <c r="L291" s="311">
        <f t="shared" ref="L291:O291" si="139">SUM(L281:L289)</f>
        <v>103.55000000010553</v>
      </c>
      <c r="M291" s="311">
        <f t="shared" si="139"/>
        <v>7.7269999999739563</v>
      </c>
      <c r="N291" s="311">
        <f t="shared" si="139"/>
        <v>5.7720000000706779</v>
      </c>
      <c r="O291" s="311">
        <f t="shared" si="139"/>
        <v>117.04900000015016</v>
      </c>
    </row>
    <row r="292" spans="1:15" s="236" customFormat="1" x14ac:dyDescent="0.3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3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35</v>
      </c>
    </row>
    <row r="294" spans="1:15" s="236" customFormat="1" x14ac:dyDescent="0.3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3">
      <c r="A295" s="241" t="str">
        <f>name!A20</f>
        <v>Electrical equipment</v>
      </c>
      <c r="B295" s="375">
        <f>$B$6</f>
        <v>2015</v>
      </c>
      <c r="C295" s="375"/>
      <c r="D295" s="375"/>
      <c r="E295" s="375"/>
      <c r="F295" s="263"/>
      <c r="G295" s="375">
        <f>$G$6</f>
        <v>2020</v>
      </c>
      <c r="H295" s="375"/>
      <c r="I295" s="375"/>
      <c r="J295" s="375"/>
      <c r="K295" s="263"/>
      <c r="L295" s="375">
        <f>$L$6</f>
        <v>2035</v>
      </c>
      <c r="M295" s="375"/>
      <c r="N295" s="375"/>
      <c r="O295" s="375"/>
    </row>
    <row r="296" spans="1:15" s="236" customFormat="1" x14ac:dyDescent="0.3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3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3">
      <c r="A298" s="237" t="str">
        <f>name!E$4</f>
        <v>Managers, directors and senior officials</v>
      </c>
      <c r="B298" s="302">
        <v>10.556064704380738</v>
      </c>
      <c r="C298" s="302">
        <v>0.54934282245485788</v>
      </c>
      <c r="D298" s="302">
        <v>0.68739526156125108</v>
      </c>
      <c r="E298" s="302">
        <f>SUM(B298:D298)</f>
        <v>11.792802788396846</v>
      </c>
      <c r="F298" s="303"/>
      <c r="G298" s="302">
        <v>9.4061386059957144</v>
      </c>
      <c r="H298" s="302">
        <v>0.94515396173718524</v>
      </c>
      <c r="I298" s="302">
        <v>1.203553007605572</v>
      </c>
      <c r="J298" s="302">
        <f>SUM(G298:I298)</f>
        <v>11.554845575338472</v>
      </c>
      <c r="K298" s="303"/>
      <c r="L298" s="302">
        <v>8.6952403679256616</v>
      </c>
      <c r="M298" s="302">
        <v>1.1364022802393596</v>
      </c>
      <c r="N298" s="302">
        <v>1.3439386358641627</v>
      </c>
      <c r="O298" s="302">
        <f>SUM(L298:N298)</f>
        <v>11.175581284029183</v>
      </c>
    </row>
    <row r="299" spans="1:15" s="236" customFormat="1" x14ac:dyDescent="0.3">
      <c r="A299" s="237" t="str">
        <f>name!E$5</f>
        <v>Professional occupations</v>
      </c>
      <c r="B299" s="302">
        <v>14.043077201369526</v>
      </c>
      <c r="C299" s="302">
        <v>0.53414014348368588</v>
      </c>
      <c r="D299" s="302">
        <v>0.33424352534583801</v>
      </c>
      <c r="E299" s="302">
        <f t="shared" ref="E299:E306" si="140">SUM(B299:D299)</f>
        <v>14.911460870199051</v>
      </c>
      <c r="F299" s="303"/>
      <c r="G299" s="302">
        <v>13.7129413165767</v>
      </c>
      <c r="H299" s="302">
        <v>0.92855349552624111</v>
      </c>
      <c r="I299" s="302">
        <v>0.52362319025583282</v>
      </c>
      <c r="J299" s="302">
        <f t="shared" ref="J299:J301" si="141">SUM(G299:I299)</f>
        <v>15.165118002358774</v>
      </c>
      <c r="K299" s="303"/>
      <c r="L299" s="302">
        <v>14.75591280764894</v>
      </c>
      <c r="M299" s="302">
        <v>1.1661603128479845</v>
      </c>
      <c r="N299" s="302">
        <v>0.48677330761069143</v>
      </c>
      <c r="O299" s="302">
        <f t="shared" ref="O299:O306" si="142">SUM(L299:N299)</f>
        <v>16.408846428107616</v>
      </c>
    </row>
    <row r="300" spans="1:15" s="236" customFormat="1" x14ac:dyDescent="0.3">
      <c r="A300" s="237" t="str">
        <f>name!E$6</f>
        <v>Associate professional occupations</v>
      </c>
      <c r="B300" s="302">
        <v>10.137148651094217</v>
      </c>
      <c r="C300" s="302">
        <v>0.65401542575190075</v>
      </c>
      <c r="D300" s="302">
        <v>0.25186017925305099</v>
      </c>
      <c r="E300" s="302">
        <f t="shared" si="140"/>
        <v>11.043024256099168</v>
      </c>
      <c r="F300" s="303"/>
      <c r="G300" s="302">
        <v>9.317658818968841</v>
      </c>
      <c r="H300" s="302">
        <v>0.889104399777077</v>
      </c>
      <c r="I300" s="302">
        <v>0.31318316750887437</v>
      </c>
      <c r="J300" s="302">
        <f t="shared" si="141"/>
        <v>10.519946386254793</v>
      </c>
      <c r="K300" s="303"/>
      <c r="L300" s="302">
        <v>8.143777815106823</v>
      </c>
      <c r="M300" s="302">
        <v>0.90194040889037952</v>
      </c>
      <c r="N300" s="302">
        <v>0.32220346060866512</v>
      </c>
      <c r="O300" s="302">
        <f t="shared" si="142"/>
        <v>9.3679216846058679</v>
      </c>
    </row>
    <row r="301" spans="1:15" s="236" customFormat="1" x14ac:dyDescent="0.3">
      <c r="A301" s="237" t="str">
        <f>name!E$7</f>
        <v>Administrative and secretarial occupations</v>
      </c>
      <c r="B301" s="302">
        <v>5.8906575125722389</v>
      </c>
      <c r="C301" s="302">
        <v>1.7408001063501095</v>
      </c>
      <c r="D301" s="302">
        <v>0.15937008557538629</v>
      </c>
      <c r="E301" s="302">
        <f t="shared" si="140"/>
        <v>7.7908277044977341</v>
      </c>
      <c r="F301" s="303"/>
      <c r="G301" s="302">
        <v>4.6583648867325351</v>
      </c>
      <c r="H301" s="302">
        <v>1.6997216552649754</v>
      </c>
      <c r="I301" s="302">
        <v>0.40531526786688954</v>
      </c>
      <c r="J301" s="302">
        <f t="shared" si="141"/>
        <v>6.7634018098643995</v>
      </c>
      <c r="K301" s="303"/>
      <c r="L301" s="302">
        <v>3.7247400067867811</v>
      </c>
      <c r="M301" s="302">
        <v>1.474354490950966</v>
      </c>
      <c r="N301" s="302">
        <v>0.32419199208769434</v>
      </c>
      <c r="O301" s="302">
        <f t="shared" si="142"/>
        <v>5.5232864898254412</v>
      </c>
    </row>
    <row r="302" spans="1:15" s="236" customFormat="1" x14ac:dyDescent="0.3">
      <c r="A302" s="237" t="str">
        <f>name!E$8</f>
        <v>Skilled trades occupations</v>
      </c>
      <c r="B302" s="302">
        <v>18.07507134295874</v>
      </c>
      <c r="C302" s="302">
        <v>0.63755174234619472</v>
      </c>
      <c r="D302" s="302">
        <v>0.88988818624605925</v>
      </c>
      <c r="E302" s="302">
        <f t="shared" si="140"/>
        <v>19.602511271550991</v>
      </c>
      <c r="F302" s="303"/>
      <c r="G302" s="302">
        <v>11.391525754410313</v>
      </c>
      <c r="H302" s="302">
        <v>0.5809211388718839</v>
      </c>
      <c r="I302" s="302">
        <v>0.52414995822217658</v>
      </c>
      <c r="J302" s="302">
        <f>SUM(G302:I302)</f>
        <v>12.496596851504375</v>
      </c>
      <c r="K302" s="303"/>
      <c r="L302" s="302">
        <v>9.1408195443571358</v>
      </c>
      <c r="M302" s="302">
        <v>0.574712571021323</v>
      </c>
      <c r="N302" s="302">
        <v>0.82270168087720663</v>
      </c>
      <c r="O302" s="302">
        <f t="shared" si="142"/>
        <v>10.538233796255666</v>
      </c>
    </row>
    <row r="303" spans="1:15" s="236" customFormat="1" x14ac:dyDescent="0.3">
      <c r="A303" s="237" t="str">
        <f>name!E$9</f>
        <v>Caring, leisure and other service occupations</v>
      </c>
      <c r="B303" s="302">
        <v>1.3448937291036587</v>
      </c>
      <c r="C303" s="302">
        <v>0.26177660814140358</v>
      </c>
      <c r="D303" s="302">
        <v>9.8844665749606292E-2</v>
      </c>
      <c r="E303" s="302">
        <f t="shared" si="140"/>
        <v>1.7055150029946686</v>
      </c>
      <c r="F303" s="303"/>
      <c r="G303" s="302">
        <v>1.0475685902655245</v>
      </c>
      <c r="H303" s="302">
        <v>0.23807055886491418</v>
      </c>
      <c r="I303" s="302">
        <v>0.30141964651253328</v>
      </c>
      <c r="J303" s="302">
        <f t="shared" ref="J303:J306" si="143">SUM(G303:I303)</f>
        <v>1.5870587956429718</v>
      </c>
      <c r="K303" s="303"/>
      <c r="L303" s="302">
        <v>0.98589084679981442</v>
      </c>
      <c r="M303" s="302">
        <v>0.21435368015414696</v>
      </c>
      <c r="N303" s="302">
        <v>0.45471436018619499</v>
      </c>
      <c r="O303" s="302">
        <f t="shared" si="142"/>
        <v>1.6549588871401564</v>
      </c>
    </row>
    <row r="304" spans="1:15" s="236" customFormat="1" x14ac:dyDescent="0.3">
      <c r="A304" s="237" t="str">
        <f>name!E$10</f>
        <v>Sales and customer service occupations</v>
      </c>
      <c r="B304" s="302">
        <v>2.1243888238888076</v>
      </c>
      <c r="C304" s="302">
        <v>0.55510936074393247</v>
      </c>
      <c r="D304" s="302">
        <v>8.7419781873528168E-2</v>
      </c>
      <c r="E304" s="302">
        <f t="shared" si="140"/>
        <v>2.7669179665062682</v>
      </c>
      <c r="F304" s="303"/>
      <c r="G304" s="302">
        <v>1.649029790377051</v>
      </c>
      <c r="H304" s="302">
        <v>0.63547048803853134</v>
      </c>
      <c r="I304" s="302">
        <v>0.14033897247677238</v>
      </c>
      <c r="J304" s="302">
        <f t="shared" si="143"/>
        <v>2.4248392508923549</v>
      </c>
      <c r="K304" s="303"/>
      <c r="L304" s="302">
        <v>1.675877842609961</v>
      </c>
      <c r="M304" s="302">
        <v>0.7648703829530773</v>
      </c>
      <c r="N304" s="302">
        <v>0.16678196360101377</v>
      </c>
      <c r="O304" s="302">
        <f t="shared" si="142"/>
        <v>2.6075301891640521</v>
      </c>
    </row>
    <row r="305" spans="1:15" s="236" customFormat="1" x14ac:dyDescent="0.3">
      <c r="A305" s="237" t="str">
        <f>name!E$11</f>
        <v>Process, plant and machine operatives</v>
      </c>
      <c r="B305" s="302">
        <v>14.231974187328072</v>
      </c>
      <c r="C305" s="302">
        <v>0.75361474917216353</v>
      </c>
      <c r="D305" s="302">
        <v>0.26755162966943385</v>
      </c>
      <c r="E305" s="302">
        <f t="shared" si="140"/>
        <v>15.25314056616967</v>
      </c>
      <c r="F305" s="303"/>
      <c r="G305" s="302">
        <v>8.1975486159027025</v>
      </c>
      <c r="H305" s="302">
        <v>0.67288654486590171</v>
      </c>
      <c r="I305" s="302">
        <v>0.35260806612911538</v>
      </c>
      <c r="J305" s="302">
        <f t="shared" si="143"/>
        <v>9.2230432268977189</v>
      </c>
      <c r="K305" s="303"/>
      <c r="L305" s="302">
        <v>8.2472394448685566</v>
      </c>
      <c r="M305" s="302">
        <v>0.856615439652473</v>
      </c>
      <c r="N305" s="302">
        <v>0.42732657090640896</v>
      </c>
      <c r="O305" s="302">
        <f t="shared" si="142"/>
        <v>9.5311814554274381</v>
      </c>
    </row>
    <row r="306" spans="1:15" s="236" customFormat="1" x14ac:dyDescent="0.3">
      <c r="A306" s="237" t="str">
        <f>name!E$12</f>
        <v>Elementary occupations</v>
      </c>
      <c r="B306" s="302">
        <v>4.4457238470238929</v>
      </c>
      <c r="C306" s="302">
        <v>0.42064904159254446</v>
      </c>
      <c r="D306" s="302">
        <v>0.2224266847341998</v>
      </c>
      <c r="E306" s="302">
        <f t="shared" si="140"/>
        <v>5.088799573350637</v>
      </c>
      <c r="F306" s="303"/>
      <c r="G306" s="302">
        <v>2.6682236205650178</v>
      </c>
      <c r="H306" s="302">
        <v>0.41511775707871834</v>
      </c>
      <c r="I306" s="302">
        <v>0.2138087233928874</v>
      </c>
      <c r="J306" s="302">
        <f t="shared" si="143"/>
        <v>3.2971501010366238</v>
      </c>
      <c r="K306" s="303"/>
      <c r="L306" s="302">
        <v>1.7685013240405956</v>
      </c>
      <c r="M306" s="302">
        <v>0.31459043324554664</v>
      </c>
      <c r="N306" s="302">
        <v>0.19436802823210678</v>
      </c>
      <c r="O306" s="302">
        <f t="shared" si="142"/>
        <v>2.277459785518249</v>
      </c>
    </row>
    <row r="307" spans="1:15" s="236" customFormat="1" x14ac:dyDescent="0.3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3">
      <c r="A308" s="244" t="s">
        <v>32</v>
      </c>
      <c r="B308" s="311">
        <f>SUM(B298:B306)</f>
        <v>80.848999999719908</v>
      </c>
      <c r="C308" s="311">
        <f t="shared" ref="C308:E308" si="144">SUM(C298:C306)</f>
        <v>6.1070000000367921</v>
      </c>
      <c r="D308" s="311">
        <f t="shared" si="144"/>
        <v>2.9990000000083539</v>
      </c>
      <c r="E308" s="311">
        <f t="shared" si="144"/>
        <v>89.954999999765036</v>
      </c>
      <c r="F308" s="311"/>
      <c r="G308" s="311">
        <f t="shared" ref="G308:J308" si="145">SUM(G298:G306)</f>
        <v>62.048999999794397</v>
      </c>
      <c r="H308" s="311">
        <f t="shared" si="145"/>
        <v>7.0050000000254276</v>
      </c>
      <c r="I308" s="311">
        <f t="shared" si="145"/>
        <v>3.9779999999706543</v>
      </c>
      <c r="J308" s="311">
        <f t="shared" si="145"/>
        <v>73.031999999790486</v>
      </c>
      <c r="K308" s="311"/>
      <c r="L308" s="311">
        <f t="shared" ref="L308:O308" si="146">SUM(L298:L306)</f>
        <v>57.138000000144267</v>
      </c>
      <c r="M308" s="311">
        <f t="shared" si="146"/>
        <v>7.4039999999552579</v>
      </c>
      <c r="N308" s="311">
        <f t="shared" si="146"/>
        <v>4.5429999999741453</v>
      </c>
      <c r="O308" s="311">
        <f t="shared" si="146"/>
        <v>69.085000000073677</v>
      </c>
    </row>
    <row r="309" spans="1:15" s="236" customFormat="1" x14ac:dyDescent="0.3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3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35</v>
      </c>
    </row>
    <row r="311" spans="1:15" s="236" customFormat="1" x14ac:dyDescent="0.3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3">
      <c r="A312" s="241" t="str">
        <f>name!A21</f>
        <v>Machinery n.e.c.</v>
      </c>
      <c r="B312" s="375">
        <f>$B$6</f>
        <v>2015</v>
      </c>
      <c r="C312" s="375"/>
      <c r="D312" s="375"/>
      <c r="E312" s="375"/>
      <c r="F312" s="263"/>
      <c r="G312" s="375">
        <f>$G$6</f>
        <v>2020</v>
      </c>
      <c r="H312" s="375"/>
      <c r="I312" s="375"/>
      <c r="J312" s="375"/>
      <c r="K312" s="263"/>
      <c r="L312" s="375">
        <f>$L$6</f>
        <v>2035</v>
      </c>
      <c r="M312" s="375"/>
      <c r="N312" s="375"/>
      <c r="O312" s="375"/>
    </row>
    <row r="313" spans="1:15" s="236" customFormat="1" x14ac:dyDescent="0.3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3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3">
      <c r="A315" s="237" t="str">
        <f>name!E$4</f>
        <v>Managers, directors and senior officials</v>
      </c>
      <c r="B315" s="302">
        <v>21.022187355805766</v>
      </c>
      <c r="C315" s="302">
        <v>1.0404833371774025</v>
      </c>
      <c r="D315" s="302">
        <v>2.3626949908051138</v>
      </c>
      <c r="E315" s="302">
        <f>SUM(B315:D315)</f>
        <v>24.425365683788282</v>
      </c>
      <c r="F315" s="303"/>
      <c r="G315" s="302">
        <v>23.326645491853768</v>
      </c>
      <c r="H315" s="302">
        <v>1.712311022078185</v>
      </c>
      <c r="I315" s="302">
        <v>2.4672266754078569</v>
      </c>
      <c r="J315" s="302">
        <f>SUM(G315:I315)</f>
        <v>27.506183189339811</v>
      </c>
      <c r="K315" s="303"/>
      <c r="L315" s="302">
        <v>21.541269757285001</v>
      </c>
      <c r="M315" s="302">
        <v>1.8026061509163993</v>
      </c>
      <c r="N315" s="302">
        <v>2.3355898303826392</v>
      </c>
      <c r="O315" s="302">
        <f>SUM(L315:N315)</f>
        <v>25.679465738584039</v>
      </c>
    </row>
    <row r="316" spans="1:15" s="236" customFormat="1" x14ac:dyDescent="0.3">
      <c r="A316" s="237" t="str">
        <f>name!E$5</f>
        <v>Professional occupations</v>
      </c>
      <c r="B316" s="302">
        <v>31.365638881269827</v>
      </c>
      <c r="C316" s="302">
        <v>0.77436670158294296</v>
      </c>
      <c r="D316" s="302">
        <v>1.5767887132419067</v>
      </c>
      <c r="E316" s="302">
        <f t="shared" ref="E316:E323" si="147">SUM(B316:D316)</f>
        <v>33.716794296094676</v>
      </c>
      <c r="F316" s="303"/>
      <c r="G316" s="302">
        <v>38.280018760900539</v>
      </c>
      <c r="H316" s="302">
        <v>1.3640670354934967</v>
      </c>
      <c r="I316" s="302">
        <v>1.3857947485023197</v>
      </c>
      <c r="J316" s="302">
        <f t="shared" ref="J316:J318" si="148">SUM(G316:I316)</f>
        <v>41.029880544896358</v>
      </c>
      <c r="K316" s="303"/>
      <c r="L316" s="302">
        <v>39.614669123208657</v>
      </c>
      <c r="M316" s="302">
        <v>1.463887684371278</v>
      </c>
      <c r="N316" s="302">
        <v>0.8967365105906846</v>
      </c>
      <c r="O316" s="302">
        <f t="shared" ref="O316:O323" si="149">SUM(L316:N316)</f>
        <v>41.975293318170621</v>
      </c>
    </row>
    <row r="317" spans="1:15" s="236" customFormat="1" x14ac:dyDescent="0.3">
      <c r="A317" s="237" t="str">
        <f>name!E$6</f>
        <v>Associate professional occupations</v>
      </c>
      <c r="B317" s="302">
        <v>19.441455919362081</v>
      </c>
      <c r="C317" s="302">
        <v>0.70348785224073318</v>
      </c>
      <c r="D317" s="302">
        <v>0.75517574395669818</v>
      </c>
      <c r="E317" s="302">
        <f t="shared" si="147"/>
        <v>20.900119515559513</v>
      </c>
      <c r="F317" s="303"/>
      <c r="G317" s="302">
        <v>22.661041782368219</v>
      </c>
      <c r="H317" s="302">
        <v>0.96571238452723662</v>
      </c>
      <c r="I317" s="302">
        <v>0.61639535142245228</v>
      </c>
      <c r="J317" s="302">
        <f t="shared" si="148"/>
        <v>24.243149518317907</v>
      </c>
      <c r="K317" s="303"/>
      <c r="L317" s="302">
        <v>18.802964118514041</v>
      </c>
      <c r="M317" s="302">
        <v>0.88934292929609893</v>
      </c>
      <c r="N317" s="302">
        <v>0.53377029302995127</v>
      </c>
      <c r="O317" s="302">
        <f t="shared" si="149"/>
        <v>20.226077340840092</v>
      </c>
    </row>
    <row r="318" spans="1:15" s="236" customFormat="1" x14ac:dyDescent="0.3">
      <c r="A318" s="237" t="str">
        <f>name!E$7</f>
        <v>Administrative and secretarial occupations</v>
      </c>
      <c r="B318" s="302">
        <v>10.044954167307994</v>
      </c>
      <c r="C318" s="302">
        <v>2.8962661907566498</v>
      </c>
      <c r="D318" s="302">
        <v>0.50349569912155845</v>
      </c>
      <c r="E318" s="302">
        <f t="shared" si="147"/>
        <v>13.444716057186202</v>
      </c>
      <c r="F318" s="303"/>
      <c r="G318" s="302">
        <v>10.871795313078939</v>
      </c>
      <c r="H318" s="302">
        <v>3.3044023477460458</v>
      </c>
      <c r="I318" s="302">
        <v>0.52597173434582167</v>
      </c>
      <c r="J318" s="302">
        <f t="shared" si="148"/>
        <v>14.702169395170808</v>
      </c>
      <c r="K318" s="303"/>
      <c r="L318" s="302">
        <v>8.2174923290055215</v>
      </c>
      <c r="M318" s="302">
        <v>2.3881918574776035</v>
      </c>
      <c r="N318" s="302">
        <v>0.37025834866155255</v>
      </c>
      <c r="O318" s="302">
        <f t="shared" si="149"/>
        <v>10.975942535144677</v>
      </c>
    </row>
    <row r="319" spans="1:15" s="236" customFormat="1" x14ac:dyDescent="0.3">
      <c r="A319" s="237" t="str">
        <f>name!E$8</f>
        <v>Skilled trades occupations</v>
      </c>
      <c r="B319" s="302">
        <v>45.247519769297078</v>
      </c>
      <c r="C319" s="302">
        <v>0.88113402293292287</v>
      </c>
      <c r="D319" s="302">
        <v>3.9863387174683331</v>
      </c>
      <c r="E319" s="302">
        <f t="shared" si="147"/>
        <v>50.11499250969834</v>
      </c>
      <c r="F319" s="303"/>
      <c r="G319" s="302">
        <v>36.971985828947595</v>
      </c>
      <c r="H319" s="302">
        <v>0.76549633761106595</v>
      </c>
      <c r="I319" s="302">
        <v>2.4183649495334802</v>
      </c>
      <c r="J319" s="302">
        <f>SUM(G319:I319)</f>
        <v>40.155847116092147</v>
      </c>
      <c r="K319" s="303"/>
      <c r="L319" s="302">
        <v>28.301149159634914</v>
      </c>
      <c r="M319" s="302">
        <v>0.74358553890889523</v>
      </c>
      <c r="N319" s="302">
        <v>2.4139410485131165</v>
      </c>
      <c r="O319" s="302">
        <f t="shared" si="149"/>
        <v>31.458675747056926</v>
      </c>
    </row>
    <row r="320" spans="1:15" s="236" customFormat="1" x14ac:dyDescent="0.3">
      <c r="A320" s="237" t="str">
        <f>name!E$9</f>
        <v>Caring, leisure and other service occupations</v>
      </c>
      <c r="B320" s="302">
        <v>1.4169452812030272</v>
      </c>
      <c r="C320" s="302">
        <v>0.48074295511481968</v>
      </c>
      <c r="D320" s="302">
        <v>0.27750758337789877</v>
      </c>
      <c r="E320" s="302">
        <f t="shared" si="147"/>
        <v>2.1751958196957455</v>
      </c>
      <c r="F320" s="303"/>
      <c r="G320" s="302">
        <v>1.2599226721821626</v>
      </c>
      <c r="H320" s="302">
        <v>0.43235676917133908</v>
      </c>
      <c r="I320" s="302">
        <v>0.36490458943194559</v>
      </c>
      <c r="J320" s="302">
        <f t="shared" ref="J320:J323" si="150">SUM(G320:I320)</f>
        <v>2.0571840307854474</v>
      </c>
      <c r="K320" s="303"/>
      <c r="L320" s="302">
        <v>1.0148138428313167</v>
      </c>
      <c r="M320" s="302">
        <v>0.34421644501343224</v>
      </c>
      <c r="N320" s="302">
        <v>0.53049621476577813</v>
      </c>
      <c r="O320" s="302">
        <f t="shared" si="149"/>
        <v>1.889526502610527</v>
      </c>
    </row>
    <row r="321" spans="1:15" s="236" customFormat="1" x14ac:dyDescent="0.3">
      <c r="A321" s="237" t="str">
        <f>name!E$10</f>
        <v>Sales and customer service occupations</v>
      </c>
      <c r="B321" s="302">
        <v>4.6400942140599799</v>
      </c>
      <c r="C321" s="302">
        <v>0.63047868721514488</v>
      </c>
      <c r="D321" s="302">
        <v>0.28088242623077464</v>
      </c>
      <c r="E321" s="302">
        <f t="shared" si="147"/>
        <v>5.5514553275058995</v>
      </c>
      <c r="F321" s="303"/>
      <c r="G321" s="302">
        <v>4.6046985364045252</v>
      </c>
      <c r="H321" s="302">
        <v>0.79786349598169093</v>
      </c>
      <c r="I321" s="302">
        <v>0.22789613915952142</v>
      </c>
      <c r="J321" s="302">
        <f t="shared" si="150"/>
        <v>5.6304581715457376</v>
      </c>
      <c r="K321" s="303"/>
      <c r="L321" s="302">
        <v>4.2123672628915809</v>
      </c>
      <c r="M321" s="302">
        <v>0.9597357805527742</v>
      </c>
      <c r="N321" s="302">
        <v>0.22226547491578361</v>
      </c>
      <c r="O321" s="302">
        <f t="shared" si="149"/>
        <v>5.3943685183601389</v>
      </c>
    </row>
    <row r="322" spans="1:15" s="236" customFormat="1" x14ac:dyDescent="0.3">
      <c r="A322" s="237" t="str">
        <f>name!E$11</f>
        <v>Process, plant and machine operatives</v>
      </c>
      <c r="B322" s="302">
        <v>23.597313604981565</v>
      </c>
      <c r="C322" s="302">
        <v>0.80882956808798923</v>
      </c>
      <c r="D322" s="302">
        <v>0.66389347634855744</v>
      </c>
      <c r="E322" s="302">
        <f t="shared" si="147"/>
        <v>25.070036649418114</v>
      </c>
      <c r="F322" s="303"/>
      <c r="G322" s="302">
        <v>19.013212271008229</v>
      </c>
      <c r="H322" s="302">
        <v>0.8666621941913909</v>
      </c>
      <c r="I322" s="302">
        <v>0.55523084392270916</v>
      </c>
      <c r="J322" s="302">
        <f t="shared" si="150"/>
        <v>20.435105309122328</v>
      </c>
      <c r="K322" s="303"/>
      <c r="L322" s="302">
        <v>19.228579845293368</v>
      </c>
      <c r="M322" s="302">
        <v>0.93458511731001237</v>
      </c>
      <c r="N322" s="302">
        <v>0.65628369486321358</v>
      </c>
      <c r="O322" s="302">
        <f t="shared" si="149"/>
        <v>20.819448657466591</v>
      </c>
    </row>
    <row r="323" spans="1:15" s="236" customFormat="1" x14ac:dyDescent="0.3">
      <c r="A323" s="237" t="str">
        <f>name!E$12</f>
        <v>Elementary occupations</v>
      </c>
      <c r="B323" s="302">
        <v>8.1668908060885741</v>
      </c>
      <c r="C323" s="302">
        <v>0.7592106849534791</v>
      </c>
      <c r="D323" s="302">
        <v>0.59322264945599701</v>
      </c>
      <c r="E323" s="302">
        <f t="shared" si="147"/>
        <v>9.5193241404980498</v>
      </c>
      <c r="F323" s="303"/>
      <c r="G323" s="302">
        <v>6.170679342739346</v>
      </c>
      <c r="H323" s="302">
        <v>0.77112841324322057</v>
      </c>
      <c r="I323" s="302">
        <v>0.38521496822133311</v>
      </c>
      <c r="J323" s="302">
        <f t="shared" si="150"/>
        <v>7.327022724203899</v>
      </c>
      <c r="K323" s="303"/>
      <c r="L323" s="302">
        <v>3.9786945615827189</v>
      </c>
      <c r="M323" s="302">
        <v>0.50984849611432015</v>
      </c>
      <c r="N323" s="302">
        <v>0.39565858422316652</v>
      </c>
      <c r="O323" s="302">
        <f t="shared" si="149"/>
        <v>4.8842016419202059</v>
      </c>
    </row>
    <row r="324" spans="1:15" s="236" customFormat="1" x14ac:dyDescent="0.3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3">
      <c r="A325" s="244" t="s">
        <v>32</v>
      </c>
      <c r="B325" s="311">
        <f>SUM(B315:B323)</f>
        <v>164.9429999993759</v>
      </c>
      <c r="C325" s="311">
        <f t="shared" ref="C325:E325" si="151">SUM(C315:C323)</f>
        <v>8.9750000000620815</v>
      </c>
      <c r="D325" s="311">
        <f t="shared" si="151"/>
        <v>11.000000000006839</v>
      </c>
      <c r="E325" s="311">
        <f t="shared" si="151"/>
        <v>184.91799999944479</v>
      </c>
      <c r="F325" s="311"/>
      <c r="G325" s="311">
        <f t="shared" ref="G325:J325" si="152">SUM(G315:G323)</f>
        <v>163.15999999948332</v>
      </c>
      <c r="H325" s="311">
        <f t="shared" si="152"/>
        <v>10.980000000043672</v>
      </c>
      <c r="I325" s="311">
        <f t="shared" si="152"/>
        <v>8.9469999999474403</v>
      </c>
      <c r="J325" s="311">
        <f t="shared" si="152"/>
        <v>183.08699999947441</v>
      </c>
      <c r="K325" s="311"/>
      <c r="L325" s="311">
        <f t="shared" ref="L325:O325" si="153">SUM(L315:L323)</f>
        <v>144.91200000024713</v>
      </c>
      <c r="M325" s="311">
        <f t="shared" si="153"/>
        <v>10.035999999960815</v>
      </c>
      <c r="N325" s="311">
        <f t="shared" si="153"/>
        <v>8.3549999999458855</v>
      </c>
      <c r="O325" s="311">
        <f t="shared" si="153"/>
        <v>163.30300000015379</v>
      </c>
    </row>
    <row r="326" spans="1:15" s="236" customFormat="1" x14ac:dyDescent="0.3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3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35</v>
      </c>
    </row>
    <row r="328" spans="1:15" s="236" customFormat="1" x14ac:dyDescent="0.3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3">
      <c r="A329" s="241" t="str">
        <f>name!A22</f>
        <v>Motor vehicles, etc</v>
      </c>
      <c r="B329" s="375">
        <f>$B$6</f>
        <v>2015</v>
      </c>
      <c r="C329" s="375"/>
      <c r="D329" s="375"/>
      <c r="E329" s="375"/>
      <c r="F329" s="263"/>
      <c r="G329" s="375">
        <f>$G$6</f>
        <v>2020</v>
      </c>
      <c r="H329" s="375"/>
      <c r="I329" s="375"/>
      <c r="J329" s="375"/>
      <c r="K329" s="263"/>
      <c r="L329" s="375">
        <f>$L$6</f>
        <v>2035</v>
      </c>
      <c r="M329" s="375"/>
      <c r="N329" s="375"/>
      <c r="O329" s="375"/>
    </row>
    <row r="330" spans="1:15" s="236" customFormat="1" x14ac:dyDescent="0.3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3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3">
      <c r="A332" s="237" t="str">
        <f>name!E$4</f>
        <v>Managers, directors and senior officials</v>
      </c>
      <c r="B332" s="302">
        <v>9.8150008181094623</v>
      </c>
      <c r="C332" s="302">
        <v>0.19839851712483425</v>
      </c>
      <c r="D332" s="302">
        <v>1.0437387342133975</v>
      </c>
      <c r="E332" s="302">
        <f>SUM(B332:D332)</f>
        <v>11.057138069447694</v>
      </c>
      <c r="F332" s="303"/>
      <c r="G332" s="302">
        <v>10.857294924047954</v>
      </c>
      <c r="H332" s="302">
        <v>0.49459257579535376</v>
      </c>
      <c r="I332" s="302">
        <v>0.91576728554572728</v>
      </c>
      <c r="J332" s="302">
        <f>SUM(G332:I332)</f>
        <v>12.267654785389034</v>
      </c>
      <c r="K332" s="303"/>
      <c r="L332" s="302">
        <v>9.6567685711423348</v>
      </c>
      <c r="M332" s="302">
        <v>0.50125078273432089</v>
      </c>
      <c r="N332" s="302">
        <v>0.84229803978465834</v>
      </c>
      <c r="O332" s="302">
        <f>SUM(L332:N332)</f>
        <v>11.000317393661314</v>
      </c>
    </row>
    <row r="333" spans="1:15" s="236" customFormat="1" x14ac:dyDescent="0.3">
      <c r="A333" s="237" t="str">
        <f>name!E$5</f>
        <v>Professional occupations</v>
      </c>
      <c r="B333" s="302">
        <v>25.629990952241602</v>
      </c>
      <c r="C333" s="302">
        <v>0.45904221346661439</v>
      </c>
      <c r="D333" s="302">
        <v>0.64640489456761385</v>
      </c>
      <c r="E333" s="302">
        <f t="shared" ref="E333:E340" si="154">SUM(B333:D333)</f>
        <v>26.735438060275829</v>
      </c>
      <c r="F333" s="303"/>
      <c r="G333" s="302">
        <v>31.084792314369494</v>
      </c>
      <c r="H333" s="302">
        <v>0.77882483885982901</v>
      </c>
      <c r="I333" s="302">
        <v>0.4693443415322166</v>
      </c>
      <c r="J333" s="302">
        <f t="shared" ref="J333:J335" si="155">SUM(G333:I333)</f>
        <v>32.332961494761541</v>
      </c>
      <c r="K333" s="303"/>
      <c r="L333" s="302">
        <v>33.127974192660552</v>
      </c>
      <c r="M333" s="302">
        <v>0.72927577973311786</v>
      </c>
      <c r="N333" s="302">
        <v>0.32703596416457764</v>
      </c>
      <c r="O333" s="302">
        <f t="shared" ref="O333:O340" si="156">SUM(L333:N333)</f>
        <v>34.184285936558247</v>
      </c>
    </row>
    <row r="334" spans="1:15" s="236" customFormat="1" x14ac:dyDescent="0.3">
      <c r="A334" s="237" t="str">
        <f>name!E$6</f>
        <v>Associate professional occupations</v>
      </c>
      <c r="B334" s="302">
        <v>10.846451579834763</v>
      </c>
      <c r="C334" s="302">
        <v>0.43365200140904792</v>
      </c>
      <c r="D334" s="302">
        <v>0.42441851382692936</v>
      </c>
      <c r="E334" s="302">
        <f t="shared" si="154"/>
        <v>11.70452209507074</v>
      </c>
      <c r="F334" s="303"/>
      <c r="G334" s="302">
        <v>13.221590371815967</v>
      </c>
      <c r="H334" s="302">
        <v>0.63430320772045223</v>
      </c>
      <c r="I334" s="302">
        <v>0.30470724157541379</v>
      </c>
      <c r="J334" s="302">
        <f t="shared" si="155"/>
        <v>14.160600821111833</v>
      </c>
      <c r="K334" s="303"/>
      <c r="L334" s="302">
        <v>10.880959660436375</v>
      </c>
      <c r="M334" s="302">
        <v>0.5075817618776981</v>
      </c>
      <c r="N334" s="302">
        <v>0.26650447713602321</v>
      </c>
      <c r="O334" s="302">
        <f t="shared" si="156"/>
        <v>11.655045899450096</v>
      </c>
    </row>
    <row r="335" spans="1:15" s="236" customFormat="1" x14ac:dyDescent="0.3">
      <c r="A335" s="237" t="str">
        <f>name!E$7</f>
        <v>Administrative and secretarial occupations</v>
      </c>
      <c r="B335" s="302">
        <v>10.743008090972321</v>
      </c>
      <c r="C335" s="302">
        <v>0.91787383191162863</v>
      </c>
      <c r="D335" s="302">
        <v>0.11517014643333801</v>
      </c>
      <c r="E335" s="302">
        <f t="shared" si="154"/>
        <v>11.776052069317286</v>
      </c>
      <c r="F335" s="303"/>
      <c r="G335" s="302">
        <v>11.693528262540918</v>
      </c>
      <c r="H335" s="302">
        <v>0.94434113468968239</v>
      </c>
      <c r="I335" s="302">
        <v>7.7422697787883535E-2</v>
      </c>
      <c r="J335" s="302">
        <f t="shared" si="155"/>
        <v>12.715292095018484</v>
      </c>
      <c r="K335" s="303"/>
      <c r="L335" s="302">
        <v>9.8573189972183393</v>
      </c>
      <c r="M335" s="302">
        <v>0.64877826675581352</v>
      </c>
      <c r="N335" s="302">
        <v>6.2456236680982491E-2</v>
      </c>
      <c r="O335" s="302">
        <f t="shared" si="156"/>
        <v>10.568553500655137</v>
      </c>
    </row>
    <row r="336" spans="1:15" s="236" customFormat="1" x14ac:dyDescent="0.3">
      <c r="A336" s="237" t="str">
        <f>name!E$8</f>
        <v>Skilled trades occupations</v>
      </c>
      <c r="B336" s="302">
        <v>39.493061125897903</v>
      </c>
      <c r="C336" s="302">
        <v>0.34511540191809531</v>
      </c>
      <c r="D336" s="302">
        <v>1.2090964014750722</v>
      </c>
      <c r="E336" s="302">
        <f t="shared" si="154"/>
        <v>41.047272929291069</v>
      </c>
      <c r="F336" s="303"/>
      <c r="G336" s="302">
        <v>32.8179398992092</v>
      </c>
      <c r="H336" s="302">
        <v>0.62925131289816727</v>
      </c>
      <c r="I336" s="302">
        <v>0.77611738782073458</v>
      </c>
      <c r="J336" s="302">
        <f>SUM(G336:I336)</f>
        <v>34.223308599928103</v>
      </c>
      <c r="K336" s="303"/>
      <c r="L336" s="302">
        <v>25.601561527029016</v>
      </c>
      <c r="M336" s="302">
        <v>0.6761893624696943</v>
      </c>
      <c r="N336" s="302">
        <v>0.80066670158909803</v>
      </c>
      <c r="O336" s="302">
        <f t="shared" si="156"/>
        <v>27.07841759108781</v>
      </c>
    </row>
    <row r="337" spans="1:15" s="236" customFormat="1" x14ac:dyDescent="0.3">
      <c r="A337" s="237" t="str">
        <f>name!E$9</f>
        <v>Caring, leisure and other service occupations</v>
      </c>
      <c r="B337" s="302">
        <v>1.8065948726473506</v>
      </c>
      <c r="C337" s="302">
        <v>0.29809694124008573</v>
      </c>
      <c r="D337" s="302">
        <v>0.12184408335045403</v>
      </c>
      <c r="E337" s="302">
        <f t="shared" si="154"/>
        <v>2.2265358972378904</v>
      </c>
      <c r="F337" s="303"/>
      <c r="G337" s="302">
        <v>1.9043546852764623</v>
      </c>
      <c r="H337" s="302">
        <v>0.58904265451510063</v>
      </c>
      <c r="I337" s="302">
        <v>0.10731319907235316</v>
      </c>
      <c r="J337" s="302">
        <f t="shared" ref="J337:J340" si="157">SUM(G337:I337)</f>
        <v>2.600710538863916</v>
      </c>
      <c r="K337" s="303"/>
      <c r="L337" s="302">
        <v>2.2904493277363209</v>
      </c>
      <c r="M337" s="302">
        <v>0.57429875232159533</v>
      </c>
      <c r="N337" s="302">
        <v>0.16426384126472129</v>
      </c>
      <c r="O337" s="302">
        <f t="shared" si="156"/>
        <v>3.0290119213226379</v>
      </c>
    </row>
    <row r="338" spans="1:15" s="236" customFormat="1" x14ac:dyDescent="0.3">
      <c r="A338" s="237" t="str">
        <f>name!E$10</f>
        <v>Sales and customer service occupations</v>
      </c>
      <c r="B338" s="302">
        <v>3.0827001984025619</v>
      </c>
      <c r="C338" s="302">
        <v>0.29149141474732843</v>
      </c>
      <c r="D338" s="302">
        <v>9.4824125342893043E-2</v>
      </c>
      <c r="E338" s="302">
        <f t="shared" si="154"/>
        <v>3.4690157384927836</v>
      </c>
      <c r="F338" s="303"/>
      <c r="G338" s="302">
        <v>2.969428825687245</v>
      </c>
      <c r="H338" s="302">
        <v>0.46385035042444805</v>
      </c>
      <c r="I338" s="302">
        <v>5.9325018909823272E-2</v>
      </c>
      <c r="J338" s="302">
        <f t="shared" si="157"/>
        <v>3.4926041950215163</v>
      </c>
      <c r="K338" s="303"/>
      <c r="L338" s="302">
        <v>3.0255870442608939</v>
      </c>
      <c r="M338" s="302">
        <v>0.45700224021729413</v>
      </c>
      <c r="N338" s="302">
        <v>4.7979725604310908E-2</v>
      </c>
      <c r="O338" s="302">
        <f t="shared" si="156"/>
        <v>3.5305690100824991</v>
      </c>
    </row>
    <row r="339" spans="1:15" s="236" customFormat="1" x14ac:dyDescent="0.3">
      <c r="A339" s="237" t="str">
        <f>name!E$11</f>
        <v>Process, plant and machine operatives</v>
      </c>
      <c r="B339" s="302">
        <v>37.901785244601506</v>
      </c>
      <c r="C339" s="302">
        <v>0.55797583716693</v>
      </c>
      <c r="D339" s="302">
        <v>0.20752915340390105</v>
      </c>
      <c r="E339" s="302">
        <f t="shared" si="154"/>
        <v>38.667290235172338</v>
      </c>
      <c r="F339" s="303"/>
      <c r="G339" s="302">
        <v>30.482896668939571</v>
      </c>
      <c r="H339" s="302">
        <v>0.92015142322811583</v>
      </c>
      <c r="I339" s="302">
        <v>0.18929045897561894</v>
      </c>
      <c r="J339" s="302">
        <f t="shared" si="157"/>
        <v>31.592338551143307</v>
      </c>
      <c r="K339" s="303"/>
      <c r="L339" s="302">
        <v>31.664560966302634</v>
      </c>
      <c r="M339" s="302">
        <v>0.89923614106372229</v>
      </c>
      <c r="N339" s="302">
        <v>0.18471071916156093</v>
      </c>
      <c r="O339" s="302">
        <f t="shared" si="156"/>
        <v>32.748507826527913</v>
      </c>
    </row>
    <row r="340" spans="1:15" s="236" customFormat="1" x14ac:dyDescent="0.3">
      <c r="A340" s="237" t="str">
        <f>name!E$12</f>
        <v>Elementary occupations</v>
      </c>
      <c r="B340" s="302">
        <v>7.61940711707628</v>
      </c>
      <c r="C340" s="302">
        <v>0.48835384107248925</v>
      </c>
      <c r="D340" s="302">
        <v>0.13797394741841185</v>
      </c>
      <c r="E340" s="302">
        <f t="shared" si="154"/>
        <v>8.2457349055671827</v>
      </c>
      <c r="F340" s="303"/>
      <c r="G340" s="302">
        <v>6.0831740475036655</v>
      </c>
      <c r="H340" s="302">
        <v>0.54964250190365294</v>
      </c>
      <c r="I340" s="302">
        <v>8.3712368777255991E-2</v>
      </c>
      <c r="J340" s="302">
        <f t="shared" si="157"/>
        <v>6.7165289181845749</v>
      </c>
      <c r="K340" s="303"/>
      <c r="L340" s="302">
        <v>3.675819713238103</v>
      </c>
      <c r="M340" s="302">
        <v>0.29638691278941698</v>
      </c>
      <c r="N340" s="302">
        <v>7.7084294620505686E-2</v>
      </c>
      <c r="O340" s="302">
        <f t="shared" si="156"/>
        <v>4.0492909206480254</v>
      </c>
    </row>
    <row r="341" spans="1:15" s="236" customFormat="1" x14ac:dyDescent="0.3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3">
      <c r="A342" s="244" t="s">
        <v>32</v>
      </c>
      <c r="B342" s="311">
        <f>SUM(B332:B340)</f>
        <v>146.93799999978376</v>
      </c>
      <c r="C342" s="311">
        <f t="shared" ref="C342:E342" si="158">SUM(C332:C340)</f>
        <v>3.9900000000570532</v>
      </c>
      <c r="D342" s="311">
        <f t="shared" si="158"/>
        <v>4.0010000000320112</v>
      </c>
      <c r="E342" s="311">
        <f t="shared" si="158"/>
        <v>154.92899999987281</v>
      </c>
      <c r="F342" s="311"/>
      <c r="G342" s="311">
        <f t="shared" ref="G342:J342" si="159">SUM(G332:G340)</f>
        <v>141.11499999939048</v>
      </c>
      <c r="H342" s="311">
        <f t="shared" si="159"/>
        <v>6.0040000000348037</v>
      </c>
      <c r="I342" s="311">
        <f t="shared" si="159"/>
        <v>2.9829999999970274</v>
      </c>
      <c r="J342" s="311">
        <f t="shared" si="159"/>
        <v>150.1019999994223</v>
      </c>
      <c r="K342" s="311"/>
      <c r="L342" s="311">
        <f t="shared" ref="L342:O342" si="160">SUM(L332:L340)</f>
        <v>129.78100000002456</v>
      </c>
      <c r="M342" s="311">
        <f t="shared" si="160"/>
        <v>5.2899999999626726</v>
      </c>
      <c r="N342" s="311">
        <f t="shared" si="160"/>
        <v>2.7730000000064385</v>
      </c>
      <c r="O342" s="311">
        <f t="shared" si="160"/>
        <v>137.84399999999366</v>
      </c>
    </row>
    <row r="343" spans="1:15" s="236" customFormat="1" x14ac:dyDescent="0.3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3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35</v>
      </c>
    </row>
    <row r="345" spans="1:15" s="236" customFormat="1" x14ac:dyDescent="0.3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3">
      <c r="A346" s="241" t="str">
        <f>name!A23</f>
        <v>Other transport equipment</v>
      </c>
      <c r="B346" s="375">
        <f>$B$6</f>
        <v>2015</v>
      </c>
      <c r="C346" s="375"/>
      <c r="D346" s="375"/>
      <c r="E346" s="375"/>
      <c r="F346" s="263"/>
      <c r="G346" s="375">
        <f>$G$6</f>
        <v>2020</v>
      </c>
      <c r="H346" s="375"/>
      <c r="I346" s="375"/>
      <c r="J346" s="375"/>
      <c r="K346" s="263"/>
      <c r="L346" s="375">
        <f>$L$6</f>
        <v>2035</v>
      </c>
      <c r="M346" s="375"/>
      <c r="N346" s="375"/>
      <c r="O346" s="375"/>
    </row>
    <row r="347" spans="1:15" s="236" customFormat="1" x14ac:dyDescent="0.3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3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3">
      <c r="A349" s="237" t="str">
        <f>name!E$4</f>
        <v>Managers, directors and senior officials</v>
      </c>
      <c r="B349" s="302">
        <v>10.787208367655525</v>
      </c>
      <c r="C349" s="302">
        <v>0.27586479537942282</v>
      </c>
      <c r="D349" s="302">
        <v>0.33862574239891963</v>
      </c>
      <c r="E349" s="302">
        <f>SUM(B349:D349)</f>
        <v>11.401698905433868</v>
      </c>
      <c r="F349" s="303"/>
      <c r="G349" s="302">
        <v>12.038225150258061</v>
      </c>
      <c r="H349" s="302">
        <v>0.67890341882550864</v>
      </c>
      <c r="I349" s="302">
        <v>0.77609954385240076</v>
      </c>
      <c r="J349" s="302">
        <f>SUM(G349:I349)</f>
        <v>13.49322811293597</v>
      </c>
      <c r="K349" s="303"/>
      <c r="L349" s="302">
        <v>10.088699570192322</v>
      </c>
      <c r="M349" s="302">
        <v>0.60730908595757482</v>
      </c>
      <c r="N349" s="302">
        <v>0.69467475947789958</v>
      </c>
      <c r="O349" s="302">
        <f>SUM(L349:N349)</f>
        <v>11.390683415627796</v>
      </c>
    </row>
    <row r="350" spans="1:15" s="236" customFormat="1" x14ac:dyDescent="0.3">
      <c r="A350" s="237" t="str">
        <f>name!E$5</f>
        <v>Professional occupations</v>
      </c>
      <c r="B350" s="302">
        <v>33.297538720886195</v>
      </c>
      <c r="C350" s="302">
        <v>0.42254921953937091</v>
      </c>
      <c r="D350" s="302">
        <v>0.42865246432853055</v>
      </c>
      <c r="E350" s="302">
        <f t="shared" ref="E350:E357" si="161">SUM(B350:D350)</f>
        <v>34.148740404754093</v>
      </c>
      <c r="F350" s="303"/>
      <c r="G350" s="302">
        <v>41.224030836816318</v>
      </c>
      <c r="H350" s="302">
        <v>0.9677212350519927</v>
      </c>
      <c r="I350" s="302">
        <v>0.87834401468943635</v>
      </c>
      <c r="J350" s="302">
        <f t="shared" ref="J350:J352" si="162">SUM(G350:I350)</f>
        <v>43.070096086557747</v>
      </c>
      <c r="K350" s="303"/>
      <c r="L350" s="302">
        <v>39.369567854395875</v>
      </c>
      <c r="M350" s="302">
        <v>0.8463464386044951</v>
      </c>
      <c r="N350" s="302">
        <v>0.49696228924924751</v>
      </c>
      <c r="O350" s="302">
        <f t="shared" ref="O350:O357" si="163">SUM(L350:N350)</f>
        <v>40.712876582249613</v>
      </c>
    </row>
    <row r="351" spans="1:15" s="236" customFormat="1" x14ac:dyDescent="0.3">
      <c r="A351" s="237" t="str">
        <f>name!E$6</f>
        <v>Associate professional occupations</v>
      </c>
      <c r="B351" s="302">
        <v>13.180772213875061</v>
      </c>
      <c r="C351" s="302">
        <v>0.22975595756624573</v>
      </c>
      <c r="D351" s="302">
        <v>0.24312455160717036</v>
      </c>
      <c r="E351" s="302">
        <f t="shared" si="161"/>
        <v>13.653652723048477</v>
      </c>
      <c r="F351" s="303"/>
      <c r="G351" s="302">
        <v>16.109053773317779</v>
      </c>
      <c r="H351" s="302">
        <v>0.44275602473294895</v>
      </c>
      <c r="I351" s="302">
        <v>0.44916768515226113</v>
      </c>
      <c r="J351" s="302">
        <f t="shared" si="162"/>
        <v>17.000977483202988</v>
      </c>
      <c r="K351" s="303"/>
      <c r="L351" s="302">
        <v>12.430545609107197</v>
      </c>
      <c r="M351" s="302">
        <v>0.32530347246801461</v>
      </c>
      <c r="N351" s="302">
        <v>0.36205182284614557</v>
      </c>
      <c r="O351" s="302">
        <f t="shared" si="163"/>
        <v>13.117900904421358</v>
      </c>
    </row>
    <row r="352" spans="1:15" s="236" customFormat="1" x14ac:dyDescent="0.3">
      <c r="A352" s="237" t="str">
        <f>name!E$7</f>
        <v>Administrative and secretarial occupations</v>
      </c>
      <c r="B352" s="302">
        <v>9.0853206498211971</v>
      </c>
      <c r="C352" s="302">
        <v>0.76981065258775838</v>
      </c>
      <c r="D352" s="302">
        <v>8.9797278332209005E-2</v>
      </c>
      <c r="E352" s="302">
        <f t="shared" si="161"/>
        <v>9.9449285807411645</v>
      </c>
      <c r="F352" s="303"/>
      <c r="G352" s="302">
        <v>10.269067759940141</v>
      </c>
      <c r="H352" s="302">
        <v>1.1322477098300279</v>
      </c>
      <c r="I352" s="302">
        <v>9.8411034297552616E-2</v>
      </c>
      <c r="J352" s="302">
        <f t="shared" si="162"/>
        <v>11.49972650406772</v>
      </c>
      <c r="K352" s="303"/>
      <c r="L352" s="302">
        <v>8.8974284687620901</v>
      </c>
      <c r="M352" s="302">
        <v>0.8741873923533886</v>
      </c>
      <c r="N352" s="302">
        <v>0.14198078880053294</v>
      </c>
      <c r="O352" s="302">
        <f t="shared" si="163"/>
        <v>9.9135966499160109</v>
      </c>
    </row>
    <row r="353" spans="1:15" s="236" customFormat="1" x14ac:dyDescent="0.3">
      <c r="A353" s="237" t="str">
        <f>name!E$8</f>
        <v>Skilled trades occupations</v>
      </c>
      <c r="B353" s="302">
        <v>43.271050735329887</v>
      </c>
      <c r="C353" s="302">
        <v>0.22737609342257303</v>
      </c>
      <c r="D353" s="302">
        <v>2.0813542016484208</v>
      </c>
      <c r="E353" s="302">
        <f t="shared" si="161"/>
        <v>45.579781030400881</v>
      </c>
      <c r="F353" s="303"/>
      <c r="G353" s="302">
        <v>35.539783571366179</v>
      </c>
      <c r="H353" s="302">
        <v>0.26500350328937089</v>
      </c>
      <c r="I353" s="302">
        <v>3.4311085979102267</v>
      </c>
      <c r="J353" s="302">
        <f>SUM(G353:I353)</f>
        <v>39.235895672565775</v>
      </c>
      <c r="K353" s="303"/>
      <c r="L353" s="302">
        <v>25.025549924419465</v>
      </c>
      <c r="M353" s="302">
        <v>0.26179644880835995</v>
      </c>
      <c r="N353" s="302">
        <v>2.9088451081448361</v>
      </c>
      <c r="O353" s="302">
        <f t="shared" si="163"/>
        <v>28.196191481372662</v>
      </c>
    </row>
    <row r="354" spans="1:15" s="236" customFormat="1" x14ac:dyDescent="0.3">
      <c r="A354" s="237" t="str">
        <f>name!E$9</f>
        <v>Caring, leisure and other service occupations</v>
      </c>
      <c r="B354" s="302">
        <v>0.400084432626652</v>
      </c>
      <c r="C354" s="302">
        <v>4.4515848682769713E-2</v>
      </c>
      <c r="D354" s="302">
        <v>6.3527502814972103E-2</v>
      </c>
      <c r="E354" s="302">
        <f t="shared" si="161"/>
        <v>0.50812778412439386</v>
      </c>
      <c r="F354" s="303"/>
      <c r="G354" s="302">
        <v>0.43658631468918385</v>
      </c>
      <c r="H354" s="302">
        <v>7.1839169497197611E-2</v>
      </c>
      <c r="I354" s="302">
        <v>9.7195447807349525E-2</v>
      </c>
      <c r="J354" s="302">
        <f t="shared" ref="J354:J357" si="164">SUM(G354:I354)</f>
        <v>0.60562093199373102</v>
      </c>
      <c r="K354" s="303"/>
      <c r="L354" s="302">
        <v>0.42810831536112731</v>
      </c>
      <c r="M354" s="302">
        <v>5.1871089732198311E-2</v>
      </c>
      <c r="N354" s="302">
        <v>8.2428316973299998E-2</v>
      </c>
      <c r="O354" s="302">
        <f t="shared" si="163"/>
        <v>0.56240772206662559</v>
      </c>
    </row>
    <row r="355" spans="1:15" s="236" customFormat="1" x14ac:dyDescent="0.3">
      <c r="A355" s="237" t="str">
        <f>name!E$10</f>
        <v>Sales and customer service occupations</v>
      </c>
      <c r="B355" s="302">
        <v>1.5360931539848839</v>
      </c>
      <c r="C355" s="302">
        <v>0.3335174954670776</v>
      </c>
      <c r="D355" s="302">
        <v>0.1273522264376552</v>
      </c>
      <c r="E355" s="302">
        <f t="shared" si="161"/>
        <v>1.9969628758896167</v>
      </c>
      <c r="F355" s="303"/>
      <c r="G355" s="302">
        <v>1.6005275053934478</v>
      </c>
      <c r="H355" s="302">
        <v>0.63951309218076224</v>
      </c>
      <c r="I355" s="302">
        <v>0.18464838486819463</v>
      </c>
      <c r="J355" s="302">
        <f t="shared" si="164"/>
        <v>2.4246889824424049</v>
      </c>
      <c r="K355" s="303"/>
      <c r="L355" s="302">
        <v>1.6900290095334793</v>
      </c>
      <c r="M355" s="302">
        <v>0.65463499133158931</v>
      </c>
      <c r="N355" s="302">
        <v>0.14772143138681132</v>
      </c>
      <c r="O355" s="302">
        <f t="shared" si="163"/>
        <v>2.4923854322518801</v>
      </c>
    </row>
    <row r="356" spans="1:15" s="236" customFormat="1" x14ac:dyDescent="0.3">
      <c r="A356" s="237" t="str">
        <f>name!E$11</f>
        <v>Process, plant and machine operatives</v>
      </c>
      <c r="B356" s="302">
        <v>16.274909871238027</v>
      </c>
      <c r="C356" s="302">
        <v>0.30817752583859509</v>
      </c>
      <c r="D356" s="302">
        <v>0.42158305980439625</v>
      </c>
      <c r="E356" s="302">
        <f t="shared" si="161"/>
        <v>17.004670456881019</v>
      </c>
      <c r="F356" s="303"/>
      <c r="G356" s="302">
        <v>12.512225141033312</v>
      </c>
      <c r="H356" s="302">
        <v>0.38520309387299817</v>
      </c>
      <c r="I356" s="302">
        <v>0.78454701253503167</v>
      </c>
      <c r="J356" s="302">
        <f t="shared" si="164"/>
        <v>13.681975247441343</v>
      </c>
      <c r="K356" s="303"/>
      <c r="L356" s="302">
        <v>12.329577271494772</v>
      </c>
      <c r="M356" s="302">
        <v>0.43154402710739376</v>
      </c>
      <c r="N356" s="302">
        <v>0.83237732894890026</v>
      </c>
      <c r="O356" s="302">
        <f t="shared" si="163"/>
        <v>13.593498627551067</v>
      </c>
    </row>
    <row r="357" spans="1:15" s="236" customFormat="1" x14ac:dyDescent="0.3">
      <c r="A357" s="237" t="str">
        <f>name!E$12</f>
        <v>Elementary occupations</v>
      </c>
      <c r="B357" s="302">
        <v>2.9840218540998076</v>
      </c>
      <c r="C357" s="302">
        <v>0.506432411537729</v>
      </c>
      <c r="D357" s="302">
        <v>0.20498297258547676</v>
      </c>
      <c r="E357" s="302">
        <f t="shared" si="161"/>
        <v>3.6954372382230134</v>
      </c>
      <c r="F357" s="303"/>
      <c r="G357" s="302">
        <v>2.3784999467866523</v>
      </c>
      <c r="H357" s="302">
        <v>0.42181275274995594</v>
      </c>
      <c r="I357" s="302">
        <v>0.26447827881032054</v>
      </c>
      <c r="J357" s="302">
        <f t="shared" si="164"/>
        <v>3.0647909783469287</v>
      </c>
      <c r="K357" s="303"/>
      <c r="L357" s="302">
        <v>1.3164939768670938</v>
      </c>
      <c r="M357" s="302">
        <v>0.2650070536187013</v>
      </c>
      <c r="N357" s="302">
        <v>0.26195815406484085</v>
      </c>
      <c r="O357" s="302">
        <f t="shared" si="163"/>
        <v>1.8434591845506358</v>
      </c>
    </row>
    <row r="358" spans="1:15" s="236" customFormat="1" x14ac:dyDescent="0.3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3">
      <c r="A359" s="244" t="s">
        <v>32</v>
      </c>
      <c r="B359" s="311">
        <f>SUM(B349:B357)</f>
        <v>130.81699999951721</v>
      </c>
      <c r="C359" s="311">
        <f t="shared" ref="C359:E359" si="165">SUM(C349:C357)</f>
        <v>3.1180000000215422</v>
      </c>
      <c r="D359" s="311">
        <f t="shared" si="165"/>
        <v>3.9989999999577504</v>
      </c>
      <c r="E359" s="311">
        <f t="shared" si="165"/>
        <v>137.93399999949654</v>
      </c>
      <c r="F359" s="311"/>
      <c r="G359" s="311">
        <f t="shared" ref="G359:J359" si="166">SUM(G349:G357)</f>
        <v>132.10799999960111</v>
      </c>
      <c r="H359" s="311">
        <f t="shared" si="166"/>
        <v>5.0050000000307628</v>
      </c>
      <c r="I359" s="311">
        <f t="shared" si="166"/>
        <v>6.9639999999227733</v>
      </c>
      <c r="J359" s="311">
        <f t="shared" si="166"/>
        <v>144.07699999955463</v>
      </c>
      <c r="K359" s="311"/>
      <c r="L359" s="311">
        <f t="shared" ref="L359:O359" si="167">SUM(L349:L357)</f>
        <v>111.57600000013342</v>
      </c>
      <c r="M359" s="311">
        <f t="shared" si="167"/>
        <v>4.3179999999817156</v>
      </c>
      <c r="N359" s="311">
        <f t="shared" si="167"/>
        <v>5.9289999998925147</v>
      </c>
      <c r="O359" s="311">
        <f t="shared" si="167"/>
        <v>121.82300000000767</v>
      </c>
    </row>
    <row r="360" spans="1:15" s="236" customFormat="1" x14ac:dyDescent="0.3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3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35</v>
      </c>
    </row>
    <row r="362" spans="1:15" s="236" customFormat="1" x14ac:dyDescent="0.3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3">
      <c r="A363" s="241" t="str">
        <f>name!A24</f>
        <v>Furniture</v>
      </c>
      <c r="B363" s="375">
        <f>$B$6</f>
        <v>2015</v>
      </c>
      <c r="C363" s="375"/>
      <c r="D363" s="375"/>
      <c r="E363" s="375"/>
      <c r="F363" s="263"/>
      <c r="G363" s="375">
        <f>$G$6</f>
        <v>2020</v>
      </c>
      <c r="H363" s="375"/>
      <c r="I363" s="375"/>
      <c r="J363" s="375"/>
      <c r="K363" s="263"/>
      <c r="L363" s="375">
        <f>$L$6</f>
        <v>2035</v>
      </c>
      <c r="M363" s="375"/>
      <c r="N363" s="375"/>
      <c r="O363" s="375"/>
    </row>
    <row r="364" spans="1:15" s="236" customFormat="1" x14ac:dyDescent="0.3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3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3">
      <c r="A366" s="237" t="str">
        <f>name!E$4</f>
        <v>Managers, directors and senior officials</v>
      </c>
      <c r="B366" s="302">
        <v>6.1499375588790368</v>
      </c>
      <c r="C366" s="302">
        <v>0.43268168160141135</v>
      </c>
      <c r="D366" s="302">
        <v>1.3346355268080323</v>
      </c>
      <c r="E366" s="302">
        <f>SUM(B366:D366)</f>
        <v>7.9172547672884805</v>
      </c>
      <c r="F366" s="303"/>
      <c r="G366" s="302">
        <v>8.7067866114995489</v>
      </c>
      <c r="H366" s="302">
        <v>0.88324689412970248</v>
      </c>
      <c r="I366" s="302">
        <v>0.68949244452160341</v>
      </c>
      <c r="J366" s="302">
        <f>SUM(G366:I366)</f>
        <v>10.279525950150854</v>
      </c>
      <c r="K366" s="303"/>
      <c r="L366" s="302">
        <v>7.5600765618740366</v>
      </c>
      <c r="M366" s="302">
        <v>0.67843275812609838</v>
      </c>
      <c r="N366" s="302">
        <v>0.55917272721297628</v>
      </c>
      <c r="O366" s="302">
        <f>SUM(L366:N366)</f>
        <v>8.7976820472131116</v>
      </c>
    </row>
    <row r="367" spans="1:15" s="236" customFormat="1" x14ac:dyDescent="0.3">
      <c r="A367" s="237" t="str">
        <f>name!E$5</f>
        <v>Professional occupations</v>
      </c>
      <c r="B367" s="302">
        <v>5.7497888934750243</v>
      </c>
      <c r="C367" s="302">
        <v>0.32456512290842998</v>
      </c>
      <c r="D367" s="302">
        <v>0.54361967668049449</v>
      </c>
      <c r="E367" s="302">
        <f t="shared" ref="E367:E374" si="168">SUM(B367:D367)</f>
        <v>6.6179736930639486</v>
      </c>
      <c r="F367" s="303"/>
      <c r="G367" s="302">
        <v>9.0730325346092435</v>
      </c>
      <c r="H367" s="302">
        <v>0.82747676592450581</v>
      </c>
      <c r="I367" s="302">
        <v>0.3223001036148469</v>
      </c>
      <c r="J367" s="302">
        <f t="shared" ref="J367:J369" si="169">SUM(G367:I367)</f>
        <v>10.222809404148595</v>
      </c>
      <c r="K367" s="303"/>
      <c r="L367" s="302">
        <v>9.1523636475013639</v>
      </c>
      <c r="M367" s="302">
        <v>0.7190895259350828</v>
      </c>
      <c r="N367" s="302">
        <v>0.20642572486330915</v>
      </c>
      <c r="O367" s="302">
        <f t="shared" ref="O367:O374" si="170">SUM(L367:N367)</f>
        <v>10.077878898299755</v>
      </c>
    </row>
    <row r="368" spans="1:15" s="236" customFormat="1" x14ac:dyDescent="0.3">
      <c r="A368" s="237" t="str">
        <f>name!E$6</f>
        <v>Associate professional occupations</v>
      </c>
      <c r="B368" s="302">
        <v>4.9889474923641934</v>
      </c>
      <c r="C368" s="302">
        <v>0.53954366957930067</v>
      </c>
      <c r="D368" s="302">
        <v>0.75900216547627153</v>
      </c>
      <c r="E368" s="302">
        <f t="shared" si="168"/>
        <v>6.2874933274197655</v>
      </c>
      <c r="F368" s="303"/>
      <c r="G368" s="302">
        <v>7.3504779512820937</v>
      </c>
      <c r="H368" s="302">
        <v>0.95814600124693727</v>
      </c>
      <c r="I368" s="302">
        <v>0.44565674347871392</v>
      </c>
      <c r="J368" s="302">
        <f t="shared" si="169"/>
        <v>8.7542806960077453</v>
      </c>
      <c r="K368" s="303"/>
      <c r="L368" s="302">
        <v>6.141802802414853</v>
      </c>
      <c r="M368" s="302">
        <v>0.59510736056572433</v>
      </c>
      <c r="N368" s="302">
        <v>0.3248647596767999</v>
      </c>
      <c r="O368" s="302">
        <f t="shared" si="170"/>
        <v>7.0617749226573769</v>
      </c>
    </row>
    <row r="369" spans="1:15" s="236" customFormat="1" x14ac:dyDescent="0.3">
      <c r="A369" s="237" t="str">
        <f>name!E$7</f>
        <v>Administrative and secretarial occupations</v>
      </c>
      <c r="B369" s="302">
        <v>5.6517643001575797</v>
      </c>
      <c r="C369" s="302">
        <v>1.9093841142694339</v>
      </c>
      <c r="D369" s="302">
        <v>0.25568411091212428</v>
      </c>
      <c r="E369" s="302">
        <f t="shared" si="168"/>
        <v>7.8168325253391382</v>
      </c>
      <c r="F369" s="303"/>
      <c r="G369" s="302">
        <v>7.3003858539388045</v>
      </c>
      <c r="H369" s="302">
        <v>2.4052873092291729</v>
      </c>
      <c r="I369" s="302">
        <v>0.12299496403511222</v>
      </c>
      <c r="J369" s="302">
        <f t="shared" si="169"/>
        <v>9.8286681272030894</v>
      </c>
      <c r="K369" s="303"/>
      <c r="L369" s="302">
        <v>5.5926652754830144</v>
      </c>
      <c r="M369" s="302">
        <v>1.381655459438953</v>
      </c>
      <c r="N369" s="302">
        <v>7.6456250289996822E-2</v>
      </c>
      <c r="O369" s="302">
        <f t="shared" si="170"/>
        <v>7.0507769852119644</v>
      </c>
    </row>
    <row r="370" spans="1:15" s="236" customFormat="1" x14ac:dyDescent="0.3">
      <c r="A370" s="237" t="str">
        <f>name!E$8</f>
        <v>Skilled trades occupations</v>
      </c>
      <c r="B370" s="302">
        <v>26.442507853014053</v>
      </c>
      <c r="C370" s="302">
        <v>0.9706306694250707</v>
      </c>
      <c r="D370" s="302">
        <v>11.184682652644272</v>
      </c>
      <c r="E370" s="302">
        <f t="shared" si="168"/>
        <v>38.597821175083396</v>
      </c>
      <c r="F370" s="303"/>
      <c r="G370" s="302">
        <v>27.33373527568861</v>
      </c>
      <c r="H370" s="302">
        <v>1.2163499237158752</v>
      </c>
      <c r="I370" s="302">
        <v>4.1220085140634106</v>
      </c>
      <c r="J370" s="302">
        <f>SUM(G370:I370)</f>
        <v>32.672093713467895</v>
      </c>
      <c r="K370" s="303"/>
      <c r="L370" s="302">
        <v>20.65337734251408</v>
      </c>
      <c r="M370" s="302">
        <v>1.0634367779050105</v>
      </c>
      <c r="N370" s="302">
        <v>3.2622948699333705</v>
      </c>
      <c r="O370" s="302">
        <f t="shared" si="170"/>
        <v>24.979108990352461</v>
      </c>
    </row>
    <row r="371" spans="1:15" s="236" customFormat="1" x14ac:dyDescent="0.3">
      <c r="A371" s="237" t="str">
        <f>name!E$9</f>
        <v>Caring, leisure and other service occupations</v>
      </c>
      <c r="B371" s="302">
        <v>0.26792588077061696</v>
      </c>
      <c r="C371" s="302">
        <v>0.14773296286594809</v>
      </c>
      <c r="D371" s="302">
        <v>8.43959721193763E-2</v>
      </c>
      <c r="E371" s="302">
        <f t="shared" si="168"/>
        <v>0.50005481575594135</v>
      </c>
      <c r="F371" s="303"/>
      <c r="G371" s="302">
        <v>0.34368027369276755</v>
      </c>
      <c r="H371" s="302">
        <v>0.33359429490166298</v>
      </c>
      <c r="I371" s="302">
        <v>8.6535223059601499E-2</v>
      </c>
      <c r="J371" s="302">
        <f t="shared" ref="J371:J374" si="171">SUM(G371:I371)</f>
        <v>0.76380979165403207</v>
      </c>
      <c r="K371" s="303"/>
      <c r="L371" s="302">
        <v>0.29714243898567644</v>
      </c>
      <c r="M371" s="302">
        <v>0.27483157781511036</v>
      </c>
      <c r="N371" s="302">
        <v>7.8628682859273533E-2</v>
      </c>
      <c r="O371" s="302">
        <f t="shared" si="170"/>
        <v>0.65060269966006024</v>
      </c>
    </row>
    <row r="372" spans="1:15" s="236" customFormat="1" x14ac:dyDescent="0.3">
      <c r="A372" s="237" t="str">
        <f>name!E$10</f>
        <v>Sales and customer service occupations</v>
      </c>
      <c r="B372" s="302">
        <v>2.8130644935589189</v>
      </c>
      <c r="C372" s="302">
        <v>0.6739127997998845</v>
      </c>
      <c r="D372" s="302">
        <v>0.27789196403233363</v>
      </c>
      <c r="E372" s="302">
        <f t="shared" si="168"/>
        <v>3.7648692573911369</v>
      </c>
      <c r="F372" s="303"/>
      <c r="G372" s="302">
        <v>3.302815611260022</v>
      </c>
      <c r="H372" s="302">
        <v>1.2144573743336566</v>
      </c>
      <c r="I372" s="302">
        <v>0.10405467389016573</v>
      </c>
      <c r="J372" s="302">
        <f t="shared" si="171"/>
        <v>4.6213276594838444</v>
      </c>
      <c r="K372" s="303"/>
      <c r="L372" s="302">
        <v>2.9694452403237235</v>
      </c>
      <c r="M372" s="302">
        <v>1.07851557295089</v>
      </c>
      <c r="N372" s="302">
        <v>6.9950752626563514E-2</v>
      </c>
      <c r="O372" s="302">
        <f t="shared" si="170"/>
        <v>4.1179115659011769</v>
      </c>
    </row>
    <row r="373" spans="1:15" s="236" customFormat="1" x14ac:dyDescent="0.3">
      <c r="A373" s="237" t="str">
        <f>name!E$11</f>
        <v>Process, plant and machine operatives</v>
      </c>
      <c r="B373" s="302">
        <v>12.195900197612858</v>
      </c>
      <c r="C373" s="302">
        <v>0.96419312903788068</v>
      </c>
      <c r="D373" s="302">
        <v>1.353566178788411</v>
      </c>
      <c r="E373" s="302">
        <f t="shared" si="168"/>
        <v>14.513659505439149</v>
      </c>
      <c r="F373" s="303"/>
      <c r="G373" s="302">
        <v>12.347642999510132</v>
      </c>
      <c r="H373" s="302">
        <v>1.2980720270794277</v>
      </c>
      <c r="I373" s="302">
        <v>0.77795677698106802</v>
      </c>
      <c r="J373" s="302">
        <f t="shared" si="171"/>
        <v>14.423671803570628</v>
      </c>
      <c r="K373" s="303"/>
      <c r="L373" s="302">
        <v>12.128098140373416</v>
      </c>
      <c r="M373" s="302">
        <v>1.6281709054840303</v>
      </c>
      <c r="N373" s="302">
        <v>0.71272989693369326</v>
      </c>
      <c r="O373" s="302">
        <f t="shared" si="170"/>
        <v>14.468998942791139</v>
      </c>
    </row>
    <row r="374" spans="1:15" s="236" customFormat="1" x14ac:dyDescent="0.3">
      <c r="A374" s="237" t="str">
        <f>name!E$12</f>
        <v>Elementary occupations</v>
      </c>
      <c r="B374" s="302">
        <v>5.1611633300890869</v>
      </c>
      <c r="C374" s="302">
        <v>0.5973558506047133</v>
      </c>
      <c r="D374" s="302">
        <v>0.43352175250464348</v>
      </c>
      <c r="E374" s="302">
        <f t="shared" si="168"/>
        <v>6.1920409331984434</v>
      </c>
      <c r="F374" s="303"/>
      <c r="G374" s="302">
        <v>4.9534428884414448</v>
      </c>
      <c r="H374" s="302">
        <v>1.1583694095003791</v>
      </c>
      <c r="I374" s="302">
        <v>0.17400055628099995</v>
      </c>
      <c r="J374" s="302">
        <f t="shared" si="171"/>
        <v>6.285812854222824</v>
      </c>
      <c r="K374" s="303"/>
      <c r="L374" s="302">
        <v>2.89802855075731</v>
      </c>
      <c r="M374" s="302">
        <v>0.7237600617677421</v>
      </c>
      <c r="N374" s="302">
        <v>0.13547633558386477</v>
      </c>
      <c r="O374" s="302">
        <f t="shared" si="170"/>
        <v>3.7572649481089169</v>
      </c>
    </row>
    <row r="375" spans="1:15" s="236" customFormat="1" x14ac:dyDescent="0.3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3">
      <c r="A376" s="244" t="s">
        <v>32</v>
      </c>
      <c r="B376" s="311">
        <f>SUM(B366:B374)</f>
        <v>69.420999999921364</v>
      </c>
      <c r="C376" s="311">
        <f t="shared" ref="C376:E376" si="172">SUM(C366:C374)</f>
        <v>6.5600000000920735</v>
      </c>
      <c r="D376" s="311">
        <f t="shared" si="172"/>
        <v>16.226999999965958</v>
      </c>
      <c r="E376" s="311">
        <f t="shared" si="172"/>
        <v>92.207999999979407</v>
      </c>
      <c r="F376" s="311"/>
      <c r="G376" s="311">
        <f t="shared" ref="G376:J376" si="173">SUM(G366:G374)</f>
        <v>80.711999999922668</v>
      </c>
      <c r="H376" s="311">
        <f t="shared" si="173"/>
        <v>10.29500000006132</v>
      </c>
      <c r="I376" s="311">
        <f t="shared" si="173"/>
        <v>6.8449999999255224</v>
      </c>
      <c r="J376" s="311">
        <f t="shared" si="173"/>
        <v>97.851999999909495</v>
      </c>
      <c r="K376" s="311"/>
      <c r="L376" s="311">
        <f t="shared" ref="L376:O376" si="174">SUM(L366:L374)</f>
        <v>67.39300000022746</v>
      </c>
      <c r="M376" s="311">
        <f t="shared" si="174"/>
        <v>8.1429999999886409</v>
      </c>
      <c r="N376" s="311">
        <f t="shared" si="174"/>
        <v>5.4259999999798465</v>
      </c>
      <c r="O376" s="311">
        <f t="shared" si="174"/>
        <v>80.962000000195957</v>
      </c>
    </row>
    <row r="377" spans="1:15" s="236" customFormat="1" x14ac:dyDescent="0.3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3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35</v>
      </c>
    </row>
    <row r="379" spans="1:15" s="236" customFormat="1" x14ac:dyDescent="0.3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3">
      <c r="A380" s="241" t="str">
        <f>name!A25</f>
        <v>Other manufacturing</v>
      </c>
      <c r="B380" s="375">
        <f>$B$6</f>
        <v>2015</v>
      </c>
      <c r="C380" s="375"/>
      <c r="D380" s="375"/>
      <c r="E380" s="375"/>
      <c r="F380" s="263"/>
      <c r="G380" s="375">
        <f>$G$6</f>
        <v>2020</v>
      </c>
      <c r="H380" s="375"/>
      <c r="I380" s="375"/>
      <c r="J380" s="375"/>
      <c r="K380" s="263"/>
      <c r="L380" s="375">
        <f>$L$6</f>
        <v>2035</v>
      </c>
      <c r="M380" s="375"/>
      <c r="N380" s="375"/>
      <c r="O380" s="375"/>
    </row>
    <row r="381" spans="1:15" s="236" customFormat="1" x14ac:dyDescent="0.3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3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3">
      <c r="A383" s="237" t="str">
        <f>name!E$4</f>
        <v>Managers, directors and senior officials</v>
      </c>
      <c r="B383" s="302">
        <v>8.2372944309331029</v>
      </c>
      <c r="C383" s="302">
        <v>0.7865946685240236</v>
      </c>
      <c r="D383" s="302">
        <v>1.3614053972221387</v>
      </c>
      <c r="E383" s="302">
        <f>SUM(B383:D383)</f>
        <v>10.385294496679265</v>
      </c>
      <c r="F383" s="303"/>
      <c r="G383" s="302">
        <v>10.479016083933045</v>
      </c>
      <c r="H383" s="302">
        <v>1.1782212652927053</v>
      </c>
      <c r="I383" s="302">
        <v>1.209873101207124</v>
      </c>
      <c r="J383" s="302">
        <f>SUM(G383:I383)</f>
        <v>12.867110450432875</v>
      </c>
      <c r="K383" s="303"/>
      <c r="L383" s="302">
        <v>9.1788621672419772</v>
      </c>
      <c r="M383" s="302">
        <v>1.0468986847329955</v>
      </c>
      <c r="N383" s="302">
        <v>0.91476187531683828</v>
      </c>
      <c r="O383" s="302">
        <f>SUM(L383:N383)</f>
        <v>11.140522727291811</v>
      </c>
    </row>
    <row r="384" spans="1:15" s="236" customFormat="1" x14ac:dyDescent="0.3">
      <c r="A384" s="237" t="str">
        <f>name!E$5</f>
        <v>Professional occupations</v>
      </c>
      <c r="B384" s="302">
        <v>9.8279961718957161</v>
      </c>
      <c r="C384" s="302">
        <v>0.63560616389576319</v>
      </c>
      <c r="D384" s="302">
        <v>0.79821067056507577</v>
      </c>
      <c r="E384" s="302">
        <f t="shared" ref="E384:E391" si="175">SUM(B384:D384)</f>
        <v>11.261813006356556</v>
      </c>
      <c r="F384" s="303"/>
      <c r="G384" s="302">
        <v>14.038897595239259</v>
      </c>
      <c r="H384" s="302">
        <v>1.0969090764053122</v>
      </c>
      <c r="I384" s="302">
        <v>0.72368308258965519</v>
      </c>
      <c r="J384" s="302">
        <f t="shared" ref="J384:J386" si="176">SUM(G384:I384)</f>
        <v>15.859489754234227</v>
      </c>
      <c r="K384" s="303"/>
      <c r="L384" s="302">
        <v>14.232075770883498</v>
      </c>
      <c r="M384" s="302">
        <v>1.1397992334547398</v>
      </c>
      <c r="N384" s="302">
        <v>0.51057813024946963</v>
      </c>
      <c r="O384" s="302">
        <f t="shared" ref="O384:O391" si="177">SUM(L384:N384)</f>
        <v>15.882453134587706</v>
      </c>
    </row>
    <row r="385" spans="1:15" s="236" customFormat="1" x14ac:dyDescent="0.3">
      <c r="A385" s="237" t="str">
        <f>name!E$6</f>
        <v>Associate professional occupations</v>
      </c>
      <c r="B385" s="302">
        <v>7.806517312678265</v>
      </c>
      <c r="C385" s="302">
        <v>1.000382120848617</v>
      </c>
      <c r="D385" s="302">
        <v>1.2217905855678137</v>
      </c>
      <c r="E385" s="302">
        <f t="shared" si="175"/>
        <v>10.028690019094695</v>
      </c>
      <c r="F385" s="303"/>
      <c r="G385" s="302">
        <v>10.288386849053618</v>
      </c>
      <c r="H385" s="302">
        <v>1.0952062764575634</v>
      </c>
      <c r="I385" s="302">
        <v>0.82476660741865615</v>
      </c>
      <c r="J385" s="302">
        <f t="shared" si="176"/>
        <v>12.208359732929837</v>
      </c>
      <c r="K385" s="303"/>
      <c r="L385" s="302">
        <v>8.4886617098446582</v>
      </c>
      <c r="M385" s="302">
        <v>0.75420143154321595</v>
      </c>
      <c r="N385" s="302">
        <v>0.6278105465449656</v>
      </c>
      <c r="O385" s="302">
        <f t="shared" si="177"/>
        <v>9.8706736879328396</v>
      </c>
    </row>
    <row r="386" spans="1:15" s="236" customFormat="1" x14ac:dyDescent="0.3">
      <c r="A386" s="237" t="str">
        <f>name!E$7</f>
        <v>Administrative and secretarial occupations</v>
      </c>
      <c r="B386" s="302">
        <v>8.2299030023454325</v>
      </c>
      <c r="C386" s="302">
        <v>3.8998826658221346</v>
      </c>
      <c r="D386" s="302">
        <v>0.51227128851226444</v>
      </c>
      <c r="E386" s="302">
        <f t="shared" si="175"/>
        <v>12.642056956679832</v>
      </c>
      <c r="F386" s="303"/>
      <c r="G386" s="302">
        <v>9.1358802279699276</v>
      </c>
      <c r="H386" s="302">
        <v>2.9716658524014892</v>
      </c>
      <c r="I386" s="302">
        <v>0.33080384531621365</v>
      </c>
      <c r="J386" s="302">
        <f t="shared" si="176"/>
        <v>12.43834992568763</v>
      </c>
      <c r="K386" s="303"/>
      <c r="L386" s="302">
        <v>6.026000415312593</v>
      </c>
      <c r="M386" s="302">
        <v>1.8508596713895074</v>
      </c>
      <c r="N386" s="302">
        <v>0.2284330944670899</v>
      </c>
      <c r="O386" s="302">
        <f t="shared" si="177"/>
        <v>8.1052931811691895</v>
      </c>
    </row>
    <row r="387" spans="1:15" s="236" customFormat="1" x14ac:dyDescent="0.3">
      <c r="A387" s="237" t="str">
        <f>name!E$8</f>
        <v>Skilled trades occupations</v>
      </c>
      <c r="B387" s="302">
        <v>23.184470586218907</v>
      </c>
      <c r="C387" s="302">
        <v>1.8021766519690978</v>
      </c>
      <c r="D387" s="302">
        <v>9.567292543513263</v>
      </c>
      <c r="E387" s="302">
        <f t="shared" si="175"/>
        <v>34.553939781701267</v>
      </c>
      <c r="F387" s="303"/>
      <c r="G387" s="302">
        <v>19.690559798296846</v>
      </c>
      <c r="H387" s="302">
        <v>1.3343996977205574</v>
      </c>
      <c r="I387" s="302">
        <v>5.6748098418130999</v>
      </c>
      <c r="J387" s="302">
        <f>SUM(G387:I387)</f>
        <v>26.699769337830503</v>
      </c>
      <c r="K387" s="303"/>
      <c r="L387" s="302">
        <v>15.280459881487019</v>
      </c>
      <c r="M387" s="302">
        <v>1.2383039015866302</v>
      </c>
      <c r="N387" s="302">
        <v>3.7543090939379695</v>
      </c>
      <c r="O387" s="302">
        <f t="shared" si="177"/>
        <v>20.273072877011618</v>
      </c>
    </row>
    <row r="388" spans="1:15" s="236" customFormat="1" x14ac:dyDescent="0.3">
      <c r="A388" s="237" t="str">
        <f>name!E$9</f>
        <v>Caring, leisure and other service occupations</v>
      </c>
      <c r="B388" s="302">
        <v>0.47267927420531602</v>
      </c>
      <c r="C388" s="302">
        <v>0.3982910164489325</v>
      </c>
      <c r="D388" s="302">
        <v>0.15338190002203686</v>
      </c>
      <c r="E388" s="302">
        <f t="shared" si="175"/>
        <v>1.0243521906762854</v>
      </c>
      <c r="F388" s="303"/>
      <c r="G388" s="302">
        <v>0.50119183652046451</v>
      </c>
      <c r="H388" s="302">
        <v>0.29194230432859231</v>
      </c>
      <c r="I388" s="302">
        <v>0.27289801801446018</v>
      </c>
      <c r="J388" s="302">
        <f t="shared" ref="J388:J391" si="178">SUM(G388:I388)</f>
        <v>1.0660321588635171</v>
      </c>
      <c r="K388" s="303"/>
      <c r="L388" s="302">
        <v>0.42769712542345739</v>
      </c>
      <c r="M388" s="302">
        <v>0.20730770244033223</v>
      </c>
      <c r="N388" s="302">
        <v>0.24381101518144407</v>
      </c>
      <c r="O388" s="302">
        <f t="shared" si="177"/>
        <v>0.87881584304523375</v>
      </c>
    </row>
    <row r="389" spans="1:15" s="236" customFormat="1" x14ac:dyDescent="0.3">
      <c r="A389" s="237" t="str">
        <f>name!E$10</f>
        <v>Sales and customer service occupations</v>
      </c>
      <c r="B389" s="302">
        <v>3.2649040405373606</v>
      </c>
      <c r="C389" s="302">
        <v>1.3170944860519511</v>
      </c>
      <c r="D389" s="302">
        <v>0.34434868767163551</v>
      </c>
      <c r="E389" s="302">
        <f t="shared" si="175"/>
        <v>4.9263472142609466</v>
      </c>
      <c r="F389" s="303"/>
      <c r="G389" s="302">
        <v>3.44143312198038</v>
      </c>
      <c r="H389" s="302">
        <v>1.1359359001811657</v>
      </c>
      <c r="I389" s="302">
        <v>0.19894178447116184</v>
      </c>
      <c r="J389" s="302">
        <f t="shared" si="178"/>
        <v>4.7763108066327078</v>
      </c>
      <c r="K389" s="303"/>
      <c r="L389" s="302">
        <v>2.9636573344407235</v>
      </c>
      <c r="M389" s="302">
        <v>0.93467237962360672</v>
      </c>
      <c r="N389" s="302">
        <v>0.13336017234231345</v>
      </c>
      <c r="O389" s="302">
        <f t="shared" si="177"/>
        <v>4.0316898864066442</v>
      </c>
    </row>
    <row r="390" spans="1:15" s="236" customFormat="1" x14ac:dyDescent="0.3">
      <c r="A390" s="237" t="str">
        <f>name!E$11</f>
        <v>Process, plant and machine operatives</v>
      </c>
      <c r="B390" s="302">
        <v>12.01702249455148</v>
      </c>
      <c r="C390" s="302">
        <v>2.0120910773811058</v>
      </c>
      <c r="D390" s="302">
        <v>1.2831961292103777</v>
      </c>
      <c r="E390" s="302">
        <f t="shared" si="175"/>
        <v>15.312309701142963</v>
      </c>
      <c r="F390" s="303"/>
      <c r="G390" s="302">
        <v>9.6085681387675219</v>
      </c>
      <c r="H390" s="302">
        <v>1.7144563119349983</v>
      </c>
      <c r="I390" s="302">
        <v>1.7156890359154433</v>
      </c>
      <c r="J390" s="302">
        <f t="shared" si="178"/>
        <v>13.038713486617965</v>
      </c>
      <c r="K390" s="303"/>
      <c r="L390" s="302">
        <v>8.8413280279458846</v>
      </c>
      <c r="M390" s="302">
        <v>2.143554274675628</v>
      </c>
      <c r="N390" s="302">
        <v>1.5831878853948012</v>
      </c>
      <c r="O390" s="302">
        <f t="shared" si="177"/>
        <v>12.568070188016314</v>
      </c>
    </row>
    <row r="391" spans="1:15" s="236" customFormat="1" x14ac:dyDescent="0.3">
      <c r="A391" s="237" t="str">
        <f>name!E$12</f>
        <v>Elementary occupations</v>
      </c>
      <c r="B391" s="302">
        <v>4.864212686478492</v>
      </c>
      <c r="C391" s="302">
        <v>1.2598811492796389</v>
      </c>
      <c r="D391" s="302">
        <v>0.80310279776023141</v>
      </c>
      <c r="E391" s="302">
        <f t="shared" si="175"/>
        <v>6.9271966335183626</v>
      </c>
      <c r="F391" s="303"/>
      <c r="G391" s="302">
        <v>3.7810663479305622</v>
      </c>
      <c r="H391" s="302">
        <v>0.86626331539605761</v>
      </c>
      <c r="I391" s="302">
        <v>0.49253468317807642</v>
      </c>
      <c r="J391" s="302">
        <f t="shared" si="178"/>
        <v>5.1398643465046963</v>
      </c>
      <c r="K391" s="303"/>
      <c r="L391" s="302">
        <v>2.1262575676229454</v>
      </c>
      <c r="M391" s="302">
        <v>0.44440272051586388</v>
      </c>
      <c r="N391" s="302">
        <v>0.45874818653718946</v>
      </c>
      <c r="O391" s="302">
        <f t="shared" si="177"/>
        <v>3.0294084746759991</v>
      </c>
    </row>
    <row r="392" spans="1:15" s="236" customFormat="1" x14ac:dyDescent="0.3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3">
      <c r="A393" s="244" t="s">
        <v>32</v>
      </c>
      <c r="B393" s="311">
        <f>SUM(B383:B391)</f>
        <v>77.90499999984408</v>
      </c>
      <c r="C393" s="311">
        <f t="shared" ref="C393:E393" si="179">SUM(C383:C391)</f>
        <v>13.112000000221267</v>
      </c>
      <c r="D393" s="311">
        <f t="shared" si="179"/>
        <v>16.045000000044837</v>
      </c>
      <c r="E393" s="311">
        <f t="shared" si="179"/>
        <v>107.06200000011017</v>
      </c>
      <c r="F393" s="311"/>
      <c r="G393" s="311">
        <f t="shared" ref="G393:J393" si="180">SUM(G383:G391)</f>
        <v>80.964999999691628</v>
      </c>
      <c r="H393" s="311">
        <f t="shared" si="180"/>
        <v>11.685000000118441</v>
      </c>
      <c r="I393" s="311">
        <f t="shared" si="180"/>
        <v>11.443999999923891</v>
      </c>
      <c r="J393" s="311">
        <f t="shared" si="180"/>
        <v>104.09399999973395</v>
      </c>
      <c r="K393" s="311"/>
      <c r="L393" s="311">
        <f t="shared" ref="L393:O393" si="181">SUM(L383:L391)</f>
        <v>67.565000000202758</v>
      </c>
      <c r="M393" s="311">
        <f t="shared" si="181"/>
        <v>9.7599999999625204</v>
      </c>
      <c r="N393" s="311">
        <f t="shared" si="181"/>
        <v>8.4549999999720811</v>
      </c>
      <c r="O393" s="311">
        <f t="shared" si="181"/>
        <v>85.780000000137349</v>
      </c>
    </row>
    <row r="394" spans="1:15" s="236" customFormat="1" x14ac:dyDescent="0.3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  <row r="395" spans="1:15" s="236" customFormat="1" x14ac:dyDescent="0.3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40"/>
      <c r="O395" s="251" t="s">
        <v>35</v>
      </c>
    </row>
    <row r="396" spans="1:15" s="236" customFormat="1" x14ac:dyDescent="0.3">
      <c r="A396" s="242"/>
      <c r="B396" s="242"/>
      <c r="C396" s="242"/>
      <c r="D396" s="242"/>
      <c r="E396" s="242"/>
      <c r="F396" s="242"/>
      <c r="G396" s="242"/>
      <c r="H396" s="242"/>
      <c r="I396" s="242"/>
      <c r="J396" s="242"/>
      <c r="K396" s="242"/>
      <c r="L396" s="242"/>
      <c r="M396" s="242"/>
      <c r="N396" s="242"/>
      <c r="O396" s="242"/>
    </row>
    <row r="397" spans="1:15" s="236" customFormat="1" x14ac:dyDescent="0.3">
      <c r="A397" s="241" t="str">
        <f>name!A26</f>
        <v>Repair and installation</v>
      </c>
      <c r="B397" s="375">
        <f>$B$6</f>
        <v>2015</v>
      </c>
      <c r="C397" s="375"/>
      <c r="D397" s="375"/>
      <c r="E397" s="375"/>
      <c r="F397" s="263"/>
      <c r="G397" s="375">
        <f>$G$6</f>
        <v>2020</v>
      </c>
      <c r="H397" s="375"/>
      <c r="I397" s="375"/>
      <c r="J397" s="375"/>
      <c r="K397" s="263"/>
      <c r="L397" s="375">
        <f>$L$6</f>
        <v>2035</v>
      </c>
      <c r="M397" s="375"/>
      <c r="N397" s="375"/>
      <c r="O397" s="375"/>
    </row>
    <row r="398" spans="1:15" s="236" customFormat="1" x14ac:dyDescent="0.3">
      <c r="A398" s="254"/>
      <c r="B398" s="268" t="str">
        <f>$B$7</f>
        <v>FT</v>
      </c>
      <c r="C398" s="268" t="str">
        <f>$C$7</f>
        <v>PT</v>
      </c>
      <c r="D398" s="268" t="str">
        <f>$D$7</f>
        <v>SE</v>
      </c>
      <c r="E398" s="268" t="str">
        <f>$E$7</f>
        <v>Total</v>
      </c>
      <c r="F398" s="268"/>
      <c r="G398" s="268" t="str">
        <f>$G$7</f>
        <v>FT</v>
      </c>
      <c r="H398" s="268" t="str">
        <f>$H$7</f>
        <v>PT</v>
      </c>
      <c r="I398" s="268" t="str">
        <f>$I$7</f>
        <v>SE</v>
      </c>
      <c r="J398" s="268" t="str">
        <f>$J$7</f>
        <v>Total</v>
      </c>
      <c r="K398" s="268"/>
      <c r="L398" s="268" t="str">
        <f>$L$7</f>
        <v>FT</v>
      </c>
      <c r="M398" s="268" t="str">
        <f>$M$7</f>
        <v>PT</v>
      </c>
      <c r="N398" s="268" t="str">
        <f>$N$7</f>
        <v>SE</v>
      </c>
      <c r="O398" s="268" t="str">
        <f>$O$7</f>
        <v>Total</v>
      </c>
    </row>
    <row r="399" spans="1:15" s="236" customFormat="1" x14ac:dyDescent="0.3">
      <c r="A399" s="258"/>
      <c r="B399" s="239"/>
      <c r="C399" s="239"/>
      <c r="D399" s="239"/>
      <c r="E399" s="239"/>
      <c r="F399" s="239"/>
      <c r="G399" s="239"/>
      <c r="H399" s="239"/>
      <c r="I399" s="239"/>
      <c r="J399" s="239"/>
      <c r="K399" s="239"/>
      <c r="L399" s="239"/>
      <c r="M399" s="239"/>
      <c r="N399" s="239"/>
      <c r="O399" s="239"/>
    </row>
    <row r="400" spans="1:15" s="236" customFormat="1" x14ac:dyDescent="0.3">
      <c r="A400" s="237" t="str">
        <f>name!E$4</f>
        <v>Managers, directors and senior officials</v>
      </c>
      <c r="B400" s="302">
        <v>9.9103927519860466</v>
      </c>
      <c r="C400" s="302">
        <v>0.7480777865046857</v>
      </c>
      <c r="D400" s="302">
        <v>5.0354079357135841</v>
      </c>
      <c r="E400" s="302">
        <f>SUM(B400:D400)</f>
        <v>15.693878474204316</v>
      </c>
      <c r="F400" s="303"/>
      <c r="G400" s="302">
        <v>13.921414146266752</v>
      </c>
      <c r="H400" s="302">
        <v>1.4808235901014675</v>
      </c>
      <c r="I400" s="302">
        <v>6.5572954125882807</v>
      </c>
      <c r="J400" s="302">
        <f>SUM(G400:I400)</f>
        <v>21.959533148956499</v>
      </c>
      <c r="K400" s="303"/>
      <c r="L400" s="302">
        <v>10.954812888067876</v>
      </c>
      <c r="M400" s="302">
        <v>1.3350178594339752</v>
      </c>
      <c r="N400" s="302">
        <v>6.1229618692261019</v>
      </c>
      <c r="O400" s="302">
        <f>SUM(L400:N400)</f>
        <v>18.412792616727952</v>
      </c>
    </row>
    <row r="401" spans="1:15" s="236" customFormat="1" x14ac:dyDescent="0.3">
      <c r="A401" s="237" t="str">
        <f>name!E$5</f>
        <v>Professional occupations</v>
      </c>
      <c r="B401" s="302">
        <v>22.489312235297241</v>
      </c>
      <c r="C401" s="302">
        <v>0.83563403338151487</v>
      </c>
      <c r="D401" s="302">
        <v>3.6260587741861054</v>
      </c>
      <c r="E401" s="302">
        <f t="shared" ref="E401:E408" si="182">SUM(B401:D401)</f>
        <v>26.95100504286486</v>
      </c>
      <c r="F401" s="303"/>
      <c r="G401" s="302">
        <v>33.968825719475788</v>
      </c>
      <c r="H401" s="302">
        <v>1.4835149487937591</v>
      </c>
      <c r="I401" s="302">
        <v>4.0746111570862835</v>
      </c>
      <c r="J401" s="302">
        <f t="shared" ref="J401:J403" si="183">SUM(G401:I401)</f>
        <v>39.52695182535583</v>
      </c>
      <c r="K401" s="303"/>
      <c r="L401" s="302">
        <v>32.13991322890552</v>
      </c>
      <c r="M401" s="302">
        <v>1.2730637401576537</v>
      </c>
      <c r="N401" s="302">
        <v>2.7357374710605096</v>
      </c>
      <c r="O401" s="302">
        <f t="shared" ref="O401:O408" si="184">SUM(L401:N401)</f>
        <v>36.148714440123683</v>
      </c>
    </row>
    <row r="402" spans="1:15" s="236" customFormat="1" x14ac:dyDescent="0.3">
      <c r="A402" s="237" t="str">
        <f>name!E$6</f>
        <v>Associate professional occupations</v>
      </c>
      <c r="B402" s="302">
        <v>10.622877429837066</v>
      </c>
      <c r="C402" s="302">
        <v>0.69303303422020468</v>
      </c>
      <c r="D402" s="302">
        <v>2.0300060802183735</v>
      </c>
      <c r="E402" s="302">
        <f t="shared" si="182"/>
        <v>13.345916544275646</v>
      </c>
      <c r="F402" s="303"/>
      <c r="G402" s="302">
        <v>15.660064703166814</v>
      </c>
      <c r="H402" s="302">
        <v>1.1155818348182587</v>
      </c>
      <c r="I402" s="302">
        <v>2.1585364232507289</v>
      </c>
      <c r="J402" s="302">
        <f t="shared" si="183"/>
        <v>18.934182961235802</v>
      </c>
      <c r="K402" s="303"/>
      <c r="L402" s="302">
        <v>11.58415221517261</v>
      </c>
      <c r="M402" s="302">
        <v>0.80526992751835968</v>
      </c>
      <c r="N402" s="302">
        <v>1.8734252112091758</v>
      </c>
      <c r="O402" s="302">
        <f t="shared" si="184"/>
        <v>14.262847353900145</v>
      </c>
    </row>
    <row r="403" spans="1:15" s="236" customFormat="1" x14ac:dyDescent="0.3">
      <c r="A403" s="237" t="str">
        <f>name!E$7</f>
        <v>Administrative and secretarial occupations</v>
      </c>
      <c r="B403" s="302">
        <v>4.6737296103562667</v>
      </c>
      <c r="C403" s="302">
        <v>2.0558168686496159</v>
      </c>
      <c r="D403" s="302">
        <v>0.85202895982421345</v>
      </c>
      <c r="E403" s="302">
        <f t="shared" si="182"/>
        <v>7.5815754388300967</v>
      </c>
      <c r="F403" s="303"/>
      <c r="G403" s="302">
        <v>6.1097634662535061</v>
      </c>
      <c r="H403" s="302">
        <v>2.2548473817963122</v>
      </c>
      <c r="I403" s="302">
        <v>0.71665029205377229</v>
      </c>
      <c r="J403" s="302">
        <f t="shared" si="183"/>
        <v>9.0812611401035905</v>
      </c>
      <c r="K403" s="303"/>
      <c r="L403" s="302">
        <v>4.5215724091458149</v>
      </c>
      <c r="M403" s="302">
        <v>1.4487412616719999</v>
      </c>
      <c r="N403" s="302">
        <v>0.62716359151256984</v>
      </c>
      <c r="O403" s="302">
        <f t="shared" si="184"/>
        <v>6.5974772623303846</v>
      </c>
    </row>
    <row r="404" spans="1:15" s="236" customFormat="1" x14ac:dyDescent="0.3">
      <c r="A404" s="237" t="str">
        <f>name!E$8</f>
        <v>Skilled trades occupations</v>
      </c>
      <c r="B404" s="302">
        <v>25.506850829461968</v>
      </c>
      <c r="C404" s="302">
        <v>0.91003485541465823</v>
      </c>
      <c r="D404" s="302">
        <v>7.4979480663077105</v>
      </c>
      <c r="E404" s="302">
        <f t="shared" si="182"/>
        <v>33.914833751184332</v>
      </c>
      <c r="F404" s="303"/>
      <c r="G404" s="302">
        <v>25.433287532656873</v>
      </c>
      <c r="H404" s="302">
        <v>0.93820891667417861</v>
      </c>
      <c r="I404" s="302">
        <v>6.6053962642608735</v>
      </c>
      <c r="J404" s="302">
        <f>SUM(G404:I404)</f>
        <v>32.976892713591923</v>
      </c>
      <c r="K404" s="303"/>
      <c r="L404" s="302">
        <v>17.55716109711463</v>
      </c>
      <c r="M404" s="302">
        <v>0.8447244051729933</v>
      </c>
      <c r="N404" s="302">
        <v>6.7989966501383243</v>
      </c>
      <c r="O404" s="302">
        <f t="shared" si="184"/>
        <v>25.200882152425947</v>
      </c>
    </row>
    <row r="405" spans="1:15" s="236" customFormat="1" x14ac:dyDescent="0.3">
      <c r="A405" s="237" t="str">
        <f>name!E$9</f>
        <v>Caring, leisure and other service occupations</v>
      </c>
      <c r="B405" s="302">
        <v>0.79312949485408002</v>
      </c>
      <c r="C405" s="302">
        <v>0.38183035998056247</v>
      </c>
      <c r="D405" s="302">
        <v>0.56137451557497708</v>
      </c>
      <c r="E405" s="302">
        <f t="shared" si="182"/>
        <v>1.7363343704096197</v>
      </c>
      <c r="F405" s="303"/>
      <c r="G405" s="302">
        <v>0.99169779897511312</v>
      </c>
      <c r="H405" s="302">
        <v>0.7168199864598277</v>
      </c>
      <c r="I405" s="302">
        <v>0.50887729911356194</v>
      </c>
      <c r="J405" s="302">
        <f t="shared" ref="J405:J408" si="185">SUM(G405:I405)</f>
        <v>2.2173950845485026</v>
      </c>
      <c r="K405" s="303"/>
      <c r="L405" s="302">
        <v>1.0137880428848611</v>
      </c>
      <c r="M405" s="302">
        <v>0.5704459597588234</v>
      </c>
      <c r="N405" s="302">
        <v>0.59662015991576778</v>
      </c>
      <c r="O405" s="302">
        <f t="shared" si="184"/>
        <v>2.1808541625594522</v>
      </c>
    </row>
    <row r="406" spans="1:15" s="236" customFormat="1" x14ac:dyDescent="0.3">
      <c r="A406" s="237" t="str">
        <f>name!E$10</f>
        <v>Sales and customer service occupations</v>
      </c>
      <c r="B406" s="302">
        <v>1.8736103425361148</v>
      </c>
      <c r="C406" s="302">
        <v>0.6447883711017196</v>
      </c>
      <c r="D406" s="302">
        <v>0.56733817905714035</v>
      </c>
      <c r="E406" s="302">
        <f t="shared" si="182"/>
        <v>3.0857368926949746</v>
      </c>
      <c r="F406" s="303"/>
      <c r="G406" s="302">
        <v>2.2360424632955751</v>
      </c>
      <c r="H406" s="302">
        <v>0.89058364745317731</v>
      </c>
      <c r="I406" s="302">
        <v>0.47652083340409612</v>
      </c>
      <c r="J406" s="302">
        <f t="shared" si="185"/>
        <v>3.6031469441528485</v>
      </c>
      <c r="K406" s="303"/>
      <c r="L406" s="302">
        <v>2.0666932658401773</v>
      </c>
      <c r="M406" s="302">
        <v>0.85454916174861073</v>
      </c>
      <c r="N406" s="302">
        <v>0.38649942853566144</v>
      </c>
      <c r="O406" s="302">
        <f t="shared" si="184"/>
        <v>3.3077418561244492</v>
      </c>
    </row>
    <row r="407" spans="1:15" s="236" customFormat="1" x14ac:dyDescent="0.3">
      <c r="A407" s="237" t="str">
        <f>name!E$11</f>
        <v>Process, plant and machine operatives</v>
      </c>
      <c r="B407" s="302">
        <v>15.185414585696211</v>
      </c>
      <c r="C407" s="302">
        <v>0.9691481515576339</v>
      </c>
      <c r="D407" s="302">
        <v>1.3901319465939641</v>
      </c>
      <c r="E407" s="302">
        <f t="shared" si="182"/>
        <v>17.544694683847808</v>
      </c>
      <c r="F407" s="303"/>
      <c r="G407" s="302">
        <v>13.13682159241152</v>
      </c>
      <c r="H407" s="302">
        <v>1.0558176719272734</v>
      </c>
      <c r="I407" s="302">
        <v>1.7039582952611536</v>
      </c>
      <c r="J407" s="302">
        <f t="shared" si="185"/>
        <v>15.896597559599948</v>
      </c>
      <c r="K407" s="303"/>
      <c r="L407" s="302">
        <v>12.353689840042369</v>
      </c>
      <c r="M407" s="302">
        <v>1.0494411925074401</v>
      </c>
      <c r="N407" s="302">
        <v>1.9444064596379331</v>
      </c>
      <c r="O407" s="302">
        <f t="shared" si="184"/>
        <v>15.347537492187742</v>
      </c>
    </row>
    <row r="408" spans="1:15" s="236" customFormat="1" x14ac:dyDescent="0.3">
      <c r="A408" s="237" t="str">
        <f>name!E$12</f>
        <v>Elementary occupations</v>
      </c>
      <c r="B408" s="302">
        <v>3.8176827196756267</v>
      </c>
      <c r="C408" s="302">
        <v>0.75763653925602548</v>
      </c>
      <c r="D408" s="302">
        <v>1.1667055426461233</v>
      </c>
      <c r="E408" s="302">
        <f t="shared" si="182"/>
        <v>5.7420248015777755</v>
      </c>
      <c r="F408" s="303"/>
      <c r="G408" s="302">
        <v>3.4380825770760493</v>
      </c>
      <c r="H408" s="302">
        <v>0.76280202197785396</v>
      </c>
      <c r="I408" s="302">
        <v>0.67315402296095062</v>
      </c>
      <c r="J408" s="302">
        <f t="shared" si="185"/>
        <v>4.8740386220148544</v>
      </c>
      <c r="K408" s="303"/>
      <c r="L408" s="302">
        <v>1.8572170127477117</v>
      </c>
      <c r="M408" s="302">
        <v>0.41574649199536906</v>
      </c>
      <c r="N408" s="302">
        <v>0.68418915877034536</v>
      </c>
      <c r="O408" s="302">
        <f t="shared" si="184"/>
        <v>2.9571526635134262</v>
      </c>
    </row>
    <row r="409" spans="1:15" s="236" customFormat="1" x14ac:dyDescent="0.3">
      <c r="A409" s="237"/>
      <c r="B409" s="302"/>
      <c r="C409" s="302"/>
      <c r="D409" s="302"/>
      <c r="E409" s="302"/>
      <c r="F409" s="303"/>
      <c r="G409" s="302"/>
      <c r="H409" s="302"/>
      <c r="I409" s="302"/>
      <c r="J409" s="302"/>
      <c r="K409" s="303"/>
      <c r="L409" s="302"/>
      <c r="M409" s="302"/>
      <c r="N409" s="302"/>
      <c r="O409" s="302"/>
    </row>
    <row r="410" spans="1:15" s="236" customFormat="1" x14ac:dyDescent="0.3">
      <c r="A410" s="244" t="s">
        <v>32</v>
      </c>
      <c r="B410" s="311">
        <f>SUM(B400:B408)</f>
        <v>94.872999999700625</v>
      </c>
      <c r="C410" s="311">
        <f t="shared" ref="C410:E410" si="186">SUM(C400:C408)</f>
        <v>7.9960000000666192</v>
      </c>
      <c r="D410" s="311">
        <f t="shared" si="186"/>
        <v>22.727000000122192</v>
      </c>
      <c r="E410" s="311">
        <f t="shared" si="186"/>
        <v>125.59599999988941</v>
      </c>
      <c r="F410" s="311"/>
      <c r="G410" s="311">
        <f t="shared" ref="G410:J410" si="187">SUM(G400:G408)</f>
        <v>114.895999999578</v>
      </c>
      <c r="H410" s="311">
        <f t="shared" si="187"/>
        <v>10.699000000002108</v>
      </c>
      <c r="I410" s="311">
        <f t="shared" si="187"/>
        <v>23.474999999979698</v>
      </c>
      <c r="J410" s="311">
        <f t="shared" si="187"/>
        <v>149.0699999995598</v>
      </c>
      <c r="K410" s="311"/>
      <c r="L410" s="311">
        <f t="shared" ref="L410:O410" si="188">SUM(L400:L408)</f>
        <v>94.048999999921548</v>
      </c>
      <c r="M410" s="311">
        <f t="shared" si="188"/>
        <v>8.5969999999652256</v>
      </c>
      <c r="N410" s="311">
        <f t="shared" si="188"/>
        <v>21.770000000006387</v>
      </c>
      <c r="O410" s="311">
        <f t="shared" si="188"/>
        <v>124.41599999989319</v>
      </c>
    </row>
    <row r="411" spans="1:15" s="236" customFormat="1" x14ac:dyDescent="0.3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40"/>
    </row>
    <row r="412" spans="1:15" s="236" customFormat="1" x14ac:dyDescent="0.3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40"/>
      <c r="O412" s="251" t="s">
        <v>35</v>
      </c>
    </row>
    <row r="413" spans="1:15" s="236" customFormat="1" x14ac:dyDescent="0.3">
      <c r="A413" s="242"/>
      <c r="B413" s="242"/>
      <c r="C413" s="242"/>
      <c r="D413" s="242"/>
      <c r="E413" s="242"/>
      <c r="F413" s="242"/>
      <c r="G413" s="242"/>
      <c r="H413" s="242"/>
      <c r="I413" s="242"/>
      <c r="J413" s="242"/>
      <c r="K413" s="242"/>
      <c r="L413" s="242"/>
      <c r="M413" s="242"/>
      <c r="N413" s="242"/>
      <c r="O413" s="242"/>
    </row>
    <row r="414" spans="1:15" s="236" customFormat="1" x14ac:dyDescent="0.3">
      <c r="A414" s="241" t="str">
        <f>name!A27</f>
        <v>Electricity, gas, etc</v>
      </c>
      <c r="B414" s="375">
        <f>$B$6</f>
        <v>2015</v>
      </c>
      <c r="C414" s="375"/>
      <c r="D414" s="375"/>
      <c r="E414" s="375"/>
      <c r="F414" s="263"/>
      <c r="G414" s="375">
        <f>$G$6</f>
        <v>2020</v>
      </c>
      <c r="H414" s="375"/>
      <c r="I414" s="375"/>
      <c r="J414" s="375"/>
      <c r="K414" s="263"/>
      <c r="L414" s="375">
        <f>$L$6</f>
        <v>2035</v>
      </c>
      <c r="M414" s="375"/>
      <c r="N414" s="375"/>
      <c r="O414" s="375"/>
    </row>
    <row r="415" spans="1:15" s="236" customFormat="1" x14ac:dyDescent="0.3">
      <c r="A415" s="254"/>
      <c r="B415" s="268" t="str">
        <f>$B$7</f>
        <v>FT</v>
      </c>
      <c r="C415" s="268" t="str">
        <f>$C$7</f>
        <v>PT</v>
      </c>
      <c r="D415" s="268" t="str">
        <f>$D$7</f>
        <v>SE</v>
      </c>
      <c r="E415" s="268" t="str">
        <f>$E$7</f>
        <v>Total</v>
      </c>
      <c r="F415" s="268"/>
      <c r="G415" s="268" t="str">
        <f>$G$7</f>
        <v>FT</v>
      </c>
      <c r="H415" s="268" t="str">
        <f>$H$7</f>
        <v>PT</v>
      </c>
      <c r="I415" s="268" t="str">
        <f>$I$7</f>
        <v>SE</v>
      </c>
      <c r="J415" s="268" t="str">
        <f>$J$7</f>
        <v>Total</v>
      </c>
      <c r="K415" s="268"/>
      <c r="L415" s="268" t="str">
        <f>$L$7</f>
        <v>FT</v>
      </c>
      <c r="M415" s="268" t="str">
        <f>$M$7</f>
        <v>PT</v>
      </c>
      <c r="N415" s="268" t="str">
        <f>$N$7</f>
        <v>SE</v>
      </c>
      <c r="O415" s="268" t="str">
        <f>$O$7</f>
        <v>Total</v>
      </c>
    </row>
    <row r="416" spans="1:15" s="236" customFormat="1" x14ac:dyDescent="0.3">
      <c r="A416" s="258"/>
      <c r="B416" s="239"/>
      <c r="C416" s="239"/>
      <c r="D416" s="239"/>
      <c r="E416" s="239"/>
      <c r="F416" s="239"/>
      <c r="G416" s="239"/>
      <c r="H416" s="239"/>
      <c r="I416" s="239"/>
      <c r="J416" s="239"/>
      <c r="K416" s="239"/>
      <c r="L416" s="239"/>
      <c r="M416" s="239"/>
      <c r="N416" s="239"/>
      <c r="O416" s="239"/>
    </row>
    <row r="417" spans="1:15" s="236" customFormat="1" x14ac:dyDescent="0.3">
      <c r="A417" s="237" t="str">
        <f>name!E$4</f>
        <v>Managers, directors and senior officials</v>
      </c>
      <c r="B417" s="302">
        <v>12.417496044581389</v>
      </c>
      <c r="C417" s="302">
        <v>0.42242871550691102</v>
      </c>
      <c r="D417" s="302">
        <v>1.5328013223655566</v>
      </c>
      <c r="E417" s="302">
        <f>SUM(B417:D417)</f>
        <v>14.372726082453855</v>
      </c>
      <c r="F417" s="303"/>
      <c r="G417" s="302">
        <v>15.110036907039401</v>
      </c>
      <c r="H417" s="302">
        <v>0.65688234653496647</v>
      </c>
      <c r="I417" s="302">
        <v>1.3115376464477946</v>
      </c>
      <c r="J417" s="302">
        <f>SUM(G417:I417)</f>
        <v>17.078456900022164</v>
      </c>
      <c r="K417" s="303"/>
      <c r="L417" s="302">
        <v>15.483587108321323</v>
      </c>
      <c r="M417" s="302">
        <v>0.67094134606110334</v>
      </c>
      <c r="N417" s="302">
        <v>1.4584528008249706</v>
      </c>
      <c r="O417" s="302">
        <f>SUM(L417:N417)</f>
        <v>17.612981255207398</v>
      </c>
    </row>
    <row r="418" spans="1:15" s="236" customFormat="1" x14ac:dyDescent="0.3">
      <c r="A418" s="237" t="str">
        <f>name!E$5</f>
        <v>Professional occupations</v>
      </c>
      <c r="B418" s="302">
        <v>26.150885056620243</v>
      </c>
      <c r="C418" s="302">
        <v>0.61912513937324798</v>
      </c>
      <c r="D418" s="302">
        <v>2.1999062967687704</v>
      </c>
      <c r="E418" s="302">
        <f t="shared" ref="E418:E425" si="189">SUM(B418:D418)</f>
        <v>28.969916492762263</v>
      </c>
      <c r="F418" s="303"/>
      <c r="G418" s="302">
        <v>35.694933553688472</v>
      </c>
      <c r="H418" s="302">
        <v>0.82336155337736883</v>
      </c>
      <c r="I418" s="302">
        <v>1.4290131758018643</v>
      </c>
      <c r="J418" s="302">
        <f t="shared" ref="J418:J420" si="190">SUM(G418:I418)</f>
        <v>37.947308282867702</v>
      </c>
      <c r="K418" s="303"/>
      <c r="L418" s="302">
        <v>39.205881675746646</v>
      </c>
      <c r="M418" s="302">
        <v>0.8745856700512461</v>
      </c>
      <c r="N418" s="302">
        <v>0.93029425483128925</v>
      </c>
      <c r="O418" s="302">
        <f t="shared" ref="O418:O425" si="191">SUM(L418:N418)</f>
        <v>41.010761600629181</v>
      </c>
    </row>
    <row r="419" spans="1:15" s="236" customFormat="1" x14ac:dyDescent="0.3">
      <c r="A419" s="237" t="str">
        <f>name!E$6</f>
        <v>Associate professional occupations</v>
      </c>
      <c r="B419" s="302">
        <v>15.870409853498892</v>
      </c>
      <c r="C419" s="302">
        <v>0.79829691897339217</v>
      </c>
      <c r="D419" s="302">
        <v>0.9001982528224175</v>
      </c>
      <c r="E419" s="302">
        <f t="shared" si="189"/>
        <v>17.568905025294701</v>
      </c>
      <c r="F419" s="303"/>
      <c r="G419" s="302">
        <v>21.243447299608007</v>
      </c>
      <c r="H419" s="302">
        <v>0.95190425281431112</v>
      </c>
      <c r="I419" s="302">
        <v>0.80511746230778225</v>
      </c>
      <c r="J419" s="302">
        <f t="shared" si="190"/>
        <v>23.000469014730101</v>
      </c>
      <c r="K419" s="303"/>
      <c r="L419" s="302">
        <v>18.239716045895719</v>
      </c>
      <c r="M419" s="302">
        <v>0.9390545458163313</v>
      </c>
      <c r="N419" s="302">
        <v>0.6271627162136999</v>
      </c>
      <c r="O419" s="302">
        <f t="shared" si="191"/>
        <v>19.805933307925752</v>
      </c>
    </row>
    <row r="420" spans="1:15" s="236" customFormat="1" x14ac:dyDescent="0.3">
      <c r="A420" s="237" t="str">
        <f>name!E$7</f>
        <v>Administrative and secretarial occupations</v>
      </c>
      <c r="B420" s="302">
        <v>13.677106077014512</v>
      </c>
      <c r="C420" s="302">
        <v>2.4455801283200316</v>
      </c>
      <c r="D420" s="302">
        <v>0.51424022800091429</v>
      </c>
      <c r="E420" s="302">
        <f t="shared" si="189"/>
        <v>16.636926433335461</v>
      </c>
      <c r="F420" s="303"/>
      <c r="G420" s="302">
        <v>14.613464545690464</v>
      </c>
      <c r="H420" s="302">
        <v>2.3947881182245983</v>
      </c>
      <c r="I420" s="302">
        <v>0.35297138754467772</v>
      </c>
      <c r="J420" s="302">
        <f t="shared" si="190"/>
        <v>17.36122405145974</v>
      </c>
      <c r="K420" s="303"/>
      <c r="L420" s="302">
        <v>10.348370357376449</v>
      </c>
      <c r="M420" s="302">
        <v>1.7814226376596232</v>
      </c>
      <c r="N420" s="302">
        <v>0.72006891858696687</v>
      </c>
      <c r="O420" s="302">
        <f t="shared" si="191"/>
        <v>12.849861913623041</v>
      </c>
    </row>
    <row r="421" spans="1:15" s="236" customFormat="1" x14ac:dyDescent="0.3">
      <c r="A421" s="237" t="str">
        <f>name!E$8</f>
        <v>Skilled trades occupations</v>
      </c>
      <c r="B421" s="302">
        <v>23.686919496949667</v>
      </c>
      <c r="C421" s="302">
        <v>0.63244745301925487</v>
      </c>
      <c r="D421" s="302">
        <v>2.2808270591708149</v>
      </c>
      <c r="E421" s="302">
        <f t="shared" si="189"/>
        <v>26.600194009139734</v>
      </c>
      <c r="F421" s="303"/>
      <c r="G421" s="302">
        <v>19.854396644526716</v>
      </c>
      <c r="H421" s="302">
        <v>0.35280535379053707</v>
      </c>
      <c r="I421" s="302">
        <v>1.3643771822006592</v>
      </c>
      <c r="J421" s="302">
        <f>SUM(G421:I421)</f>
        <v>21.571579180517912</v>
      </c>
      <c r="K421" s="303"/>
      <c r="L421" s="302">
        <v>15.445248753914681</v>
      </c>
      <c r="M421" s="302">
        <v>0.30552470551816729</v>
      </c>
      <c r="N421" s="302">
        <v>1.3660907022942028</v>
      </c>
      <c r="O421" s="302">
        <f t="shared" si="191"/>
        <v>17.116864161727051</v>
      </c>
    </row>
    <row r="422" spans="1:15" s="236" customFormat="1" x14ac:dyDescent="0.3">
      <c r="A422" s="237" t="str">
        <f>name!E$9</f>
        <v>Caring, leisure and other service occupations</v>
      </c>
      <c r="B422" s="302">
        <v>2.5757422310267075</v>
      </c>
      <c r="C422" s="302">
        <v>0.39567384858755605</v>
      </c>
      <c r="D422" s="302">
        <v>0.21743024233571476</v>
      </c>
      <c r="E422" s="302">
        <f t="shared" si="189"/>
        <v>3.1888463219499785</v>
      </c>
      <c r="F422" s="303"/>
      <c r="G422" s="302">
        <v>2.8402501075946143</v>
      </c>
      <c r="H422" s="302">
        <v>0.41128301754901458</v>
      </c>
      <c r="I422" s="302">
        <v>0.36741620785828649</v>
      </c>
      <c r="J422" s="302">
        <f t="shared" ref="J422:J425" si="192">SUM(G422:I422)</f>
        <v>3.6189493330019156</v>
      </c>
      <c r="K422" s="303"/>
      <c r="L422" s="302">
        <v>2.9245710159673073</v>
      </c>
      <c r="M422" s="302">
        <v>0.33194907322027906</v>
      </c>
      <c r="N422" s="302">
        <v>0.34921487342615071</v>
      </c>
      <c r="O422" s="302">
        <f t="shared" si="191"/>
        <v>3.6057349626137372</v>
      </c>
    </row>
    <row r="423" spans="1:15" s="236" customFormat="1" x14ac:dyDescent="0.3">
      <c r="A423" s="237" t="str">
        <f>name!E$10</f>
        <v>Sales and customer service occupations</v>
      </c>
      <c r="B423" s="302">
        <v>10.933151621886021</v>
      </c>
      <c r="C423" s="302">
        <v>3.7233535538630345</v>
      </c>
      <c r="D423" s="302">
        <v>0.86335629587891261</v>
      </c>
      <c r="E423" s="302">
        <f t="shared" si="189"/>
        <v>15.519861471627967</v>
      </c>
      <c r="F423" s="303"/>
      <c r="G423" s="302">
        <v>12.008552029849174</v>
      </c>
      <c r="H423" s="302">
        <v>4.3695945173418389</v>
      </c>
      <c r="I423" s="302">
        <v>0.44057757866117037</v>
      </c>
      <c r="J423" s="302">
        <f t="shared" si="192"/>
        <v>16.818724125852182</v>
      </c>
      <c r="K423" s="303"/>
      <c r="L423" s="302">
        <v>13.309894289713377</v>
      </c>
      <c r="M423" s="302">
        <v>4.8598447886968446</v>
      </c>
      <c r="N423" s="302">
        <v>0.4148387223116638</v>
      </c>
      <c r="O423" s="302">
        <f t="shared" si="191"/>
        <v>18.584577800721885</v>
      </c>
    </row>
    <row r="424" spans="1:15" s="236" customFormat="1" x14ac:dyDescent="0.3">
      <c r="A424" s="237" t="str">
        <f>name!E$11</f>
        <v>Process, plant and machine operatives</v>
      </c>
      <c r="B424" s="302">
        <v>5.8746579479035264</v>
      </c>
      <c r="C424" s="302">
        <v>0.21545432585860236</v>
      </c>
      <c r="D424" s="302">
        <v>1.0045547474754195</v>
      </c>
      <c r="E424" s="302">
        <f t="shared" si="189"/>
        <v>7.094667021237548</v>
      </c>
      <c r="F424" s="303"/>
      <c r="G424" s="302">
        <v>5.1422412629791685</v>
      </c>
      <c r="H424" s="302">
        <v>0.19679484039961931</v>
      </c>
      <c r="I424" s="302">
        <v>0.60065526207817632</v>
      </c>
      <c r="J424" s="302">
        <f t="shared" si="192"/>
        <v>5.9396913654569641</v>
      </c>
      <c r="K424" s="303"/>
      <c r="L424" s="302">
        <v>5.4453579644412633</v>
      </c>
      <c r="M424" s="302">
        <v>0.26310939436908909</v>
      </c>
      <c r="N424" s="302">
        <v>0.66060416882175288</v>
      </c>
      <c r="O424" s="302">
        <f t="shared" si="191"/>
        <v>6.3690715276321059</v>
      </c>
    </row>
    <row r="425" spans="1:15" s="236" customFormat="1" x14ac:dyDescent="0.3">
      <c r="A425" s="237" t="str">
        <f>name!E$12</f>
        <v>Elementary occupations</v>
      </c>
      <c r="B425" s="302">
        <v>1.835631669782321</v>
      </c>
      <c r="C425" s="302">
        <v>0.71763991662093529</v>
      </c>
      <c r="D425" s="302">
        <v>0.49068555514860002</v>
      </c>
      <c r="E425" s="302">
        <f t="shared" si="189"/>
        <v>3.0439571415518563</v>
      </c>
      <c r="F425" s="303"/>
      <c r="G425" s="302">
        <v>1.6996776483749854</v>
      </c>
      <c r="H425" s="302">
        <v>0.63458600010296018</v>
      </c>
      <c r="I425" s="302">
        <v>0.32233409710408673</v>
      </c>
      <c r="J425" s="302">
        <f t="shared" si="192"/>
        <v>2.6565977455820322</v>
      </c>
      <c r="K425" s="303"/>
      <c r="L425" s="302">
        <v>0.99737278803058149</v>
      </c>
      <c r="M425" s="302">
        <v>0.3065678385415051</v>
      </c>
      <c r="N425" s="302">
        <v>0.28627284284035703</v>
      </c>
      <c r="O425" s="302">
        <f t="shared" si="191"/>
        <v>1.5902134694124435</v>
      </c>
    </row>
    <row r="426" spans="1:15" s="236" customFormat="1" x14ac:dyDescent="0.3">
      <c r="A426" s="237"/>
      <c r="B426" s="302"/>
      <c r="C426" s="302"/>
      <c r="D426" s="302"/>
      <c r="E426" s="302"/>
      <c r="F426" s="303"/>
      <c r="G426" s="302"/>
      <c r="H426" s="302"/>
      <c r="I426" s="302"/>
      <c r="J426" s="302"/>
      <c r="K426" s="303"/>
      <c r="L426" s="302"/>
      <c r="M426" s="302"/>
      <c r="N426" s="302"/>
      <c r="O426" s="302"/>
    </row>
    <row r="427" spans="1:15" s="236" customFormat="1" x14ac:dyDescent="0.3">
      <c r="A427" s="244" t="s">
        <v>32</v>
      </c>
      <c r="B427" s="311">
        <f>SUM(B417:B425)</f>
        <v>113.02199999926329</v>
      </c>
      <c r="C427" s="311">
        <f t="shared" ref="C427:E427" si="193">SUM(C417:C425)</f>
        <v>9.9700000001229654</v>
      </c>
      <c r="D427" s="311">
        <f t="shared" si="193"/>
        <v>10.003999999967119</v>
      </c>
      <c r="E427" s="311">
        <f t="shared" si="193"/>
        <v>132.99599999935336</v>
      </c>
      <c r="F427" s="311"/>
      <c r="G427" s="311">
        <f t="shared" ref="G427:J427" si="194">SUM(G417:G425)</f>
        <v>128.20699999935098</v>
      </c>
      <c r="H427" s="311">
        <f t="shared" si="194"/>
        <v>10.792000000135214</v>
      </c>
      <c r="I427" s="311">
        <f t="shared" si="194"/>
        <v>6.9940000000044993</v>
      </c>
      <c r="J427" s="311">
        <f t="shared" si="194"/>
        <v>145.99299999949071</v>
      </c>
      <c r="K427" s="311"/>
      <c r="L427" s="311">
        <f t="shared" ref="L427:O427" si="195">SUM(L417:L425)</f>
        <v>121.39999999940734</v>
      </c>
      <c r="M427" s="311">
        <f t="shared" si="195"/>
        <v>10.33299999993419</v>
      </c>
      <c r="N427" s="311">
        <f t="shared" si="195"/>
        <v>6.813000000151054</v>
      </c>
      <c r="O427" s="311">
        <f t="shared" si="195"/>
        <v>138.54599999949261</v>
      </c>
    </row>
    <row r="428" spans="1:15" s="236" customFormat="1" x14ac:dyDescent="0.3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40"/>
    </row>
    <row r="429" spans="1:15" s="236" customFormat="1" x14ac:dyDescent="0.3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40"/>
      <c r="O429" s="251" t="s">
        <v>35</v>
      </c>
    </row>
    <row r="430" spans="1:15" s="236" customFormat="1" x14ac:dyDescent="0.3">
      <c r="A430" s="242"/>
      <c r="B430" s="242"/>
      <c r="C430" s="242"/>
      <c r="D430" s="242"/>
      <c r="E430" s="242"/>
      <c r="F430" s="242"/>
      <c r="G430" s="242"/>
      <c r="H430" s="242"/>
      <c r="I430" s="242"/>
      <c r="J430" s="242"/>
      <c r="K430" s="242"/>
      <c r="L430" s="242"/>
      <c r="M430" s="242"/>
      <c r="N430" s="242"/>
      <c r="O430" s="242"/>
    </row>
    <row r="431" spans="1:15" s="236" customFormat="1" x14ac:dyDescent="0.3">
      <c r="A431" s="241" t="str">
        <f>name!A28</f>
        <v>Water</v>
      </c>
      <c r="B431" s="375">
        <f>$B$6</f>
        <v>2015</v>
      </c>
      <c r="C431" s="375"/>
      <c r="D431" s="375"/>
      <c r="E431" s="375"/>
      <c r="F431" s="263"/>
      <c r="G431" s="375">
        <f>$G$6</f>
        <v>2020</v>
      </c>
      <c r="H431" s="375"/>
      <c r="I431" s="375"/>
      <c r="J431" s="375"/>
      <c r="K431" s="263"/>
      <c r="L431" s="375">
        <f>$L$6</f>
        <v>2035</v>
      </c>
      <c r="M431" s="375"/>
      <c r="N431" s="375"/>
      <c r="O431" s="375"/>
    </row>
    <row r="432" spans="1:15" s="236" customFormat="1" x14ac:dyDescent="0.3">
      <c r="A432" s="254"/>
      <c r="B432" s="268" t="str">
        <f>$B$7</f>
        <v>FT</v>
      </c>
      <c r="C432" s="268" t="str">
        <f>$C$7</f>
        <v>PT</v>
      </c>
      <c r="D432" s="268" t="str">
        <f>$D$7</f>
        <v>SE</v>
      </c>
      <c r="E432" s="268" t="str">
        <f>$E$7</f>
        <v>Total</v>
      </c>
      <c r="F432" s="268"/>
      <c r="G432" s="268" t="str">
        <f>$G$7</f>
        <v>FT</v>
      </c>
      <c r="H432" s="268" t="str">
        <f>$H$7</f>
        <v>PT</v>
      </c>
      <c r="I432" s="268" t="str">
        <f>$I$7</f>
        <v>SE</v>
      </c>
      <c r="J432" s="268" t="str">
        <f>$J$7</f>
        <v>Total</v>
      </c>
      <c r="K432" s="268"/>
      <c r="L432" s="268" t="str">
        <f>$L$7</f>
        <v>FT</v>
      </c>
      <c r="M432" s="268" t="str">
        <f>$M$7</f>
        <v>PT</v>
      </c>
      <c r="N432" s="268" t="str">
        <f>$N$7</f>
        <v>SE</v>
      </c>
      <c r="O432" s="268" t="str">
        <f>$O$7</f>
        <v>Total</v>
      </c>
    </row>
    <row r="433" spans="1:15" s="236" customFormat="1" x14ac:dyDescent="0.3">
      <c r="A433" s="258"/>
      <c r="B433" s="239"/>
      <c r="C433" s="239"/>
      <c r="D433" s="239"/>
      <c r="E433" s="239"/>
      <c r="F433" s="239"/>
      <c r="G433" s="239"/>
      <c r="H433" s="239"/>
      <c r="I433" s="239"/>
      <c r="J433" s="239"/>
      <c r="K433" s="239"/>
      <c r="L433" s="239"/>
      <c r="M433" s="239"/>
      <c r="N433" s="239"/>
      <c r="O433" s="239"/>
    </row>
    <row r="434" spans="1:15" s="236" customFormat="1" x14ac:dyDescent="0.3">
      <c r="A434" s="237" t="str">
        <f>name!E$4</f>
        <v>Managers, directors and senior officials</v>
      </c>
      <c r="B434" s="302">
        <v>4.0906222120665463</v>
      </c>
      <c r="C434" s="302">
        <v>0.37356964598529185</v>
      </c>
      <c r="D434" s="302">
        <v>0.24539715860389896</v>
      </c>
      <c r="E434" s="302">
        <f>SUM(B434:D434)</f>
        <v>4.7095890166557366</v>
      </c>
      <c r="F434" s="303"/>
      <c r="G434" s="302">
        <v>5.491440128861492</v>
      </c>
      <c r="H434" s="302">
        <v>0.51096773595222011</v>
      </c>
      <c r="I434" s="302">
        <v>0.23503144482109289</v>
      </c>
      <c r="J434" s="302">
        <f>SUM(G434:I434)</f>
        <v>6.2374393096348051</v>
      </c>
      <c r="K434" s="303"/>
      <c r="L434" s="302">
        <v>6.1959889849299818</v>
      </c>
      <c r="M434" s="302">
        <v>0.61592362799189182</v>
      </c>
      <c r="N434" s="302">
        <v>0.22843580107210454</v>
      </c>
      <c r="O434" s="302">
        <f>SUM(L434:N434)</f>
        <v>7.0403484139939785</v>
      </c>
    </row>
    <row r="435" spans="1:15" s="236" customFormat="1" x14ac:dyDescent="0.3">
      <c r="A435" s="237" t="str">
        <f>name!E$5</f>
        <v>Professional occupations</v>
      </c>
      <c r="B435" s="302">
        <v>6.3454193539943482</v>
      </c>
      <c r="C435" s="302">
        <v>0.63261457785715292</v>
      </c>
      <c r="D435" s="302">
        <v>0.31767438623300348</v>
      </c>
      <c r="E435" s="302">
        <f t="shared" ref="E435:E442" si="196">SUM(B435:D435)</f>
        <v>7.2957083180845039</v>
      </c>
      <c r="F435" s="303"/>
      <c r="G435" s="302">
        <v>9.4142547648190646</v>
      </c>
      <c r="H435" s="302">
        <v>0.78712666221019734</v>
      </c>
      <c r="I435" s="302">
        <v>0.49034063587026577</v>
      </c>
      <c r="J435" s="302">
        <f t="shared" ref="J435:J437" si="197">SUM(G435:I435)</f>
        <v>10.691722062899528</v>
      </c>
      <c r="K435" s="303"/>
      <c r="L435" s="302">
        <v>12.70134289520994</v>
      </c>
      <c r="M435" s="302">
        <v>1.006797465524168</v>
      </c>
      <c r="N435" s="302">
        <v>0.48126354815795491</v>
      </c>
      <c r="O435" s="302">
        <f t="shared" ref="O435:O442" si="198">SUM(L435:N435)</f>
        <v>14.189403908892062</v>
      </c>
    </row>
    <row r="436" spans="1:15" s="236" customFormat="1" x14ac:dyDescent="0.3">
      <c r="A436" s="237" t="str">
        <f>name!E$6</f>
        <v>Associate professional occupations</v>
      </c>
      <c r="B436" s="302">
        <v>5.0511867127519681</v>
      </c>
      <c r="C436" s="302">
        <v>0.90090325029001894</v>
      </c>
      <c r="D436" s="302">
        <v>0.24401366881912764</v>
      </c>
      <c r="E436" s="302">
        <f t="shared" si="196"/>
        <v>6.1961036318611145</v>
      </c>
      <c r="F436" s="303"/>
      <c r="G436" s="302">
        <v>6.6784209876874288</v>
      </c>
      <c r="H436" s="302">
        <v>1.0531867000125636</v>
      </c>
      <c r="I436" s="302">
        <v>0.1349385288585149</v>
      </c>
      <c r="J436" s="302">
        <f t="shared" si="197"/>
        <v>7.8665462165585076</v>
      </c>
      <c r="K436" s="303"/>
      <c r="L436" s="302">
        <v>7.1975169956900293</v>
      </c>
      <c r="M436" s="302">
        <v>1.1314010925336866</v>
      </c>
      <c r="N436" s="302">
        <v>0.14006127169739238</v>
      </c>
      <c r="O436" s="302">
        <f t="shared" si="198"/>
        <v>8.468979359921109</v>
      </c>
    </row>
    <row r="437" spans="1:15" s="236" customFormat="1" x14ac:dyDescent="0.3">
      <c r="A437" s="237" t="str">
        <f>name!E$7</f>
        <v>Administrative and secretarial occupations</v>
      </c>
      <c r="B437" s="302">
        <v>3.0351852921837885</v>
      </c>
      <c r="C437" s="302">
        <v>1.050968786605845</v>
      </c>
      <c r="D437" s="302">
        <v>9.8776067791702449E-2</v>
      </c>
      <c r="E437" s="302">
        <f t="shared" si="196"/>
        <v>4.1849301465813351</v>
      </c>
      <c r="F437" s="303"/>
      <c r="G437" s="302">
        <v>3.088893458535551</v>
      </c>
      <c r="H437" s="302">
        <v>0.93297204475611439</v>
      </c>
      <c r="I437" s="302">
        <v>5.459643699709954E-2</v>
      </c>
      <c r="J437" s="302">
        <f t="shared" si="197"/>
        <v>4.0764619402887652</v>
      </c>
      <c r="K437" s="303"/>
      <c r="L437" s="302">
        <v>2.9747280214901015</v>
      </c>
      <c r="M437" s="302">
        <v>0.88599396197434221</v>
      </c>
      <c r="N437" s="302">
        <v>0.12161740835895321</v>
      </c>
      <c r="O437" s="302">
        <f t="shared" si="198"/>
        <v>3.9823393918233974</v>
      </c>
    </row>
    <row r="438" spans="1:15" s="236" customFormat="1" x14ac:dyDescent="0.3">
      <c r="A438" s="237" t="str">
        <f>name!E$8</f>
        <v>Skilled trades occupations</v>
      </c>
      <c r="B438" s="302">
        <v>5.2440250972481071</v>
      </c>
      <c r="C438" s="302">
        <v>0.18685371424533362</v>
      </c>
      <c r="D438" s="302">
        <v>0.3649911867128588</v>
      </c>
      <c r="E438" s="302">
        <f t="shared" si="196"/>
        <v>5.7958699982062996</v>
      </c>
      <c r="F438" s="303"/>
      <c r="G438" s="302">
        <v>5.2147429742495159</v>
      </c>
      <c r="H438" s="302">
        <v>0.15647757623247696</v>
      </c>
      <c r="I438" s="302">
        <v>0.3337851691091715</v>
      </c>
      <c r="J438" s="302">
        <f>SUM(G438:I438)</f>
        <v>5.7050057195911643</v>
      </c>
      <c r="K438" s="303"/>
      <c r="L438" s="302">
        <v>5.1728269209634332</v>
      </c>
      <c r="M438" s="302">
        <v>0.20254925620916539</v>
      </c>
      <c r="N438" s="302">
        <v>0.34968422811355326</v>
      </c>
      <c r="O438" s="302">
        <f t="shared" si="198"/>
        <v>5.7250604052861522</v>
      </c>
    </row>
    <row r="439" spans="1:15" s="236" customFormat="1" x14ac:dyDescent="0.3">
      <c r="A439" s="237" t="str">
        <f>name!E$9</f>
        <v>Caring, leisure and other service occupations</v>
      </c>
      <c r="B439" s="302">
        <v>0.35822314772119584</v>
      </c>
      <c r="C439" s="302">
        <v>0.25272159399602112</v>
      </c>
      <c r="D439" s="302">
        <v>0.19440025621335014</v>
      </c>
      <c r="E439" s="302">
        <f t="shared" si="196"/>
        <v>0.80534499793056702</v>
      </c>
      <c r="F439" s="303"/>
      <c r="G439" s="302">
        <v>0.34030446950525345</v>
      </c>
      <c r="H439" s="302">
        <v>0.22549139283460248</v>
      </c>
      <c r="I439" s="302">
        <v>5.3169524053117125E-2</v>
      </c>
      <c r="J439" s="302">
        <f t="shared" ref="J439:J442" si="199">SUM(G439:I439)</f>
        <v>0.61896538639297305</v>
      </c>
      <c r="K439" s="303"/>
      <c r="L439" s="302">
        <v>0.43808762790520195</v>
      </c>
      <c r="M439" s="302">
        <v>0.23805497041351423</v>
      </c>
      <c r="N439" s="302">
        <v>5.9482762572759855E-2</v>
      </c>
      <c r="O439" s="302">
        <f t="shared" si="198"/>
        <v>0.73562536089147601</v>
      </c>
    </row>
    <row r="440" spans="1:15" s="236" customFormat="1" x14ac:dyDescent="0.3">
      <c r="A440" s="237" t="str">
        <f>name!E$10</f>
        <v>Sales and customer service occupations</v>
      </c>
      <c r="B440" s="302">
        <v>1.6229645738486214</v>
      </c>
      <c r="C440" s="302">
        <v>1.0638808831891413</v>
      </c>
      <c r="D440" s="302">
        <v>0.10546382291590227</v>
      </c>
      <c r="E440" s="302">
        <f t="shared" si="196"/>
        <v>2.7923092799536651</v>
      </c>
      <c r="F440" s="303"/>
      <c r="G440" s="302">
        <v>1.8215748012293327</v>
      </c>
      <c r="H440" s="302">
        <v>1.0240666444933686</v>
      </c>
      <c r="I440" s="302">
        <v>6.1750007591162955E-2</v>
      </c>
      <c r="J440" s="302">
        <f t="shared" si="199"/>
        <v>2.9073914533138638</v>
      </c>
      <c r="K440" s="303"/>
      <c r="L440" s="302">
        <v>2.2881851293878426</v>
      </c>
      <c r="M440" s="302">
        <v>1.2921017120274778</v>
      </c>
      <c r="N440" s="302">
        <v>5.7794868623586598E-2</v>
      </c>
      <c r="O440" s="302">
        <f t="shared" si="198"/>
        <v>3.6380817100389073</v>
      </c>
    </row>
    <row r="441" spans="1:15" s="236" customFormat="1" x14ac:dyDescent="0.3">
      <c r="A441" s="237" t="str">
        <f>name!E$11</f>
        <v>Process, plant and machine operatives</v>
      </c>
      <c r="B441" s="302">
        <v>4.5975587228628001</v>
      </c>
      <c r="C441" s="302">
        <v>0.45667612628804272</v>
      </c>
      <c r="D441" s="302">
        <v>0.13906582204168921</v>
      </c>
      <c r="E441" s="302">
        <f t="shared" si="196"/>
        <v>5.1933006711925325</v>
      </c>
      <c r="F441" s="303"/>
      <c r="G441" s="302">
        <v>4.568694911998489</v>
      </c>
      <c r="H441" s="302">
        <v>0.54275225872314303</v>
      </c>
      <c r="I441" s="302">
        <v>0.25051901826368628</v>
      </c>
      <c r="J441" s="302">
        <f t="shared" si="199"/>
        <v>5.3619661889853187</v>
      </c>
      <c r="K441" s="303"/>
      <c r="L441" s="302">
        <v>4.9645541715754042</v>
      </c>
      <c r="M441" s="302">
        <v>0.67705664090412587</v>
      </c>
      <c r="N441" s="302">
        <v>0.2656335647790225</v>
      </c>
      <c r="O441" s="302">
        <f t="shared" si="198"/>
        <v>5.9072443772585528</v>
      </c>
    </row>
    <row r="442" spans="1:15" s="236" customFormat="1" x14ac:dyDescent="0.3">
      <c r="A442" s="237" t="str">
        <f>name!E$12</f>
        <v>Elementary occupations</v>
      </c>
      <c r="B442" s="302">
        <v>0.93681488711025718</v>
      </c>
      <c r="C442" s="302">
        <v>0.50281142157132319</v>
      </c>
      <c r="D442" s="302">
        <v>0.29021763067544915</v>
      </c>
      <c r="E442" s="302">
        <f t="shared" si="196"/>
        <v>1.7298439393570295</v>
      </c>
      <c r="F442" s="303"/>
      <c r="G442" s="302">
        <v>0.93767350292201079</v>
      </c>
      <c r="H442" s="302">
        <v>0.44895898481453617</v>
      </c>
      <c r="I442" s="302">
        <v>0.22686923442929469</v>
      </c>
      <c r="J442" s="302">
        <f t="shared" si="199"/>
        <v>1.6135017221658416</v>
      </c>
      <c r="K442" s="303"/>
      <c r="L442" s="302">
        <v>0.72876925284724481</v>
      </c>
      <c r="M442" s="302">
        <v>0.40912127241690421</v>
      </c>
      <c r="N442" s="302">
        <v>0.25002654663705565</v>
      </c>
      <c r="O442" s="302">
        <f t="shared" si="198"/>
        <v>1.3879170719012048</v>
      </c>
    </row>
    <row r="443" spans="1:15" s="236" customFormat="1" x14ac:dyDescent="0.3">
      <c r="A443" s="237"/>
      <c r="B443" s="302"/>
      <c r="C443" s="302"/>
      <c r="D443" s="302"/>
      <c r="E443" s="302"/>
      <c r="F443" s="303"/>
      <c r="G443" s="302"/>
      <c r="H443" s="302"/>
      <c r="I443" s="302"/>
      <c r="J443" s="302"/>
      <c r="K443" s="303"/>
      <c r="L443" s="302"/>
      <c r="M443" s="302"/>
      <c r="N443" s="302"/>
      <c r="O443" s="302"/>
    </row>
    <row r="444" spans="1:15" s="236" customFormat="1" x14ac:dyDescent="0.3">
      <c r="A444" s="244" t="s">
        <v>32</v>
      </c>
      <c r="B444" s="311">
        <f>SUM(B434:B442)</f>
        <v>31.281999999787622</v>
      </c>
      <c r="C444" s="311">
        <f t="shared" ref="C444:E444" si="200">SUM(C434:C442)</f>
        <v>5.4210000000281706</v>
      </c>
      <c r="D444" s="311">
        <f t="shared" si="200"/>
        <v>2.000000000006982</v>
      </c>
      <c r="E444" s="311">
        <f t="shared" si="200"/>
        <v>38.702999999822786</v>
      </c>
      <c r="F444" s="311"/>
      <c r="G444" s="311">
        <f t="shared" ref="G444:J444" si="201">SUM(G434:G442)</f>
        <v>37.555999999808144</v>
      </c>
      <c r="H444" s="311">
        <f t="shared" si="201"/>
        <v>5.6820000000292223</v>
      </c>
      <c r="I444" s="311">
        <f t="shared" si="201"/>
        <v>1.8409999999934057</v>
      </c>
      <c r="J444" s="311">
        <f t="shared" si="201"/>
        <v>45.078999999830771</v>
      </c>
      <c r="K444" s="311"/>
      <c r="L444" s="311">
        <f t="shared" ref="L444:O444" si="202">SUM(L434:L442)</f>
        <v>42.661999999999182</v>
      </c>
      <c r="M444" s="311">
        <f t="shared" si="202"/>
        <v>6.4589999999952754</v>
      </c>
      <c r="N444" s="311">
        <f t="shared" si="202"/>
        <v>1.9540000000123827</v>
      </c>
      <c r="O444" s="311">
        <f t="shared" si="202"/>
        <v>51.075000000006831</v>
      </c>
    </row>
    <row r="445" spans="1:15" s="236" customFormat="1" x14ac:dyDescent="0.3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40"/>
    </row>
    <row r="446" spans="1:15" s="236" customFormat="1" x14ac:dyDescent="0.3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40"/>
      <c r="O446" s="251" t="s">
        <v>35</v>
      </c>
    </row>
    <row r="447" spans="1:15" s="236" customFormat="1" x14ac:dyDescent="0.3">
      <c r="A447" s="242"/>
      <c r="B447" s="242"/>
      <c r="C447" s="242"/>
      <c r="D447" s="242"/>
      <c r="E447" s="242"/>
      <c r="F447" s="242"/>
      <c r="G447" s="242"/>
      <c r="H447" s="242"/>
      <c r="I447" s="242"/>
      <c r="J447" s="242"/>
      <c r="K447" s="242"/>
      <c r="L447" s="242"/>
      <c r="M447" s="242"/>
      <c r="N447" s="242"/>
      <c r="O447" s="242"/>
    </row>
    <row r="448" spans="1:15" s="236" customFormat="1" x14ac:dyDescent="0.3">
      <c r="A448" s="241" t="str">
        <f>name!A29</f>
        <v>Sewerage</v>
      </c>
      <c r="B448" s="375">
        <f>$B$6</f>
        <v>2015</v>
      </c>
      <c r="C448" s="375"/>
      <c r="D448" s="375"/>
      <c r="E448" s="375"/>
      <c r="F448" s="263"/>
      <c r="G448" s="375">
        <f>$G$6</f>
        <v>2020</v>
      </c>
      <c r="H448" s="375"/>
      <c r="I448" s="375"/>
      <c r="J448" s="375"/>
      <c r="K448" s="263"/>
      <c r="L448" s="375">
        <f>$L$6</f>
        <v>2035</v>
      </c>
      <c r="M448" s="375"/>
      <c r="N448" s="375"/>
      <c r="O448" s="375"/>
    </row>
    <row r="449" spans="1:15" s="236" customFormat="1" x14ac:dyDescent="0.3">
      <c r="A449" s="254"/>
      <c r="B449" s="268" t="str">
        <f>$B$7</f>
        <v>FT</v>
      </c>
      <c r="C449" s="268" t="str">
        <f>$C$7</f>
        <v>PT</v>
      </c>
      <c r="D449" s="268" t="str">
        <f>$D$7</f>
        <v>SE</v>
      </c>
      <c r="E449" s="268" t="str">
        <f>$E$7</f>
        <v>Total</v>
      </c>
      <c r="F449" s="268"/>
      <c r="G449" s="268" t="str">
        <f>$G$7</f>
        <v>FT</v>
      </c>
      <c r="H449" s="268" t="str">
        <f>$H$7</f>
        <v>PT</v>
      </c>
      <c r="I449" s="268" t="str">
        <f>$I$7</f>
        <v>SE</v>
      </c>
      <c r="J449" s="268" t="str">
        <f>$J$7</f>
        <v>Total</v>
      </c>
      <c r="K449" s="268"/>
      <c r="L449" s="268" t="str">
        <f>$L$7</f>
        <v>FT</v>
      </c>
      <c r="M449" s="268" t="str">
        <f>$M$7</f>
        <v>PT</v>
      </c>
      <c r="N449" s="268" t="str">
        <f>$N$7</f>
        <v>SE</v>
      </c>
      <c r="O449" s="268" t="str">
        <f>$O$7</f>
        <v>Total</v>
      </c>
    </row>
    <row r="450" spans="1:15" s="236" customFormat="1" x14ac:dyDescent="0.3">
      <c r="A450" s="258"/>
      <c r="B450" s="239"/>
      <c r="C450" s="239"/>
      <c r="D450" s="239"/>
      <c r="E450" s="239"/>
      <c r="F450" s="239"/>
      <c r="G450" s="239"/>
      <c r="H450" s="239"/>
      <c r="I450" s="239"/>
      <c r="J450" s="239"/>
      <c r="K450" s="239"/>
      <c r="L450" s="239"/>
      <c r="M450" s="239"/>
      <c r="N450" s="239"/>
      <c r="O450" s="239"/>
    </row>
    <row r="451" spans="1:15" s="236" customFormat="1" x14ac:dyDescent="0.3">
      <c r="A451" s="237" t="str">
        <f>name!E$4</f>
        <v>Managers, directors and senior officials</v>
      </c>
      <c r="B451" s="302">
        <v>2.078161111180834</v>
      </c>
      <c r="C451" s="302">
        <v>6.7642849638617941E-2</v>
      </c>
      <c r="D451" s="302">
        <v>0.25662994323931432</v>
      </c>
      <c r="E451" s="302">
        <f>SUM(B451:D451)</f>
        <v>2.4024339040587663</v>
      </c>
      <c r="F451" s="303"/>
      <c r="G451" s="302">
        <v>2.0765887759788151</v>
      </c>
      <c r="H451" s="302">
        <v>6.7980131413269806E-2</v>
      </c>
      <c r="I451" s="302">
        <v>4.7245647704081975E-2</v>
      </c>
      <c r="J451" s="302">
        <f>SUM(G451:I451)</f>
        <v>2.1918145550961672</v>
      </c>
      <c r="K451" s="303"/>
      <c r="L451" s="302">
        <v>2.275539069203468</v>
      </c>
      <c r="M451" s="302">
        <v>8.2430293309197961E-2</v>
      </c>
      <c r="N451" s="302">
        <v>5.2276012087489748E-2</v>
      </c>
      <c r="O451" s="302">
        <f>SUM(L451:N451)</f>
        <v>2.4102453746001555</v>
      </c>
    </row>
    <row r="452" spans="1:15" s="236" customFormat="1" x14ac:dyDescent="0.3">
      <c r="A452" s="237" t="str">
        <f>name!E$5</f>
        <v>Professional occupations</v>
      </c>
      <c r="B452" s="302">
        <v>1.9936821595514398</v>
      </c>
      <c r="C452" s="302">
        <v>0.26419302050170718</v>
      </c>
      <c r="D452" s="302">
        <v>0.27531188282930413</v>
      </c>
      <c r="E452" s="302">
        <f t="shared" ref="E452:E459" si="203">SUM(B452:D452)</f>
        <v>2.5331870628824511</v>
      </c>
      <c r="F452" s="303"/>
      <c r="G452" s="302">
        <v>2.276566378378444</v>
      </c>
      <c r="H452" s="302">
        <v>0.22359901328181972</v>
      </c>
      <c r="I452" s="302">
        <v>5.0739472361199661E-2</v>
      </c>
      <c r="J452" s="302">
        <f t="shared" ref="J452:J454" si="204">SUM(G452:I452)</f>
        <v>2.5509048640214633</v>
      </c>
      <c r="K452" s="303"/>
      <c r="L452" s="302">
        <v>2.7903407652676093</v>
      </c>
      <c r="M452" s="302">
        <v>0.30369069630803175</v>
      </c>
      <c r="N452" s="302">
        <v>4.5601858681515277E-2</v>
      </c>
      <c r="O452" s="302">
        <f t="shared" ref="O452:O459" si="205">SUM(L452:N452)</f>
        <v>3.1396333202571562</v>
      </c>
    </row>
    <row r="453" spans="1:15" s="236" customFormat="1" x14ac:dyDescent="0.3">
      <c r="A453" s="237" t="str">
        <f>name!E$6</f>
        <v>Associate professional occupations</v>
      </c>
      <c r="B453" s="302">
        <v>2.5428543130493906</v>
      </c>
      <c r="C453" s="302">
        <v>0.49816893487965602</v>
      </c>
      <c r="D453" s="302">
        <v>0.21762511243281071</v>
      </c>
      <c r="E453" s="302">
        <f t="shared" si="203"/>
        <v>3.2586483603618572</v>
      </c>
      <c r="F453" s="303"/>
      <c r="G453" s="302">
        <v>3.0430944178168358</v>
      </c>
      <c r="H453" s="302">
        <v>0.35922804026512961</v>
      </c>
      <c r="I453" s="302">
        <v>3.4751994318107889E-2</v>
      </c>
      <c r="J453" s="302">
        <f t="shared" si="204"/>
        <v>3.4370744524000734</v>
      </c>
      <c r="K453" s="303"/>
      <c r="L453" s="302">
        <v>4.2628556158542033</v>
      </c>
      <c r="M453" s="302">
        <v>0.46230251972215752</v>
      </c>
      <c r="N453" s="302">
        <v>3.100767558327434E-2</v>
      </c>
      <c r="O453" s="302">
        <f t="shared" si="205"/>
        <v>4.7561658111596357</v>
      </c>
    </row>
    <row r="454" spans="1:15" s="236" customFormat="1" x14ac:dyDescent="0.3">
      <c r="A454" s="237" t="str">
        <f>name!E$7</f>
        <v>Administrative and secretarial occupations</v>
      </c>
      <c r="B454" s="302">
        <v>1.5513807123717624</v>
      </c>
      <c r="C454" s="302">
        <v>0.58881685875810175</v>
      </c>
      <c r="D454" s="302">
        <v>5.369028811712654E-2</v>
      </c>
      <c r="E454" s="302">
        <f t="shared" si="203"/>
        <v>2.1938878592469906</v>
      </c>
      <c r="F454" s="303"/>
      <c r="G454" s="302">
        <v>1.8307675046090099</v>
      </c>
      <c r="H454" s="302">
        <v>0.42761568974984926</v>
      </c>
      <c r="I454" s="302">
        <v>7.7161960882646896E-3</v>
      </c>
      <c r="J454" s="302">
        <f t="shared" si="204"/>
        <v>2.2660993904471236</v>
      </c>
      <c r="K454" s="303"/>
      <c r="L454" s="302">
        <v>1.3639254892693327</v>
      </c>
      <c r="M454" s="302">
        <v>0.39841633628141537</v>
      </c>
      <c r="N454" s="302">
        <v>8.2709259978429976E-3</v>
      </c>
      <c r="O454" s="302">
        <f t="shared" si="205"/>
        <v>1.770612751548591</v>
      </c>
    </row>
    <row r="455" spans="1:15" s="236" customFormat="1" x14ac:dyDescent="0.3">
      <c r="A455" s="237" t="str">
        <f>name!E$8</f>
        <v>Skilled trades occupations</v>
      </c>
      <c r="B455" s="302">
        <v>1.0062467375115798</v>
      </c>
      <c r="C455" s="302">
        <v>8.1574627582189224E-2</v>
      </c>
      <c r="D455" s="302">
        <v>0.71363620382456916</v>
      </c>
      <c r="E455" s="302">
        <f t="shared" si="203"/>
        <v>1.8014575689183381</v>
      </c>
      <c r="F455" s="303"/>
      <c r="G455" s="302">
        <v>0.76660619644733008</v>
      </c>
      <c r="H455" s="302">
        <v>5.3523122110809028E-2</v>
      </c>
      <c r="I455" s="302">
        <v>0.10806449613121208</v>
      </c>
      <c r="J455" s="302">
        <f>SUM(G455:I455)</f>
        <v>0.92819381468935114</v>
      </c>
      <c r="K455" s="303"/>
      <c r="L455" s="302">
        <v>0.78207573044572132</v>
      </c>
      <c r="M455" s="302">
        <v>7.5427932455668048E-2</v>
      </c>
      <c r="N455" s="302">
        <v>0.12897520263107246</v>
      </c>
      <c r="O455" s="302">
        <f t="shared" si="205"/>
        <v>0.98647886553246178</v>
      </c>
    </row>
    <row r="456" spans="1:15" s="236" customFormat="1" x14ac:dyDescent="0.3">
      <c r="A456" s="237" t="str">
        <f>name!E$9</f>
        <v>Caring, leisure and other service occupations</v>
      </c>
      <c r="B456" s="302">
        <v>0.56693138474595561</v>
      </c>
      <c r="C456" s="302">
        <v>0.12418842923900961</v>
      </c>
      <c r="D456" s="302">
        <v>0.11349490781837102</v>
      </c>
      <c r="E456" s="302">
        <f t="shared" si="203"/>
        <v>0.80461472180333626</v>
      </c>
      <c r="F456" s="303"/>
      <c r="G456" s="302">
        <v>0.66707350116249242</v>
      </c>
      <c r="H456" s="302">
        <v>0.15093148446729934</v>
      </c>
      <c r="I456" s="302">
        <v>1.8759420182219901E-2</v>
      </c>
      <c r="J456" s="302">
        <f t="shared" ref="J456:J459" si="206">SUM(G456:I456)</f>
        <v>0.83676440581201161</v>
      </c>
      <c r="K456" s="303"/>
      <c r="L456" s="302">
        <v>0.89106833191000145</v>
      </c>
      <c r="M456" s="302">
        <v>0.21118632030313045</v>
      </c>
      <c r="N456" s="302">
        <v>2.315431487095982E-2</v>
      </c>
      <c r="O456" s="302">
        <f t="shared" si="205"/>
        <v>1.1254089670840917</v>
      </c>
    </row>
    <row r="457" spans="1:15" s="236" customFormat="1" x14ac:dyDescent="0.3">
      <c r="A457" s="237" t="str">
        <f>name!E$10</f>
        <v>Sales and customer service occupations</v>
      </c>
      <c r="B457" s="302">
        <v>0.39831880749681497</v>
      </c>
      <c r="C457" s="302">
        <v>0.20745605545507265</v>
      </c>
      <c r="D457" s="302">
        <v>8.9124573847653252E-2</v>
      </c>
      <c r="E457" s="302">
        <f t="shared" si="203"/>
        <v>0.69489943679954091</v>
      </c>
      <c r="F457" s="303"/>
      <c r="G457" s="302">
        <v>0.43681720561226528</v>
      </c>
      <c r="H457" s="302">
        <v>0.22295674382304159</v>
      </c>
      <c r="I457" s="302">
        <v>1.0899031202397642E-2</v>
      </c>
      <c r="J457" s="302">
        <f t="shared" si="206"/>
        <v>0.67067298063770453</v>
      </c>
      <c r="K457" s="303"/>
      <c r="L457" s="302">
        <v>0.50024439840057422</v>
      </c>
      <c r="M457" s="302">
        <v>0.29779768083891528</v>
      </c>
      <c r="N457" s="302">
        <v>8.9036909266615259E-3</v>
      </c>
      <c r="O457" s="302">
        <f t="shared" si="205"/>
        <v>0.8069457701661511</v>
      </c>
    </row>
    <row r="458" spans="1:15" s="236" customFormat="1" x14ac:dyDescent="0.3">
      <c r="A458" s="237" t="str">
        <f>name!E$11</f>
        <v>Process, plant and machine operatives</v>
      </c>
      <c r="B458" s="302">
        <v>5.0612576557982631</v>
      </c>
      <c r="C458" s="302">
        <v>6.5124898368787376E-2</v>
      </c>
      <c r="D458" s="302">
        <v>0.11033690039035475</v>
      </c>
      <c r="E458" s="302">
        <f t="shared" si="203"/>
        <v>5.236719454557405</v>
      </c>
      <c r="F458" s="303"/>
      <c r="G458" s="302">
        <v>4.1451871857410438</v>
      </c>
      <c r="H458" s="302">
        <v>5.6876739217881993E-2</v>
      </c>
      <c r="I458" s="302">
        <v>2.3701539849858372E-2</v>
      </c>
      <c r="J458" s="302">
        <f t="shared" si="206"/>
        <v>4.2257654648087843</v>
      </c>
      <c r="K458" s="303"/>
      <c r="L458" s="302">
        <v>4.8504739427671186</v>
      </c>
      <c r="M458" s="302">
        <v>7.9332825174172145E-2</v>
      </c>
      <c r="N458" s="302">
        <v>2.7087256532557176E-2</v>
      </c>
      <c r="O458" s="302">
        <f t="shared" si="205"/>
        <v>4.956894024473848</v>
      </c>
    </row>
    <row r="459" spans="1:15" s="236" customFormat="1" x14ac:dyDescent="0.3">
      <c r="A459" s="237" t="str">
        <f>name!E$12</f>
        <v>Elementary occupations</v>
      </c>
      <c r="B459" s="302">
        <v>5.3701671183580206</v>
      </c>
      <c r="C459" s="302">
        <v>0.73083432560047412</v>
      </c>
      <c r="D459" s="302">
        <v>0.15815018749946805</v>
      </c>
      <c r="E459" s="302">
        <f t="shared" si="203"/>
        <v>6.2591516314579634</v>
      </c>
      <c r="F459" s="303"/>
      <c r="G459" s="302">
        <v>4.8512988342674035</v>
      </c>
      <c r="H459" s="302">
        <v>0.53628903567669528</v>
      </c>
      <c r="I459" s="302">
        <v>2.0122202160575128E-2</v>
      </c>
      <c r="J459" s="302">
        <f t="shared" si="206"/>
        <v>5.407710072104674</v>
      </c>
      <c r="K459" s="303"/>
      <c r="L459" s="302">
        <v>5.1774766571028783</v>
      </c>
      <c r="M459" s="302">
        <v>0.53541539561283935</v>
      </c>
      <c r="N459" s="302">
        <v>2.8723062686753783E-2</v>
      </c>
      <c r="O459" s="302">
        <f t="shared" si="205"/>
        <v>5.7416151154024719</v>
      </c>
    </row>
    <row r="460" spans="1:15" s="236" customFormat="1" x14ac:dyDescent="0.3">
      <c r="A460" s="237"/>
      <c r="B460" s="302"/>
      <c r="C460" s="302"/>
      <c r="D460" s="302"/>
      <c r="E460" s="302"/>
      <c r="F460" s="303"/>
      <c r="G460" s="302"/>
      <c r="H460" s="302"/>
      <c r="I460" s="302"/>
      <c r="J460" s="302"/>
      <c r="K460" s="303"/>
      <c r="L460" s="302"/>
      <c r="M460" s="302"/>
      <c r="N460" s="302"/>
      <c r="O460" s="302"/>
    </row>
    <row r="461" spans="1:15" s="236" customFormat="1" x14ac:dyDescent="0.3">
      <c r="A461" s="244" t="s">
        <v>32</v>
      </c>
      <c r="B461" s="311">
        <f>SUM(B451:B459)</f>
        <v>20.569000000064062</v>
      </c>
      <c r="C461" s="311">
        <f t="shared" ref="C461:E461" si="207">SUM(C451:C459)</f>
        <v>2.6280000000236159</v>
      </c>
      <c r="D461" s="311">
        <f t="shared" si="207"/>
        <v>1.9879999999989715</v>
      </c>
      <c r="E461" s="311">
        <f t="shared" si="207"/>
        <v>25.185000000086649</v>
      </c>
      <c r="F461" s="311"/>
      <c r="G461" s="311">
        <f t="shared" ref="G461:J461" si="208">SUM(G451:G459)</f>
        <v>20.09400000001364</v>
      </c>
      <c r="H461" s="311">
        <f t="shared" si="208"/>
        <v>2.0990000000057956</v>
      </c>
      <c r="I461" s="311">
        <f t="shared" si="208"/>
        <v>0.3219999999979174</v>
      </c>
      <c r="J461" s="311">
        <f t="shared" si="208"/>
        <v>22.515000000017356</v>
      </c>
      <c r="K461" s="311"/>
      <c r="L461" s="311">
        <f t="shared" ref="L461:O461" si="209">SUM(L451:L459)</f>
        <v>22.894000000220906</v>
      </c>
      <c r="M461" s="311">
        <f t="shared" si="209"/>
        <v>2.4460000000055278</v>
      </c>
      <c r="N461" s="311">
        <f t="shared" si="209"/>
        <v>0.35399999999812715</v>
      </c>
      <c r="O461" s="311">
        <f t="shared" si="209"/>
        <v>25.694000000224559</v>
      </c>
    </row>
    <row r="462" spans="1:15" s="236" customFormat="1" x14ac:dyDescent="0.3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40"/>
    </row>
    <row r="463" spans="1:15" s="236" customFormat="1" x14ac:dyDescent="0.3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40"/>
      <c r="O463" s="251" t="s">
        <v>35</v>
      </c>
    </row>
    <row r="464" spans="1:15" s="236" customFormat="1" x14ac:dyDescent="0.3">
      <c r="A464" s="242"/>
      <c r="B464" s="242"/>
      <c r="C464" s="242"/>
      <c r="D464" s="242"/>
      <c r="E464" s="242"/>
      <c r="F464" s="242"/>
      <c r="G464" s="242"/>
      <c r="H464" s="242"/>
      <c r="I464" s="242"/>
      <c r="J464" s="242"/>
      <c r="K464" s="242"/>
      <c r="L464" s="242"/>
      <c r="M464" s="242"/>
      <c r="N464" s="242"/>
      <c r="O464" s="242"/>
    </row>
    <row r="465" spans="1:15" s="236" customFormat="1" x14ac:dyDescent="0.3">
      <c r="A465" s="241" t="str">
        <f>name!A30</f>
        <v>Waste management</v>
      </c>
      <c r="B465" s="375">
        <f>$B$6</f>
        <v>2015</v>
      </c>
      <c r="C465" s="375"/>
      <c r="D465" s="375"/>
      <c r="E465" s="375"/>
      <c r="F465" s="263"/>
      <c r="G465" s="375">
        <f>$G$6</f>
        <v>2020</v>
      </c>
      <c r="H465" s="375"/>
      <c r="I465" s="375"/>
      <c r="J465" s="375"/>
      <c r="K465" s="263"/>
      <c r="L465" s="375">
        <f>$L$6</f>
        <v>2035</v>
      </c>
      <c r="M465" s="375"/>
      <c r="N465" s="375"/>
      <c r="O465" s="375"/>
    </row>
    <row r="466" spans="1:15" s="236" customFormat="1" x14ac:dyDescent="0.3">
      <c r="A466" s="254"/>
      <c r="B466" s="268" t="str">
        <f>$B$7</f>
        <v>FT</v>
      </c>
      <c r="C466" s="268" t="str">
        <f>$C$7</f>
        <v>PT</v>
      </c>
      <c r="D466" s="268" t="str">
        <f>$D$7</f>
        <v>SE</v>
      </c>
      <c r="E466" s="268" t="str">
        <f>$E$7</f>
        <v>Total</v>
      </c>
      <c r="F466" s="268"/>
      <c r="G466" s="268" t="str">
        <f>$G$7</f>
        <v>FT</v>
      </c>
      <c r="H466" s="268" t="str">
        <f>$H$7</f>
        <v>PT</v>
      </c>
      <c r="I466" s="268" t="str">
        <f>$I$7</f>
        <v>SE</v>
      </c>
      <c r="J466" s="268" t="str">
        <f>$J$7</f>
        <v>Total</v>
      </c>
      <c r="K466" s="268"/>
      <c r="L466" s="268" t="str">
        <f>$L$7</f>
        <v>FT</v>
      </c>
      <c r="M466" s="268" t="str">
        <f>$M$7</f>
        <v>PT</v>
      </c>
      <c r="N466" s="268" t="str">
        <f>$N$7</f>
        <v>SE</v>
      </c>
      <c r="O466" s="268" t="str">
        <f>$O$7</f>
        <v>Total</v>
      </c>
    </row>
    <row r="467" spans="1:15" s="236" customFormat="1" x14ac:dyDescent="0.3">
      <c r="A467" s="258"/>
      <c r="B467" s="239"/>
      <c r="C467" s="239"/>
      <c r="D467" s="239"/>
      <c r="E467" s="239"/>
      <c r="F467" s="239"/>
      <c r="G467" s="239"/>
      <c r="H467" s="239"/>
      <c r="I467" s="239"/>
      <c r="J467" s="239"/>
      <c r="K467" s="239"/>
      <c r="L467" s="239"/>
      <c r="M467" s="239"/>
      <c r="N467" s="239"/>
      <c r="O467" s="239"/>
    </row>
    <row r="468" spans="1:15" s="236" customFormat="1" x14ac:dyDescent="0.3">
      <c r="A468" s="237" t="str">
        <f>name!E$4</f>
        <v>Managers, directors and senior officials</v>
      </c>
      <c r="B468" s="302">
        <v>11.573607251354067</v>
      </c>
      <c r="C468" s="302">
        <v>0.61381595470090522</v>
      </c>
      <c r="D468" s="302">
        <v>1.5711582933474968</v>
      </c>
      <c r="E468" s="302">
        <f>SUM(B468:D468)</f>
        <v>13.758581499402469</v>
      </c>
      <c r="F468" s="303"/>
      <c r="G468" s="302">
        <v>13.825841206526947</v>
      </c>
      <c r="H468" s="302">
        <v>1.5545500441835629</v>
      </c>
      <c r="I468" s="302">
        <v>1.4978993450568987</v>
      </c>
      <c r="J468" s="302">
        <f>SUM(G468:I468)</f>
        <v>16.878290595767407</v>
      </c>
      <c r="K468" s="303"/>
      <c r="L468" s="302">
        <v>16.090882372222623</v>
      </c>
      <c r="M468" s="302">
        <v>2.1571795009598427</v>
      </c>
      <c r="N468" s="302">
        <v>1.6988202232922267</v>
      </c>
      <c r="O468" s="302">
        <f>SUM(L468:N468)</f>
        <v>19.946882096474692</v>
      </c>
    </row>
    <row r="469" spans="1:15" s="236" customFormat="1" x14ac:dyDescent="0.3">
      <c r="A469" s="237" t="str">
        <f>name!E$5</f>
        <v>Professional occupations</v>
      </c>
      <c r="B469" s="302">
        <v>10.002672385537249</v>
      </c>
      <c r="C469" s="302">
        <v>2.1552421875684682</v>
      </c>
      <c r="D469" s="302">
        <v>0.43140831407209679</v>
      </c>
      <c r="E469" s="302">
        <f t="shared" ref="E469:E476" si="210">SUM(B469:D469)</f>
        <v>12.589322887177815</v>
      </c>
      <c r="F469" s="303"/>
      <c r="G469" s="302">
        <v>12.850813642313184</v>
      </c>
      <c r="H469" s="302">
        <v>2.5244430730580296</v>
      </c>
      <c r="I469" s="302">
        <v>0.39208978651380799</v>
      </c>
      <c r="J469" s="302">
        <f t="shared" ref="J469:J471" si="211">SUM(G469:I469)</f>
        <v>15.767346501885022</v>
      </c>
      <c r="K469" s="303"/>
      <c r="L469" s="302">
        <v>15.569904117311781</v>
      </c>
      <c r="M469" s="302">
        <v>3.2684899334579764</v>
      </c>
      <c r="N469" s="302">
        <v>0.37967249839124428</v>
      </c>
      <c r="O469" s="302">
        <f t="shared" ref="O469:O476" si="212">SUM(L469:N469)</f>
        <v>19.218066549161001</v>
      </c>
    </row>
    <row r="470" spans="1:15" s="236" customFormat="1" x14ac:dyDescent="0.3">
      <c r="A470" s="237" t="str">
        <f>name!E$6</f>
        <v>Associate professional occupations</v>
      </c>
      <c r="B470" s="302">
        <v>12.136145341439343</v>
      </c>
      <c r="C470" s="302">
        <v>1.4508535038430441</v>
      </c>
      <c r="D470" s="302">
        <v>0.42011367502306529</v>
      </c>
      <c r="E470" s="302">
        <f t="shared" si="210"/>
        <v>14.007112520305453</v>
      </c>
      <c r="F470" s="303"/>
      <c r="G470" s="302">
        <v>14.345813849901552</v>
      </c>
      <c r="H470" s="302">
        <v>1.7691133684301781</v>
      </c>
      <c r="I470" s="302">
        <v>0.3326295872702274</v>
      </c>
      <c r="J470" s="302">
        <f t="shared" si="211"/>
        <v>16.447556805601955</v>
      </c>
      <c r="K470" s="303"/>
      <c r="L470" s="302">
        <v>18.709798030906999</v>
      </c>
      <c r="M470" s="302">
        <v>1.9097621584495756</v>
      </c>
      <c r="N470" s="302">
        <v>0.36235945411817516</v>
      </c>
      <c r="O470" s="302">
        <f t="shared" si="212"/>
        <v>20.981919643474747</v>
      </c>
    </row>
    <row r="471" spans="1:15" s="236" customFormat="1" x14ac:dyDescent="0.3">
      <c r="A471" s="237" t="str">
        <f>name!E$7</f>
        <v>Administrative and secretarial occupations</v>
      </c>
      <c r="B471" s="302">
        <v>7.9630251198492932</v>
      </c>
      <c r="C471" s="302">
        <v>3.3934034566558084</v>
      </c>
      <c r="D471" s="302">
        <v>0.10157127006845171</v>
      </c>
      <c r="E471" s="302">
        <f t="shared" si="210"/>
        <v>11.457999846573554</v>
      </c>
      <c r="F471" s="303"/>
      <c r="G471" s="302">
        <v>7.5171252984408508</v>
      </c>
      <c r="H471" s="302">
        <v>4.2939864503868073</v>
      </c>
      <c r="I471" s="302">
        <v>6.8412584758473463E-2</v>
      </c>
      <c r="J471" s="302">
        <f t="shared" si="211"/>
        <v>11.879524333586131</v>
      </c>
      <c r="K471" s="303"/>
      <c r="L471" s="302">
        <v>6.3843245675658835</v>
      </c>
      <c r="M471" s="302">
        <v>4.1020581513579799</v>
      </c>
      <c r="N471" s="302">
        <v>8.0867647322336575E-2</v>
      </c>
      <c r="O471" s="302">
        <f t="shared" si="212"/>
        <v>10.567250366246199</v>
      </c>
    </row>
    <row r="472" spans="1:15" s="236" customFormat="1" x14ac:dyDescent="0.3">
      <c r="A472" s="237" t="str">
        <f>name!E$8</f>
        <v>Skilled trades occupations</v>
      </c>
      <c r="B472" s="302">
        <v>8.3674607099809215</v>
      </c>
      <c r="C472" s="302">
        <v>1.4780218962436134</v>
      </c>
      <c r="D472" s="302">
        <v>3.1723486480001264</v>
      </c>
      <c r="E472" s="302">
        <f t="shared" si="210"/>
        <v>13.01783125422466</v>
      </c>
      <c r="F472" s="303"/>
      <c r="G472" s="302">
        <v>7.9730123373367139</v>
      </c>
      <c r="H472" s="302">
        <v>2.107128539381061</v>
      </c>
      <c r="I472" s="302">
        <v>2.4929943575046245</v>
      </c>
      <c r="J472" s="302">
        <f>SUM(G472:I472)</f>
        <v>12.573135234222399</v>
      </c>
      <c r="K472" s="303"/>
      <c r="L472" s="302">
        <v>9.3960905805864332</v>
      </c>
      <c r="M472" s="302">
        <v>3.1309754563766834</v>
      </c>
      <c r="N472" s="302">
        <v>2.2519980084135209</v>
      </c>
      <c r="O472" s="302">
        <f t="shared" si="212"/>
        <v>14.779064045376638</v>
      </c>
    </row>
    <row r="473" spans="1:15" s="236" customFormat="1" x14ac:dyDescent="0.3">
      <c r="A473" s="237" t="str">
        <f>name!E$9</f>
        <v>Caring, leisure and other service occupations</v>
      </c>
      <c r="B473" s="302">
        <v>2.8308595969795309</v>
      </c>
      <c r="C473" s="302">
        <v>0.56961219133752294</v>
      </c>
      <c r="D473" s="302">
        <v>5.7280192209436323E-2</v>
      </c>
      <c r="E473" s="302">
        <f t="shared" si="210"/>
        <v>3.4577519805264902</v>
      </c>
      <c r="F473" s="303"/>
      <c r="G473" s="302">
        <v>2.975500546065756</v>
      </c>
      <c r="H473" s="302">
        <v>0.64575577177772336</v>
      </c>
      <c r="I473" s="302">
        <v>4.8643983975585302E-2</v>
      </c>
      <c r="J473" s="302">
        <f t="shared" ref="J473:J476" si="213">SUM(G473:I473)</f>
        <v>3.6699003018190646</v>
      </c>
      <c r="K473" s="303"/>
      <c r="L473" s="302">
        <v>3.9641221179217423</v>
      </c>
      <c r="M473" s="302">
        <v>0.68984633029073539</v>
      </c>
      <c r="N473" s="302">
        <v>7.1297449550829367E-2</v>
      </c>
      <c r="O473" s="302">
        <f t="shared" si="212"/>
        <v>4.7252658977633066</v>
      </c>
    </row>
    <row r="474" spans="1:15" s="236" customFormat="1" x14ac:dyDescent="0.3">
      <c r="A474" s="237" t="str">
        <f>name!E$10</f>
        <v>Sales and customer service occupations</v>
      </c>
      <c r="B474" s="302">
        <v>2.4831782459316689</v>
      </c>
      <c r="C474" s="302">
        <v>1.0951541794966835</v>
      </c>
      <c r="D474" s="302">
        <v>0.3130417129885133</v>
      </c>
      <c r="E474" s="302">
        <f t="shared" si="210"/>
        <v>3.8913741384168659</v>
      </c>
      <c r="F474" s="303"/>
      <c r="G474" s="302">
        <v>2.5612416628531904</v>
      </c>
      <c r="H474" s="302">
        <v>1.5591921911726021</v>
      </c>
      <c r="I474" s="302">
        <v>0.24356335232027707</v>
      </c>
      <c r="J474" s="302">
        <f t="shared" si="213"/>
        <v>4.3639972063460695</v>
      </c>
      <c r="K474" s="303"/>
      <c r="L474" s="302">
        <v>3.2200974392503423</v>
      </c>
      <c r="M474" s="302">
        <v>1.4916402069787751</v>
      </c>
      <c r="N474" s="302">
        <v>0.20988117827734257</v>
      </c>
      <c r="O474" s="302">
        <f t="shared" si="212"/>
        <v>4.92161882450646</v>
      </c>
    </row>
    <row r="475" spans="1:15" s="236" customFormat="1" x14ac:dyDescent="0.3">
      <c r="A475" s="237" t="str">
        <f>name!E$11</f>
        <v>Process, plant and machine operatives</v>
      </c>
      <c r="B475" s="302">
        <v>32.66939243168801</v>
      </c>
      <c r="C475" s="302">
        <v>1.2970988458602173</v>
      </c>
      <c r="D475" s="302">
        <v>0.47659202708657927</v>
      </c>
      <c r="E475" s="302">
        <f t="shared" si="210"/>
        <v>34.443083304634811</v>
      </c>
      <c r="F475" s="303"/>
      <c r="G475" s="302">
        <v>30.238186209408354</v>
      </c>
      <c r="H475" s="302">
        <v>2.737668675672051</v>
      </c>
      <c r="I475" s="302">
        <v>0.46694413028516757</v>
      </c>
      <c r="J475" s="302">
        <f t="shared" si="213"/>
        <v>33.44279901536558</v>
      </c>
      <c r="K475" s="303"/>
      <c r="L475" s="302">
        <v>36.296314553516844</v>
      </c>
      <c r="M475" s="302">
        <v>3.5735206119616651</v>
      </c>
      <c r="N475" s="302">
        <v>0.41203944603350762</v>
      </c>
      <c r="O475" s="302">
        <f t="shared" si="212"/>
        <v>40.281874611512016</v>
      </c>
    </row>
    <row r="476" spans="1:15" s="236" customFormat="1" x14ac:dyDescent="0.3">
      <c r="A476" s="237" t="str">
        <f>name!E$12</f>
        <v>Elementary occupations</v>
      </c>
      <c r="B476" s="302">
        <v>26.757658917484747</v>
      </c>
      <c r="C476" s="302">
        <v>2.2477977842885006</v>
      </c>
      <c r="D476" s="302">
        <v>0.46248586712544809</v>
      </c>
      <c r="E476" s="302">
        <f t="shared" si="210"/>
        <v>29.467942568898696</v>
      </c>
      <c r="F476" s="303"/>
      <c r="G476" s="302">
        <v>25.274465247033774</v>
      </c>
      <c r="H476" s="302">
        <v>1.8181618859022579</v>
      </c>
      <c r="I476" s="302">
        <v>0.29082287221958486</v>
      </c>
      <c r="J476" s="302">
        <f t="shared" si="213"/>
        <v>27.383450005155616</v>
      </c>
      <c r="K476" s="303"/>
      <c r="L476" s="302">
        <v>23.52946622154996</v>
      </c>
      <c r="M476" s="302">
        <v>1.4015276502631102</v>
      </c>
      <c r="N476" s="302">
        <v>0.34806409449356995</v>
      </c>
      <c r="O476" s="302">
        <f t="shared" si="212"/>
        <v>25.279057966306638</v>
      </c>
    </row>
    <row r="477" spans="1:15" s="236" customFormat="1" x14ac:dyDescent="0.3">
      <c r="A477" s="237"/>
      <c r="B477" s="302"/>
      <c r="C477" s="302"/>
      <c r="D477" s="302"/>
      <c r="E477" s="302"/>
      <c r="F477" s="303"/>
      <c r="G477" s="302"/>
      <c r="H477" s="302"/>
      <c r="I477" s="302"/>
      <c r="J477" s="302"/>
      <c r="K477" s="303"/>
      <c r="L477" s="302"/>
      <c r="M477" s="302"/>
      <c r="N477" s="302"/>
      <c r="O477" s="302"/>
    </row>
    <row r="478" spans="1:15" s="236" customFormat="1" x14ac:dyDescent="0.3">
      <c r="A478" s="244" t="s">
        <v>32</v>
      </c>
      <c r="B478" s="311">
        <f>SUM(B468:B476)</f>
        <v>114.78400000024482</v>
      </c>
      <c r="C478" s="311">
        <f t="shared" ref="C478:E478" si="214">SUM(C468:C476)</f>
        <v>14.300999999994763</v>
      </c>
      <c r="D478" s="311">
        <f t="shared" si="214"/>
        <v>7.0059999999212144</v>
      </c>
      <c r="E478" s="311">
        <f t="shared" si="214"/>
        <v>136.09100000016082</v>
      </c>
      <c r="F478" s="311"/>
      <c r="G478" s="311">
        <f t="shared" ref="G478:J478" si="215">SUM(G468:G476)</f>
        <v>117.56199999988031</v>
      </c>
      <c r="H478" s="311">
        <f t="shared" si="215"/>
        <v>19.009999999964272</v>
      </c>
      <c r="I478" s="311">
        <f t="shared" si="215"/>
        <v>5.8339999999046466</v>
      </c>
      <c r="J478" s="311">
        <f t="shared" si="215"/>
        <v>142.40599999974924</v>
      </c>
      <c r="K478" s="311"/>
      <c r="L478" s="311">
        <f t="shared" ref="L478:O478" si="216">SUM(L468:L476)</f>
        <v>133.16100000083262</v>
      </c>
      <c r="M478" s="311">
        <f t="shared" si="216"/>
        <v>21.725000000096344</v>
      </c>
      <c r="N478" s="311">
        <f t="shared" si="216"/>
        <v>5.8149999998927528</v>
      </c>
      <c r="O478" s="311">
        <f t="shared" si="216"/>
        <v>160.70100000082169</v>
      </c>
    </row>
    <row r="479" spans="1:15" s="236" customFormat="1" x14ac:dyDescent="0.3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40"/>
    </row>
    <row r="480" spans="1:15" s="236" customFormat="1" x14ac:dyDescent="0.3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40"/>
      <c r="O480" s="251" t="s">
        <v>35</v>
      </c>
    </row>
    <row r="481" spans="1:15" s="236" customFormat="1" x14ac:dyDescent="0.3">
      <c r="A481" s="242"/>
      <c r="B481" s="242"/>
      <c r="C481" s="242"/>
      <c r="D481" s="242"/>
      <c r="E481" s="242"/>
      <c r="F481" s="242"/>
      <c r="G481" s="242"/>
      <c r="H481" s="242"/>
      <c r="I481" s="242"/>
      <c r="J481" s="242"/>
      <c r="K481" s="242"/>
      <c r="L481" s="242"/>
      <c r="M481" s="242"/>
      <c r="N481" s="242"/>
      <c r="O481" s="242"/>
    </row>
    <row r="482" spans="1:15" s="236" customFormat="1" x14ac:dyDescent="0.3">
      <c r="A482" s="241" t="str">
        <f>name!A31</f>
        <v>Construction</v>
      </c>
      <c r="B482" s="375">
        <f>$B$6</f>
        <v>2015</v>
      </c>
      <c r="C482" s="375"/>
      <c r="D482" s="375"/>
      <c r="E482" s="375"/>
      <c r="F482" s="263"/>
      <c r="G482" s="375">
        <f>$G$6</f>
        <v>2020</v>
      </c>
      <c r="H482" s="375"/>
      <c r="I482" s="375"/>
      <c r="J482" s="375"/>
      <c r="K482" s="263"/>
      <c r="L482" s="375">
        <f>$L$6</f>
        <v>2035</v>
      </c>
      <c r="M482" s="375"/>
      <c r="N482" s="375"/>
      <c r="O482" s="375"/>
    </row>
    <row r="483" spans="1:15" s="236" customFormat="1" x14ac:dyDescent="0.3">
      <c r="A483" s="254"/>
      <c r="B483" s="268" t="str">
        <f>$B$7</f>
        <v>FT</v>
      </c>
      <c r="C483" s="268" t="str">
        <f>$C$7</f>
        <v>PT</v>
      </c>
      <c r="D483" s="268" t="str">
        <f>$D$7</f>
        <v>SE</v>
      </c>
      <c r="E483" s="268" t="str">
        <f>$E$7</f>
        <v>Total</v>
      </c>
      <c r="F483" s="268"/>
      <c r="G483" s="268" t="str">
        <f>$G$7</f>
        <v>FT</v>
      </c>
      <c r="H483" s="268" t="str">
        <f>$H$7</f>
        <v>PT</v>
      </c>
      <c r="I483" s="268" t="str">
        <f>$I$7</f>
        <v>SE</v>
      </c>
      <c r="J483" s="268" t="str">
        <f>$J$7</f>
        <v>Total</v>
      </c>
      <c r="K483" s="268"/>
      <c r="L483" s="268" t="str">
        <f>$L$7</f>
        <v>FT</v>
      </c>
      <c r="M483" s="268" t="str">
        <f>$M$7</f>
        <v>PT</v>
      </c>
      <c r="N483" s="268" t="str">
        <f>$N$7</f>
        <v>SE</v>
      </c>
      <c r="O483" s="268" t="str">
        <f>$O$7</f>
        <v>Total</v>
      </c>
    </row>
    <row r="484" spans="1:15" s="236" customFormat="1" x14ac:dyDescent="0.3">
      <c r="A484" s="258"/>
      <c r="B484" s="239"/>
      <c r="C484" s="239"/>
      <c r="D484" s="239"/>
      <c r="E484" s="239"/>
      <c r="F484" s="239"/>
      <c r="G484" s="239"/>
      <c r="H484" s="239"/>
      <c r="I484" s="239"/>
      <c r="J484" s="239"/>
      <c r="K484" s="239"/>
      <c r="L484" s="239"/>
      <c r="M484" s="239"/>
      <c r="N484" s="239"/>
      <c r="O484" s="239"/>
    </row>
    <row r="485" spans="1:15" s="236" customFormat="1" x14ac:dyDescent="0.3">
      <c r="A485" s="237" t="str">
        <f>name!E$4</f>
        <v>Managers, directors and senior officials</v>
      </c>
      <c r="B485" s="302">
        <v>45.48559694327934</v>
      </c>
      <c r="C485" s="302">
        <v>4.0325546189840855</v>
      </c>
      <c r="D485" s="302">
        <v>12.222322104914369</v>
      </c>
      <c r="E485" s="302">
        <f>SUM(B485:D485)</f>
        <v>61.740473667177795</v>
      </c>
      <c r="F485" s="303"/>
      <c r="G485" s="302">
        <v>63.161685269714695</v>
      </c>
      <c r="H485" s="302">
        <v>8.3861378896726304</v>
      </c>
      <c r="I485" s="302">
        <v>23.296711576466727</v>
      </c>
      <c r="J485" s="302">
        <f>SUM(G485:I485)</f>
        <v>94.84453473585404</v>
      </c>
      <c r="K485" s="303"/>
      <c r="L485" s="302">
        <v>74.700988935383734</v>
      </c>
      <c r="M485" s="302">
        <v>10.269283731237101</v>
      </c>
      <c r="N485" s="302">
        <v>26.786626535850992</v>
      </c>
      <c r="O485" s="302">
        <f>SUM(L485:N485)</f>
        <v>111.75689920247183</v>
      </c>
    </row>
    <row r="486" spans="1:15" s="236" customFormat="1" x14ac:dyDescent="0.3">
      <c r="A486" s="237" t="str">
        <f>name!E$5</f>
        <v>Professional occupations</v>
      </c>
      <c r="B486" s="302">
        <v>56.58233063005099</v>
      </c>
      <c r="C486" s="302">
        <v>2.8386743956486113</v>
      </c>
      <c r="D486" s="302">
        <v>6.5448431411073518</v>
      </c>
      <c r="E486" s="302">
        <f t="shared" ref="E486:E493" si="217">SUM(B486:D486)</f>
        <v>65.96584816680695</v>
      </c>
      <c r="F486" s="303"/>
      <c r="G486" s="302">
        <v>89.063933253235419</v>
      </c>
      <c r="H486" s="302">
        <v>5.3044941363141405</v>
      </c>
      <c r="I486" s="302">
        <v>10.279482825185148</v>
      </c>
      <c r="J486" s="302">
        <f t="shared" ref="J486:J488" si="218">SUM(G486:I486)</f>
        <v>104.64791021473471</v>
      </c>
      <c r="K486" s="303"/>
      <c r="L486" s="302">
        <v>124.40069730293565</v>
      </c>
      <c r="M486" s="302">
        <v>6.732700316575789</v>
      </c>
      <c r="N486" s="302">
        <v>9.1336421680275084</v>
      </c>
      <c r="O486" s="302">
        <f t="shared" ref="O486:O493" si="219">SUM(L486:N486)</f>
        <v>140.26703978753895</v>
      </c>
    </row>
    <row r="487" spans="1:15" s="236" customFormat="1" x14ac:dyDescent="0.3">
      <c r="A487" s="237" t="str">
        <f>name!E$6</f>
        <v>Associate professional occupations</v>
      </c>
      <c r="B487" s="302">
        <v>34.886982748010375</v>
      </c>
      <c r="C487" s="302">
        <v>3.6758854830491856</v>
      </c>
      <c r="D487" s="302">
        <v>3.0018156737989368</v>
      </c>
      <c r="E487" s="302">
        <f t="shared" si="217"/>
        <v>41.564683904858498</v>
      </c>
      <c r="F487" s="303"/>
      <c r="G487" s="302">
        <v>51.371840530490445</v>
      </c>
      <c r="H487" s="302">
        <v>5.7960082504301935</v>
      </c>
      <c r="I487" s="302">
        <v>4.3507437857622957</v>
      </c>
      <c r="J487" s="302">
        <f t="shared" si="218"/>
        <v>61.518592566682933</v>
      </c>
      <c r="K487" s="303"/>
      <c r="L487" s="302">
        <v>58.220490349157323</v>
      </c>
      <c r="M487" s="302">
        <v>6.1320692071436307</v>
      </c>
      <c r="N487" s="302">
        <v>4.6520799068271357</v>
      </c>
      <c r="O487" s="302">
        <f t="shared" si="219"/>
        <v>69.0046394631281</v>
      </c>
    </row>
    <row r="488" spans="1:15" s="236" customFormat="1" x14ac:dyDescent="0.3">
      <c r="A488" s="237" t="str">
        <f>name!E$7</f>
        <v>Administrative and secretarial occupations</v>
      </c>
      <c r="B488" s="302">
        <v>35.77845306367508</v>
      </c>
      <c r="C488" s="302">
        <v>22.508381636280987</v>
      </c>
      <c r="D488" s="302">
        <v>4.9270285427500236</v>
      </c>
      <c r="E488" s="302">
        <f t="shared" si="217"/>
        <v>63.21386324270609</v>
      </c>
      <c r="F488" s="303"/>
      <c r="G488" s="302">
        <v>41.83601405222764</v>
      </c>
      <c r="H488" s="302">
        <v>24.04618089518544</v>
      </c>
      <c r="I488" s="302">
        <v>8.4491221944070922</v>
      </c>
      <c r="J488" s="302">
        <f t="shared" si="218"/>
        <v>74.331317141820179</v>
      </c>
      <c r="K488" s="303"/>
      <c r="L488" s="302">
        <v>33.143463084589989</v>
      </c>
      <c r="M488" s="302">
        <v>27.674723935342403</v>
      </c>
      <c r="N488" s="302">
        <v>6.5273272975313859</v>
      </c>
      <c r="O488" s="302">
        <f t="shared" si="219"/>
        <v>67.345514317463781</v>
      </c>
    </row>
    <row r="489" spans="1:15" s="236" customFormat="1" x14ac:dyDescent="0.3">
      <c r="A489" s="237" t="str">
        <f>name!E$8</f>
        <v>Skilled trades occupations</v>
      </c>
      <c r="B489" s="302">
        <v>127.47447344764639</v>
      </c>
      <c r="C489" s="302">
        <v>7.8298066677463796</v>
      </c>
      <c r="D489" s="302">
        <v>181.17060513623045</v>
      </c>
      <c r="E489" s="302">
        <f t="shared" si="217"/>
        <v>316.47488525162322</v>
      </c>
      <c r="F489" s="303"/>
      <c r="G489" s="302">
        <v>125.80887862110086</v>
      </c>
      <c r="H489" s="302">
        <v>7.3909522516777448</v>
      </c>
      <c r="I489" s="302">
        <v>174.75115958965321</v>
      </c>
      <c r="J489" s="302">
        <f>SUM(G489:I489)</f>
        <v>307.95099046243183</v>
      </c>
      <c r="K489" s="303"/>
      <c r="L489" s="302">
        <v>116.28596032313595</v>
      </c>
      <c r="M489" s="302">
        <v>12.909511514057467</v>
      </c>
      <c r="N489" s="302">
        <v>201.70377875583276</v>
      </c>
      <c r="O489" s="302">
        <f t="shared" si="219"/>
        <v>330.89925059302618</v>
      </c>
    </row>
    <row r="490" spans="1:15" s="236" customFormat="1" x14ac:dyDescent="0.3">
      <c r="A490" s="237" t="str">
        <f>name!E$9</f>
        <v>Caring, leisure and other service occupations</v>
      </c>
      <c r="B490" s="302">
        <v>1.3995468583928892</v>
      </c>
      <c r="C490" s="302">
        <v>0.44686783373200678</v>
      </c>
      <c r="D490" s="302">
        <v>0.18159454004575484</v>
      </c>
      <c r="E490" s="302">
        <f t="shared" si="217"/>
        <v>2.0280092321706507</v>
      </c>
      <c r="F490" s="303"/>
      <c r="G490" s="302">
        <v>1.8560571986948453</v>
      </c>
      <c r="H490" s="302">
        <v>0.67604238240814818</v>
      </c>
      <c r="I490" s="302">
        <v>0.35837507257338941</v>
      </c>
      <c r="J490" s="302">
        <f t="shared" ref="J490:J493" si="220">SUM(G490:I490)</f>
        <v>2.8904746536763826</v>
      </c>
      <c r="K490" s="303"/>
      <c r="L490" s="302">
        <v>2.1316385665561075</v>
      </c>
      <c r="M490" s="302">
        <v>0.62849885818438034</v>
      </c>
      <c r="N490" s="302">
        <v>0.6795975914281015</v>
      </c>
      <c r="O490" s="302">
        <f t="shared" si="219"/>
        <v>3.4397350161685893</v>
      </c>
    </row>
    <row r="491" spans="1:15" s="236" customFormat="1" x14ac:dyDescent="0.3">
      <c r="A491" s="237" t="str">
        <f>name!E$10</f>
        <v>Sales and customer service occupations</v>
      </c>
      <c r="B491" s="302">
        <v>8.0114377766525866</v>
      </c>
      <c r="C491" s="302">
        <v>3.7015966404711227</v>
      </c>
      <c r="D491" s="302">
        <v>1.177825519482697</v>
      </c>
      <c r="E491" s="302">
        <f t="shared" si="217"/>
        <v>12.890859936606406</v>
      </c>
      <c r="F491" s="303"/>
      <c r="G491" s="302">
        <v>9.4349523381727636</v>
      </c>
      <c r="H491" s="302">
        <v>4.3792416269623011</v>
      </c>
      <c r="I491" s="302">
        <v>1.5572626559756395</v>
      </c>
      <c r="J491" s="302">
        <f t="shared" si="220"/>
        <v>15.371456621110704</v>
      </c>
      <c r="K491" s="303"/>
      <c r="L491" s="302">
        <v>11.630073141324964</v>
      </c>
      <c r="M491" s="302">
        <v>5.492014248293124</v>
      </c>
      <c r="N491" s="302">
        <v>1.9219171826419876</v>
      </c>
      <c r="O491" s="302">
        <f t="shared" si="219"/>
        <v>19.044004572260075</v>
      </c>
    </row>
    <row r="492" spans="1:15" s="236" customFormat="1" x14ac:dyDescent="0.3">
      <c r="A492" s="237" t="str">
        <f>name!E$11</f>
        <v>Process, plant and machine operatives</v>
      </c>
      <c r="B492" s="302">
        <v>39.758977333211867</v>
      </c>
      <c r="C492" s="302">
        <v>1.6172507720952436</v>
      </c>
      <c r="D492" s="302">
        <v>11.067838339274305</v>
      </c>
      <c r="E492" s="302">
        <f t="shared" si="217"/>
        <v>52.444066444581416</v>
      </c>
      <c r="F492" s="303"/>
      <c r="G492" s="302">
        <v>38.224839385391341</v>
      </c>
      <c r="H492" s="302">
        <v>2.7644226384616548</v>
      </c>
      <c r="I492" s="302">
        <v>14.762215299757056</v>
      </c>
      <c r="J492" s="302">
        <f t="shared" si="220"/>
        <v>55.751477323610047</v>
      </c>
      <c r="K492" s="303"/>
      <c r="L492" s="302">
        <v>44.997091130412457</v>
      </c>
      <c r="M492" s="302">
        <v>3.4972370169621909</v>
      </c>
      <c r="N492" s="302">
        <v>22.76376821920082</v>
      </c>
      <c r="O492" s="302">
        <f t="shared" si="219"/>
        <v>71.258096366575472</v>
      </c>
    </row>
    <row r="493" spans="1:15" s="236" customFormat="1" x14ac:dyDescent="0.3">
      <c r="A493" s="237" t="str">
        <f>name!E$12</f>
        <v>Elementary occupations</v>
      </c>
      <c r="B493" s="302">
        <v>19.626201199423654</v>
      </c>
      <c r="C493" s="302">
        <v>6.6689819525472593</v>
      </c>
      <c r="D493" s="302">
        <v>12.79012699599455</v>
      </c>
      <c r="E493" s="302">
        <f t="shared" si="217"/>
        <v>39.085310147965465</v>
      </c>
      <c r="F493" s="303"/>
      <c r="G493" s="302">
        <v>18.303799348953206</v>
      </c>
      <c r="H493" s="302">
        <v>6.8765199289686336</v>
      </c>
      <c r="I493" s="302">
        <v>14.457926991404273</v>
      </c>
      <c r="J493" s="302">
        <f t="shared" si="220"/>
        <v>39.63824626932611</v>
      </c>
      <c r="K493" s="303"/>
      <c r="L493" s="302">
        <v>15.176597168286222</v>
      </c>
      <c r="M493" s="302">
        <v>5.2959611717491182</v>
      </c>
      <c r="N493" s="302">
        <v>20.845262324281716</v>
      </c>
      <c r="O493" s="302">
        <f t="shared" si="219"/>
        <v>41.317820664317054</v>
      </c>
    </row>
    <row r="494" spans="1:15" s="236" customFormat="1" x14ac:dyDescent="0.3">
      <c r="A494" s="237"/>
      <c r="B494" s="302"/>
      <c r="C494" s="302"/>
      <c r="D494" s="302"/>
      <c r="E494" s="302"/>
      <c r="F494" s="303"/>
      <c r="G494" s="302"/>
      <c r="H494" s="302"/>
      <c r="I494" s="302"/>
      <c r="J494" s="302"/>
      <c r="K494" s="303"/>
      <c r="L494" s="302"/>
      <c r="M494" s="302"/>
      <c r="N494" s="302"/>
      <c r="O494" s="302"/>
    </row>
    <row r="495" spans="1:15" s="236" customFormat="1" x14ac:dyDescent="0.3">
      <c r="A495" s="244" t="s">
        <v>32</v>
      </c>
      <c r="B495" s="311">
        <f>SUM(B485:B493)</f>
        <v>369.00400000034318</v>
      </c>
      <c r="C495" s="311">
        <f t="shared" ref="C495:E495" si="221">SUM(C485:C493)</f>
        <v>53.320000000554884</v>
      </c>
      <c r="D495" s="311">
        <f t="shared" si="221"/>
        <v>233.08399999359844</v>
      </c>
      <c r="E495" s="311">
        <f t="shared" si="221"/>
        <v>655.40799999449655</v>
      </c>
      <c r="F495" s="311"/>
      <c r="G495" s="311">
        <f t="shared" ref="G495:J495" si="222">SUM(G485:G493)</f>
        <v>439.06199999798122</v>
      </c>
      <c r="H495" s="311">
        <f t="shared" si="222"/>
        <v>65.620000000080893</v>
      </c>
      <c r="I495" s="311">
        <f t="shared" si="222"/>
        <v>252.26299999118481</v>
      </c>
      <c r="J495" s="311">
        <f t="shared" si="222"/>
        <v>756.94499998924709</v>
      </c>
      <c r="K495" s="311"/>
      <c r="L495" s="311">
        <f t="shared" ref="L495:O495" si="223">SUM(L485:L493)</f>
        <v>480.68700000178234</v>
      </c>
      <c r="M495" s="311">
        <f t="shared" si="223"/>
        <v>78.631999999545201</v>
      </c>
      <c r="N495" s="311">
        <f t="shared" si="223"/>
        <v>295.01399998162236</v>
      </c>
      <c r="O495" s="311">
        <f t="shared" si="223"/>
        <v>854.33299998295001</v>
      </c>
    </row>
    <row r="496" spans="1:15" s="236" customFormat="1" x14ac:dyDescent="0.3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40"/>
    </row>
    <row r="497" spans="1:15" s="236" customFormat="1" x14ac:dyDescent="0.3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40"/>
      <c r="O497" s="251" t="s">
        <v>35</v>
      </c>
    </row>
    <row r="498" spans="1:15" s="236" customFormat="1" x14ac:dyDescent="0.3">
      <c r="A498" s="242"/>
      <c r="B498" s="242"/>
      <c r="C498" s="242"/>
      <c r="D498" s="242"/>
      <c r="E498" s="242"/>
      <c r="F498" s="242"/>
      <c r="G498" s="242"/>
      <c r="H498" s="242"/>
      <c r="I498" s="242"/>
      <c r="J498" s="242"/>
      <c r="K498" s="242"/>
      <c r="L498" s="242"/>
      <c r="M498" s="242"/>
      <c r="N498" s="242"/>
      <c r="O498" s="242"/>
    </row>
    <row r="499" spans="1:15" s="236" customFormat="1" x14ac:dyDescent="0.3">
      <c r="A499" s="241" t="str">
        <f>name!A32</f>
        <v>Civil engineering</v>
      </c>
      <c r="B499" s="375">
        <f>$B$6</f>
        <v>2015</v>
      </c>
      <c r="C499" s="375"/>
      <c r="D499" s="375"/>
      <c r="E499" s="375"/>
      <c r="F499" s="263"/>
      <c r="G499" s="375">
        <f>$G$6</f>
        <v>2020</v>
      </c>
      <c r="H499" s="375"/>
      <c r="I499" s="375"/>
      <c r="J499" s="375"/>
      <c r="K499" s="263"/>
      <c r="L499" s="375">
        <f>$L$6</f>
        <v>2035</v>
      </c>
      <c r="M499" s="375"/>
      <c r="N499" s="375"/>
      <c r="O499" s="375"/>
    </row>
    <row r="500" spans="1:15" s="236" customFormat="1" x14ac:dyDescent="0.3">
      <c r="A500" s="254"/>
      <c r="B500" s="268" t="str">
        <f>$B$7</f>
        <v>FT</v>
      </c>
      <c r="C500" s="268" t="str">
        <f>$C$7</f>
        <v>PT</v>
      </c>
      <c r="D500" s="268" t="str">
        <f>$D$7</f>
        <v>SE</v>
      </c>
      <c r="E500" s="268" t="str">
        <f>$E$7</f>
        <v>Total</v>
      </c>
      <c r="F500" s="268"/>
      <c r="G500" s="268" t="str">
        <f>$G$7</f>
        <v>FT</v>
      </c>
      <c r="H500" s="268" t="str">
        <f>$H$7</f>
        <v>PT</v>
      </c>
      <c r="I500" s="268" t="str">
        <f>$I$7</f>
        <v>SE</v>
      </c>
      <c r="J500" s="268" t="str">
        <f>$J$7</f>
        <v>Total</v>
      </c>
      <c r="K500" s="268"/>
      <c r="L500" s="268" t="str">
        <f>$L$7</f>
        <v>FT</v>
      </c>
      <c r="M500" s="268" t="str">
        <f>$M$7</f>
        <v>PT</v>
      </c>
      <c r="N500" s="268" t="str">
        <f>$N$7</f>
        <v>SE</v>
      </c>
      <c r="O500" s="268" t="str">
        <f>$O$7</f>
        <v>Total</v>
      </c>
    </row>
    <row r="501" spans="1:15" s="236" customFormat="1" x14ac:dyDescent="0.3">
      <c r="A501" s="258"/>
      <c r="B501" s="239"/>
      <c r="C501" s="239"/>
      <c r="D501" s="239"/>
      <c r="E501" s="239"/>
      <c r="F501" s="239"/>
      <c r="G501" s="239"/>
      <c r="H501" s="239"/>
      <c r="I501" s="239"/>
      <c r="J501" s="239"/>
      <c r="K501" s="239"/>
      <c r="L501" s="239"/>
      <c r="M501" s="239"/>
      <c r="N501" s="239"/>
      <c r="O501" s="239"/>
    </row>
    <row r="502" spans="1:15" s="236" customFormat="1" x14ac:dyDescent="0.3">
      <c r="A502" s="237" t="str">
        <f>name!E$4</f>
        <v>Managers, directors and senior officials</v>
      </c>
      <c r="B502" s="302">
        <v>19.622355867153491</v>
      </c>
      <c r="C502" s="302">
        <v>1.1747592280728543</v>
      </c>
      <c r="D502" s="302">
        <v>5.6452723126216569</v>
      </c>
      <c r="E502" s="302">
        <f>SUM(B502:D502)</f>
        <v>26.442387407848003</v>
      </c>
      <c r="F502" s="303"/>
      <c r="G502" s="302">
        <v>25.425183101546104</v>
      </c>
      <c r="H502" s="302">
        <v>2.467092701317473</v>
      </c>
      <c r="I502" s="302">
        <v>9.1055849045587713</v>
      </c>
      <c r="J502" s="302">
        <f>SUM(G502:I502)</f>
        <v>36.997860707422348</v>
      </c>
      <c r="K502" s="303"/>
      <c r="L502" s="302">
        <v>28.775831185017644</v>
      </c>
      <c r="M502" s="302">
        <v>2.8753394623838848</v>
      </c>
      <c r="N502" s="302">
        <v>10.397588396863499</v>
      </c>
      <c r="O502" s="302">
        <f>SUM(L502:N502)</f>
        <v>42.048759044265026</v>
      </c>
    </row>
    <row r="503" spans="1:15" s="236" customFormat="1" x14ac:dyDescent="0.3">
      <c r="A503" s="237" t="str">
        <f>name!E$5</f>
        <v>Professional occupations</v>
      </c>
      <c r="B503" s="302">
        <v>24.567209442146247</v>
      </c>
      <c r="C503" s="302">
        <v>0.80204534647323034</v>
      </c>
      <c r="D503" s="302">
        <v>3.1473113561267381</v>
      </c>
      <c r="E503" s="302">
        <f t="shared" ref="E503:E510" si="224">SUM(B503:D503)</f>
        <v>28.516566144746218</v>
      </c>
      <c r="F503" s="303"/>
      <c r="G503" s="302">
        <v>34.729054726147794</v>
      </c>
      <c r="H503" s="302">
        <v>1.4860857984135101</v>
      </c>
      <c r="I503" s="302">
        <v>4.3352901643358495</v>
      </c>
      <c r="J503" s="302">
        <f t="shared" ref="J503:J505" si="225">SUM(G503:I503)</f>
        <v>40.550430688897158</v>
      </c>
      <c r="K503" s="303"/>
      <c r="L503" s="302">
        <v>47.045914714720524</v>
      </c>
      <c r="M503" s="302">
        <v>1.7948691499770608</v>
      </c>
      <c r="N503" s="302">
        <v>3.6422220666166143</v>
      </c>
      <c r="O503" s="302">
        <f t="shared" ref="O503:O510" si="226">SUM(L503:N503)</f>
        <v>52.483005931314196</v>
      </c>
    </row>
    <row r="504" spans="1:15" s="236" customFormat="1" x14ac:dyDescent="0.3">
      <c r="A504" s="237" t="str">
        <f>name!E$6</f>
        <v>Associate professional occupations</v>
      </c>
      <c r="B504" s="302">
        <v>14.492943613156864</v>
      </c>
      <c r="C504" s="302">
        <v>1.0692829487496032</v>
      </c>
      <c r="D504" s="302">
        <v>1.3128272582998199</v>
      </c>
      <c r="E504" s="302">
        <f t="shared" si="224"/>
        <v>16.875053820206286</v>
      </c>
      <c r="F504" s="303"/>
      <c r="G504" s="302">
        <v>19.63286218910957</v>
      </c>
      <c r="H504" s="302">
        <v>1.7309317046788086</v>
      </c>
      <c r="I504" s="302">
        <v>1.6082421976758194</v>
      </c>
      <c r="J504" s="302">
        <f t="shared" si="225"/>
        <v>22.972036091464197</v>
      </c>
      <c r="K504" s="303"/>
      <c r="L504" s="302">
        <v>21.170951757403962</v>
      </c>
      <c r="M504" s="302">
        <v>1.7346182178582803</v>
      </c>
      <c r="N504" s="302">
        <v>1.6294512002013852</v>
      </c>
      <c r="O504" s="302">
        <f t="shared" si="226"/>
        <v>24.535021175463626</v>
      </c>
    </row>
    <row r="505" spans="1:15" s="236" customFormat="1" x14ac:dyDescent="0.3">
      <c r="A505" s="237" t="str">
        <f>name!E$7</f>
        <v>Administrative and secretarial occupations</v>
      </c>
      <c r="B505" s="302">
        <v>9.5021403932081778</v>
      </c>
      <c r="C505" s="302">
        <v>6.2073371735350094</v>
      </c>
      <c r="D505" s="302">
        <v>1.2500479614320279</v>
      </c>
      <c r="E505" s="302">
        <f t="shared" si="224"/>
        <v>16.959525528175217</v>
      </c>
      <c r="F505" s="303"/>
      <c r="G505" s="302">
        <v>10.457580984794637</v>
      </c>
      <c r="H505" s="302">
        <v>6.375427102459259</v>
      </c>
      <c r="I505" s="302">
        <v>1.0071330431246328</v>
      </c>
      <c r="J505" s="302">
        <f t="shared" si="225"/>
        <v>17.840141130378527</v>
      </c>
      <c r="K505" s="303"/>
      <c r="L505" s="302">
        <v>9.1665947183274454</v>
      </c>
      <c r="M505" s="302">
        <v>6.9355302984896694</v>
      </c>
      <c r="N505" s="302">
        <v>1.2595692628427568</v>
      </c>
      <c r="O505" s="302">
        <f t="shared" si="226"/>
        <v>17.361694279659872</v>
      </c>
    </row>
    <row r="506" spans="1:15" s="236" customFormat="1" x14ac:dyDescent="0.3">
      <c r="A506" s="237" t="str">
        <f>name!E$8</f>
        <v>Skilled trades occupations</v>
      </c>
      <c r="B506" s="302">
        <v>64.163787747339086</v>
      </c>
      <c r="C506" s="302">
        <v>2.3305655768172153</v>
      </c>
      <c r="D506" s="302">
        <v>93.766121334459683</v>
      </c>
      <c r="E506" s="302">
        <f t="shared" si="224"/>
        <v>160.26047465861598</v>
      </c>
      <c r="F506" s="303"/>
      <c r="G506" s="302">
        <v>58.005173199352889</v>
      </c>
      <c r="H506" s="302">
        <v>2.4125067017850248</v>
      </c>
      <c r="I506" s="302">
        <v>82.167387279616705</v>
      </c>
      <c r="J506" s="302">
        <f>SUM(G506:I506)</f>
        <v>142.58506718075461</v>
      </c>
      <c r="K506" s="303"/>
      <c r="L506" s="302">
        <v>51.326784992420698</v>
      </c>
      <c r="M506" s="302">
        <v>3.8875316780720102</v>
      </c>
      <c r="N506" s="302">
        <v>91.988238717781513</v>
      </c>
      <c r="O506" s="302">
        <f t="shared" si="226"/>
        <v>147.20255538827422</v>
      </c>
    </row>
    <row r="507" spans="1:15" s="236" customFormat="1" x14ac:dyDescent="0.3">
      <c r="A507" s="237" t="str">
        <f>name!E$9</f>
        <v>Caring, leisure and other service occupations</v>
      </c>
      <c r="B507" s="302">
        <v>0.57221081862773215</v>
      </c>
      <c r="C507" s="302">
        <v>0.13445437134623062</v>
      </c>
      <c r="D507" s="302">
        <v>5.8416073646373891E-2</v>
      </c>
      <c r="E507" s="302">
        <f t="shared" si="224"/>
        <v>0.76508126362033668</v>
      </c>
      <c r="F507" s="303"/>
      <c r="G507" s="302">
        <v>0.69518099986089033</v>
      </c>
      <c r="H507" s="302">
        <v>0.2238396006698562</v>
      </c>
      <c r="I507" s="302">
        <v>6.2289060437434263E-2</v>
      </c>
      <c r="J507" s="302">
        <f t="shared" ref="J507:J510" si="227">SUM(G507:I507)</f>
        <v>0.98130966096818084</v>
      </c>
      <c r="K507" s="303"/>
      <c r="L507" s="302">
        <v>0.79507576620623344</v>
      </c>
      <c r="M507" s="302">
        <v>0.21561305864746014</v>
      </c>
      <c r="N507" s="302">
        <v>0.14020994433595374</v>
      </c>
      <c r="O507" s="302">
        <f t="shared" si="226"/>
        <v>1.1508987691896473</v>
      </c>
    </row>
    <row r="508" spans="1:15" s="236" customFormat="1" x14ac:dyDescent="0.3">
      <c r="A508" s="237" t="str">
        <f>name!E$10</f>
        <v>Sales and customer service occupations</v>
      </c>
      <c r="B508" s="302">
        <v>2.8453547682412967</v>
      </c>
      <c r="C508" s="302">
        <v>1.0751127990825922</v>
      </c>
      <c r="D508" s="302">
        <v>0.52225581175630442</v>
      </c>
      <c r="E508" s="302">
        <f t="shared" si="224"/>
        <v>4.442723379080193</v>
      </c>
      <c r="F508" s="303"/>
      <c r="G508" s="302">
        <v>3.1161922918792695</v>
      </c>
      <c r="H508" s="302">
        <v>1.3769227570339804</v>
      </c>
      <c r="I508" s="302">
        <v>0.56870979387582421</v>
      </c>
      <c r="J508" s="302">
        <f t="shared" si="227"/>
        <v>5.0618248427890737</v>
      </c>
      <c r="K508" s="303"/>
      <c r="L508" s="302">
        <v>3.8349098199758811</v>
      </c>
      <c r="M508" s="302">
        <v>1.6567482408039265</v>
      </c>
      <c r="N508" s="302">
        <v>0.67258569184949279</v>
      </c>
      <c r="O508" s="302">
        <f t="shared" si="226"/>
        <v>6.1642437526293001</v>
      </c>
    </row>
    <row r="509" spans="1:15" s="236" customFormat="1" x14ac:dyDescent="0.3">
      <c r="A509" s="237" t="str">
        <f>name!E$11</f>
        <v>Process, plant and machine operatives</v>
      </c>
      <c r="B509" s="302">
        <v>19.960616034418738</v>
      </c>
      <c r="C509" s="302">
        <v>0.49492026378034276</v>
      </c>
      <c r="D509" s="302">
        <v>5.7147046488242088</v>
      </c>
      <c r="E509" s="302">
        <f t="shared" si="224"/>
        <v>26.170240947023292</v>
      </c>
      <c r="F509" s="303"/>
      <c r="G509" s="302">
        <v>17.936458682767711</v>
      </c>
      <c r="H509" s="302">
        <v>0.91561973199159996</v>
      </c>
      <c r="I509" s="302">
        <v>7.1228049459522307</v>
      </c>
      <c r="J509" s="302">
        <f t="shared" si="227"/>
        <v>25.974883360711544</v>
      </c>
      <c r="K509" s="303"/>
      <c r="L509" s="302">
        <v>20.83690849839687</v>
      </c>
      <c r="M509" s="302">
        <v>1.0917990307633103</v>
      </c>
      <c r="N509" s="302">
        <v>10.824519815788383</v>
      </c>
      <c r="O509" s="302">
        <f t="shared" si="226"/>
        <v>32.753227344948563</v>
      </c>
    </row>
    <row r="510" spans="1:15" s="236" customFormat="1" x14ac:dyDescent="0.3">
      <c r="A510" s="237" t="str">
        <f>name!E$12</f>
        <v>Elementary occupations</v>
      </c>
      <c r="B510" s="302">
        <v>9.6033813160737012</v>
      </c>
      <c r="C510" s="302">
        <v>1.8535222922911385</v>
      </c>
      <c r="D510" s="302">
        <v>6.3100432393544308</v>
      </c>
      <c r="E510" s="302">
        <f t="shared" si="224"/>
        <v>17.766946847719272</v>
      </c>
      <c r="F510" s="303"/>
      <c r="G510" s="302">
        <v>8.2943138241375483</v>
      </c>
      <c r="H510" s="302">
        <v>2.2275739017232348</v>
      </c>
      <c r="I510" s="302">
        <v>6.5555586066058016</v>
      </c>
      <c r="J510" s="302">
        <f t="shared" si="227"/>
        <v>17.077446332466586</v>
      </c>
      <c r="K510" s="303"/>
      <c r="L510" s="302">
        <v>6.7500285485745355</v>
      </c>
      <c r="M510" s="302">
        <v>1.6189508629618126</v>
      </c>
      <c r="N510" s="302">
        <v>9.6996148955005168</v>
      </c>
      <c r="O510" s="302">
        <f t="shared" si="226"/>
        <v>18.068594307036864</v>
      </c>
    </row>
    <row r="511" spans="1:15" s="236" customFormat="1" x14ac:dyDescent="0.3">
      <c r="A511" s="237"/>
      <c r="B511" s="302"/>
      <c r="C511" s="302"/>
      <c r="D511" s="302"/>
      <c r="E511" s="302"/>
      <c r="F511" s="303"/>
      <c r="G511" s="302"/>
      <c r="H511" s="302"/>
      <c r="I511" s="302"/>
      <c r="J511" s="302"/>
      <c r="K511" s="303"/>
      <c r="L511" s="302"/>
      <c r="M511" s="302"/>
      <c r="N511" s="302"/>
      <c r="O511" s="302"/>
    </row>
    <row r="512" spans="1:15" s="236" customFormat="1" x14ac:dyDescent="0.3">
      <c r="A512" s="244" t="s">
        <v>32</v>
      </c>
      <c r="B512" s="311">
        <f>SUM(B502:B510)</f>
        <v>165.33000000036532</v>
      </c>
      <c r="C512" s="311">
        <f t="shared" ref="C512:E512" si="228">SUM(C502:C510)</f>
        <v>15.142000000148217</v>
      </c>
      <c r="D512" s="311">
        <f t="shared" si="228"/>
        <v>117.72699999652124</v>
      </c>
      <c r="E512" s="311">
        <f t="shared" si="228"/>
        <v>298.19899999703483</v>
      </c>
      <c r="F512" s="311"/>
      <c r="G512" s="311">
        <f t="shared" ref="G512:J512" si="229">SUM(G502:G510)</f>
        <v>178.29199999959641</v>
      </c>
      <c r="H512" s="311">
        <f t="shared" si="229"/>
        <v>19.21600000007275</v>
      </c>
      <c r="I512" s="311">
        <f t="shared" si="229"/>
        <v>112.53299999618307</v>
      </c>
      <c r="J512" s="311">
        <f t="shared" si="229"/>
        <v>310.04099999585219</v>
      </c>
      <c r="K512" s="311"/>
      <c r="L512" s="311">
        <f t="shared" ref="L512:O512" si="230">SUM(L502:L510)</f>
        <v>189.70300000104379</v>
      </c>
      <c r="M512" s="311">
        <f t="shared" si="230"/>
        <v>21.810999999957414</v>
      </c>
      <c r="N512" s="311">
        <f t="shared" si="230"/>
        <v>130.25399999178012</v>
      </c>
      <c r="O512" s="311">
        <f t="shared" si="230"/>
        <v>341.76799999278137</v>
      </c>
    </row>
    <row r="513" spans="1:15" s="236" customFormat="1" x14ac:dyDescent="0.3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40"/>
    </row>
    <row r="514" spans="1:15" s="236" customFormat="1" x14ac:dyDescent="0.3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40"/>
      <c r="O514" s="251" t="s">
        <v>35</v>
      </c>
    </row>
    <row r="515" spans="1:15" s="236" customFormat="1" x14ac:dyDescent="0.3">
      <c r="A515" s="242"/>
      <c r="B515" s="242"/>
      <c r="C515" s="242"/>
      <c r="D515" s="242"/>
      <c r="E515" s="242"/>
      <c r="F515" s="242"/>
      <c r="G515" s="242"/>
      <c r="H515" s="242"/>
      <c r="I515" s="242"/>
      <c r="J515" s="242"/>
      <c r="K515" s="242"/>
      <c r="L515" s="242"/>
      <c r="M515" s="242"/>
      <c r="N515" s="242"/>
      <c r="O515" s="242"/>
    </row>
    <row r="516" spans="1:15" s="236" customFormat="1" x14ac:dyDescent="0.3">
      <c r="A516" s="241" t="str">
        <f>name!A33</f>
        <v>Specialised construction</v>
      </c>
      <c r="B516" s="375">
        <f>$B$6</f>
        <v>2015</v>
      </c>
      <c r="C516" s="375"/>
      <c r="D516" s="375"/>
      <c r="E516" s="375"/>
      <c r="F516" s="263"/>
      <c r="G516" s="375">
        <f>$G$6</f>
        <v>2020</v>
      </c>
      <c r="H516" s="375"/>
      <c r="I516" s="375"/>
      <c r="J516" s="375"/>
      <c r="K516" s="263"/>
      <c r="L516" s="375">
        <f>$L$6</f>
        <v>2035</v>
      </c>
      <c r="M516" s="375"/>
      <c r="N516" s="375"/>
      <c r="O516" s="375"/>
    </row>
    <row r="517" spans="1:15" s="236" customFormat="1" x14ac:dyDescent="0.3">
      <c r="A517" s="254"/>
      <c r="B517" s="268" t="str">
        <f>$B$7</f>
        <v>FT</v>
      </c>
      <c r="C517" s="268" t="str">
        <f>$C$7</f>
        <v>PT</v>
      </c>
      <c r="D517" s="268" t="str">
        <f>$D$7</f>
        <v>SE</v>
      </c>
      <c r="E517" s="268" t="str">
        <f>$E$7</f>
        <v>Total</v>
      </c>
      <c r="F517" s="268"/>
      <c r="G517" s="268" t="str">
        <f>$G$7</f>
        <v>FT</v>
      </c>
      <c r="H517" s="268" t="str">
        <f>$H$7</f>
        <v>PT</v>
      </c>
      <c r="I517" s="268" t="str">
        <f>$I$7</f>
        <v>SE</v>
      </c>
      <c r="J517" s="268" t="str">
        <f>$J$7</f>
        <v>Total</v>
      </c>
      <c r="K517" s="268"/>
      <c r="L517" s="268" t="str">
        <f>$L$7</f>
        <v>FT</v>
      </c>
      <c r="M517" s="268" t="str">
        <f>$M$7</f>
        <v>PT</v>
      </c>
      <c r="N517" s="268" t="str">
        <f>$N$7</f>
        <v>SE</v>
      </c>
      <c r="O517" s="268" t="str">
        <f>$O$7</f>
        <v>Total</v>
      </c>
    </row>
    <row r="518" spans="1:15" s="236" customFormat="1" x14ac:dyDescent="0.3">
      <c r="A518" s="258"/>
      <c r="B518" s="239"/>
      <c r="C518" s="239"/>
      <c r="D518" s="239"/>
      <c r="E518" s="239"/>
      <c r="F518" s="239"/>
      <c r="G518" s="239"/>
      <c r="H518" s="239"/>
      <c r="I518" s="239"/>
      <c r="J518" s="239"/>
      <c r="K518" s="239"/>
      <c r="L518" s="239"/>
      <c r="M518" s="239"/>
      <c r="N518" s="239"/>
      <c r="O518" s="239"/>
    </row>
    <row r="519" spans="1:15" s="236" customFormat="1" x14ac:dyDescent="0.3">
      <c r="A519" s="237" t="str">
        <f>name!E$4</f>
        <v>Managers, directors and senior officials</v>
      </c>
      <c r="B519" s="302">
        <v>77.267737987457807</v>
      </c>
      <c r="C519" s="302">
        <v>6.9182518874485659</v>
      </c>
      <c r="D519" s="302">
        <v>22.1791861669005</v>
      </c>
      <c r="E519" s="302">
        <f>SUM(B519:D519)</f>
        <v>106.36517604180688</v>
      </c>
      <c r="F519" s="303"/>
      <c r="G519" s="302">
        <v>96.667142313304211</v>
      </c>
      <c r="H519" s="302">
        <v>15.469512603652158</v>
      </c>
      <c r="I519" s="302">
        <v>37.015918839920793</v>
      </c>
      <c r="J519" s="302">
        <f>SUM(G519:I519)</f>
        <v>149.15257375687716</v>
      </c>
      <c r="K519" s="303"/>
      <c r="L519" s="302">
        <v>110.50076051099106</v>
      </c>
      <c r="M519" s="302">
        <v>18.563610455256683</v>
      </c>
      <c r="N519" s="302">
        <v>41.601260816859472</v>
      </c>
      <c r="O519" s="302">
        <f>SUM(L519:N519)</f>
        <v>170.66563178310722</v>
      </c>
    </row>
    <row r="520" spans="1:15" s="236" customFormat="1" x14ac:dyDescent="0.3">
      <c r="A520" s="237" t="str">
        <f>name!E$5</f>
        <v>Professional occupations</v>
      </c>
      <c r="B520" s="302">
        <v>97.171895568754238</v>
      </c>
      <c r="C520" s="302">
        <v>4.6835173144639279</v>
      </c>
      <c r="D520" s="302">
        <v>12.365055726233354</v>
      </c>
      <c r="E520" s="302">
        <f t="shared" ref="E520:E527" si="231">SUM(B520:D520)</f>
        <v>114.22046860945152</v>
      </c>
      <c r="F520" s="303"/>
      <c r="G520" s="302">
        <v>135.79324261407331</v>
      </c>
      <c r="H520" s="302">
        <v>9.4362967935452744</v>
      </c>
      <c r="I520" s="302">
        <v>18.006383802233561</v>
      </c>
      <c r="J520" s="302">
        <f t="shared" ref="J520:J522" si="232">SUM(G520:I520)</f>
        <v>163.23592320985213</v>
      </c>
      <c r="K520" s="303"/>
      <c r="L520" s="302">
        <v>184.66074439650674</v>
      </c>
      <c r="M520" s="302">
        <v>11.688809232442544</v>
      </c>
      <c r="N520" s="302">
        <v>15.077740411124575</v>
      </c>
      <c r="O520" s="302">
        <f t="shared" ref="O520:O527" si="233">SUM(L520:N520)</f>
        <v>211.42729404007386</v>
      </c>
    </row>
    <row r="521" spans="1:15" s="236" customFormat="1" x14ac:dyDescent="0.3">
      <c r="A521" s="237" t="str">
        <f>name!E$6</f>
        <v>Associate professional occupations</v>
      </c>
      <c r="B521" s="302">
        <v>57.414703366348185</v>
      </c>
      <c r="C521" s="302">
        <v>6.3120090407818212</v>
      </c>
      <c r="D521" s="302">
        <v>5.2116233241897518</v>
      </c>
      <c r="E521" s="302">
        <f t="shared" si="231"/>
        <v>68.938335731319768</v>
      </c>
      <c r="F521" s="303"/>
      <c r="G521" s="302">
        <v>76.005573375897185</v>
      </c>
      <c r="H521" s="302">
        <v>10.755463884630393</v>
      </c>
      <c r="I521" s="302">
        <v>6.5975827820373176</v>
      </c>
      <c r="J521" s="302">
        <f t="shared" si="232"/>
        <v>93.358620042564894</v>
      </c>
      <c r="K521" s="303"/>
      <c r="L521" s="302">
        <v>82.805796669019088</v>
      </c>
      <c r="M521" s="302">
        <v>11.34804304926327</v>
      </c>
      <c r="N521" s="302">
        <v>6.5815808647505634</v>
      </c>
      <c r="O521" s="302">
        <f t="shared" si="233"/>
        <v>100.73542058303292</v>
      </c>
    </row>
    <row r="522" spans="1:15" s="236" customFormat="1" x14ac:dyDescent="0.3">
      <c r="A522" s="237" t="str">
        <f>name!E$7</f>
        <v>Administrative and secretarial occupations</v>
      </c>
      <c r="B522" s="302">
        <v>44.032713124237539</v>
      </c>
      <c r="C522" s="302">
        <v>39.557917181204552</v>
      </c>
      <c r="D522" s="302">
        <v>6.5673275726053619</v>
      </c>
      <c r="E522" s="302">
        <f t="shared" si="231"/>
        <v>90.157957878047455</v>
      </c>
      <c r="F522" s="303"/>
      <c r="G522" s="302">
        <v>47.852443934114611</v>
      </c>
      <c r="H522" s="302">
        <v>46.855573664354011</v>
      </c>
      <c r="I522" s="302">
        <v>5.9861988268362483</v>
      </c>
      <c r="J522" s="302">
        <f t="shared" si="232"/>
        <v>100.69421642530486</v>
      </c>
      <c r="K522" s="303"/>
      <c r="L522" s="302">
        <v>41.041491704053179</v>
      </c>
      <c r="M522" s="302">
        <v>52.551169180264345</v>
      </c>
      <c r="N522" s="302">
        <v>5.6899810037994971</v>
      </c>
      <c r="O522" s="302">
        <f t="shared" si="233"/>
        <v>99.282641888117027</v>
      </c>
    </row>
    <row r="523" spans="1:15" s="236" customFormat="1" x14ac:dyDescent="0.3">
      <c r="A523" s="237" t="str">
        <f>name!E$8</f>
        <v>Skilled trades occupations</v>
      </c>
      <c r="B523" s="302">
        <v>241.82662212088925</v>
      </c>
      <c r="C523" s="302">
        <v>10.96550795629893</v>
      </c>
      <c r="D523" s="302">
        <v>339.90429365361587</v>
      </c>
      <c r="E523" s="302">
        <f t="shared" si="231"/>
        <v>592.6964237308041</v>
      </c>
      <c r="F523" s="303"/>
      <c r="G523" s="302">
        <v>213.47204203679922</v>
      </c>
      <c r="H523" s="302">
        <v>12.235165196881615</v>
      </c>
      <c r="I523" s="302">
        <v>319.59815140616314</v>
      </c>
      <c r="J523" s="302">
        <f>SUM(G523:I523)</f>
        <v>545.30535863984392</v>
      </c>
      <c r="K523" s="303"/>
      <c r="L523" s="302">
        <v>188.63110180088771</v>
      </c>
      <c r="M523" s="302">
        <v>20.804649887940432</v>
      </c>
      <c r="N523" s="302">
        <v>358.60108345776575</v>
      </c>
      <c r="O523" s="302">
        <f t="shared" si="233"/>
        <v>568.03683514659383</v>
      </c>
    </row>
    <row r="524" spans="1:15" s="236" customFormat="1" x14ac:dyDescent="0.3">
      <c r="A524" s="237" t="str">
        <f>name!E$9</f>
        <v>Caring, leisure and other service occupations</v>
      </c>
      <c r="B524" s="302">
        <v>2.2170798218057564</v>
      </c>
      <c r="C524" s="302">
        <v>0.68418832452702727</v>
      </c>
      <c r="D524" s="302">
        <v>0.27191602390628827</v>
      </c>
      <c r="E524" s="302">
        <f t="shared" si="231"/>
        <v>3.1731841702390717</v>
      </c>
      <c r="F524" s="303"/>
      <c r="G524" s="302">
        <v>2.6983157326344158</v>
      </c>
      <c r="H524" s="302">
        <v>1.2671612629063802</v>
      </c>
      <c r="I524" s="302">
        <v>0.32114116450062807</v>
      </c>
      <c r="J524" s="302">
        <f t="shared" ref="J524:J527" si="234">SUM(G524:I524)</f>
        <v>4.2866181600414244</v>
      </c>
      <c r="K524" s="303"/>
      <c r="L524" s="302">
        <v>3.089489196709958</v>
      </c>
      <c r="M524" s="302">
        <v>1.2158625975521629</v>
      </c>
      <c r="N524" s="302">
        <v>0.62355585005700531</v>
      </c>
      <c r="O524" s="302">
        <f t="shared" si="233"/>
        <v>4.9289076443191266</v>
      </c>
    </row>
    <row r="525" spans="1:15" s="236" customFormat="1" x14ac:dyDescent="0.3">
      <c r="A525" s="237" t="str">
        <f>name!E$10</f>
        <v>Sales and customer service occupations</v>
      </c>
      <c r="B525" s="302">
        <v>11.99499983187283</v>
      </c>
      <c r="C525" s="302">
        <v>6.3890064028765314</v>
      </c>
      <c r="D525" s="302">
        <v>2.1155638415141262</v>
      </c>
      <c r="E525" s="302">
        <f t="shared" si="231"/>
        <v>20.499570076263488</v>
      </c>
      <c r="F525" s="303"/>
      <c r="G525" s="302">
        <v>12.95908678291592</v>
      </c>
      <c r="H525" s="302">
        <v>8.6646668818523107</v>
      </c>
      <c r="I525" s="302">
        <v>2.3497387592086709</v>
      </c>
      <c r="J525" s="302">
        <f t="shared" si="234"/>
        <v>23.9734924239769</v>
      </c>
      <c r="K525" s="303"/>
      <c r="L525" s="302">
        <v>15.985718462245746</v>
      </c>
      <c r="M525" s="302">
        <v>10.546275321187277</v>
      </c>
      <c r="N525" s="302">
        <v>2.7281962310487904</v>
      </c>
      <c r="O525" s="302">
        <f t="shared" si="233"/>
        <v>29.260190014481815</v>
      </c>
    </row>
    <row r="526" spans="1:15" s="236" customFormat="1" x14ac:dyDescent="0.3">
      <c r="A526" s="237" t="str">
        <f>name!E$11</f>
        <v>Process, plant and machine operatives</v>
      </c>
      <c r="B526" s="302">
        <v>76.801830679528308</v>
      </c>
      <c r="C526" s="302">
        <v>2.370049226089749</v>
      </c>
      <c r="D526" s="302">
        <v>21.313680809002761</v>
      </c>
      <c r="E526" s="302">
        <f t="shared" si="231"/>
        <v>100.48556071462082</v>
      </c>
      <c r="F526" s="303"/>
      <c r="G526" s="302">
        <v>67.749275032043641</v>
      </c>
      <c r="H526" s="302">
        <v>4.7137273687374517</v>
      </c>
      <c r="I526" s="302">
        <v>28.018939120717484</v>
      </c>
      <c r="J526" s="302">
        <f t="shared" si="234"/>
        <v>100.48194152149858</v>
      </c>
      <c r="K526" s="303"/>
      <c r="L526" s="302">
        <v>79.185885114372567</v>
      </c>
      <c r="M526" s="302">
        <v>5.9129711881646507</v>
      </c>
      <c r="N526" s="302">
        <v>42.662099266269053</v>
      </c>
      <c r="O526" s="302">
        <f t="shared" si="233"/>
        <v>127.76095556880627</v>
      </c>
    </row>
    <row r="527" spans="1:15" s="236" customFormat="1" x14ac:dyDescent="0.3">
      <c r="A527" s="237" t="str">
        <f>name!E$12</f>
        <v>Elementary occupations</v>
      </c>
      <c r="B527" s="302">
        <v>37.362417499785209</v>
      </c>
      <c r="C527" s="302">
        <v>10.143552667121826</v>
      </c>
      <c r="D527" s="302">
        <v>24.260352868646194</v>
      </c>
      <c r="E527" s="302">
        <f t="shared" si="231"/>
        <v>71.766323035553228</v>
      </c>
      <c r="F527" s="303"/>
      <c r="G527" s="302">
        <v>32.299878176173102</v>
      </c>
      <c r="H527" s="302">
        <v>12.916432343795321</v>
      </c>
      <c r="I527" s="302">
        <v>26.305945282815337</v>
      </c>
      <c r="J527" s="302">
        <f t="shared" si="234"/>
        <v>71.522255802783761</v>
      </c>
      <c r="K527" s="303"/>
      <c r="L527" s="302">
        <v>26.443012148700006</v>
      </c>
      <c r="M527" s="302">
        <v>9.8346090872901932</v>
      </c>
      <c r="N527" s="302">
        <v>38.57650206582349</v>
      </c>
      <c r="O527" s="302">
        <f t="shared" si="233"/>
        <v>74.854123301813686</v>
      </c>
    </row>
    <row r="528" spans="1:15" s="236" customFormat="1" x14ac:dyDescent="0.3">
      <c r="A528" s="237"/>
      <c r="B528" s="302"/>
      <c r="C528" s="302"/>
      <c r="D528" s="302"/>
      <c r="E528" s="302"/>
      <c r="F528" s="303"/>
      <c r="G528" s="302"/>
      <c r="H528" s="302"/>
      <c r="I528" s="302"/>
      <c r="J528" s="302"/>
      <c r="K528" s="303"/>
      <c r="L528" s="302"/>
      <c r="M528" s="302"/>
      <c r="N528" s="302"/>
      <c r="O528" s="302"/>
    </row>
    <row r="529" spans="1:15" s="236" customFormat="1" x14ac:dyDescent="0.3">
      <c r="A529" s="244" t="s">
        <v>32</v>
      </c>
      <c r="B529" s="311">
        <f>SUM(B519:B527)</f>
        <v>646.0900000006792</v>
      </c>
      <c r="C529" s="311">
        <f t="shared" ref="C529:E529" si="235">SUM(C519:C527)</f>
        <v>88.024000000812933</v>
      </c>
      <c r="D529" s="311">
        <f t="shared" si="235"/>
        <v>434.18899998661419</v>
      </c>
      <c r="E529" s="311">
        <f t="shared" si="235"/>
        <v>1168.3029999881064</v>
      </c>
      <c r="F529" s="311"/>
      <c r="G529" s="311">
        <f t="shared" ref="G529:J529" si="236">SUM(G519:G527)</f>
        <v>685.49699999795575</v>
      </c>
      <c r="H529" s="311">
        <f t="shared" si="236"/>
        <v>122.31400000035491</v>
      </c>
      <c r="I529" s="311">
        <f t="shared" si="236"/>
        <v>444.19999998443319</v>
      </c>
      <c r="J529" s="311">
        <f t="shared" si="236"/>
        <v>1252.0109999827437</v>
      </c>
      <c r="K529" s="311"/>
      <c r="L529" s="311">
        <f t="shared" ref="L529:O529" si="237">SUM(L519:L527)</f>
        <v>732.34400000348592</v>
      </c>
      <c r="M529" s="311">
        <f t="shared" si="237"/>
        <v>142.46599999936157</v>
      </c>
      <c r="N529" s="311">
        <f t="shared" si="237"/>
        <v>512.14199996749812</v>
      </c>
      <c r="O529" s="311">
        <f t="shared" si="237"/>
        <v>1386.9519999703459</v>
      </c>
    </row>
    <row r="530" spans="1:15" s="236" customFormat="1" x14ac:dyDescent="0.3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40"/>
    </row>
    <row r="531" spans="1:15" s="236" customFormat="1" x14ac:dyDescent="0.3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40"/>
      <c r="O531" s="251" t="s">
        <v>35</v>
      </c>
    </row>
    <row r="532" spans="1:15" s="236" customFormat="1" x14ac:dyDescent="0.3">
      <c r="A532" s="242"/>
      <c r="B532" s="242"/>
      <c r="C532" s="242"/>
      <c r="D532" s="242"/>
      <c r="E532" s="242"/>
      <c r="F532" s="242"/>
      <c r="G532" s="242"/>
      <c r="H532" s="242"/>
      <c r="I532" s="242"/>
      <c r="J532" s="242"/>
      <c r="K532" s="242"/>
      <c r="L532" s="242"/>
      <c r="M532" s="242"/>
      <c r="N532" s="242"/>
      <c r="O532" s="242"/>
    </row>
    <row r="533" spans="1:15" s="236" customFormat="1" x14ac:dyDescent="0.3">
      <c r="A533" s="241" t="str">
        <f>name!A34</f>
        <v>Motor vehicle trade</v>
      </c>
      <c r="B533" s="375">
        <f>$B$6</f>
        <v>2015</v>
      </c>
      <c r="C533" s="375"/>
      <c r="D533" s="375"/>
      <c r="E533" s="375"/>
      <c r="F533" s="263"/>
      <c r="G533" s="375">
        <f>$G$6</f>
        <v>2020</v>
      </c>
      <c r="H533" s="375"/>
      <c r="I533" s="375"/>
      <c r="J533" s="375"/>
      <c r="K533" s="263"/>
      <c r="L533" s="375">
        <f>$L$6</f>
        <v>2035</v>
      </c>
      <c r="M533" s="375"/>
      <c r="N533" s="375"/>
      <c r="O533" s="375"/>
    </row>
    <row r="534" spans="1:15" s="236" customFormat="1" x14ac:dyDescent="0.3">
      <c r="A534" s="254"/>
      <c r="B534" s="268" t="str">
        <f>$B$7</f>
        <v>FT</v>
      </c>
      <c r="C534" s="268" t="str">
        <f>$C$7</f>
        <v>PT</v>
      </c>
      <c r="D534" s="268" t="str">
        <f>$D$7</f>
        <v>SE</v>
      </c>
      <c r="E534" s="268" t="str">
        <f>$E$7</f>
        <v>Total</v>
      </c>
      <c r="F534" s="268"/>
      <c r="G534" s="268" t="str">
        <f>$G$7</f>
        <v>FT</v>
      </c>
      <c r="H534" s="268" t="str">
        <f>$H$7</f>
        <v>PT</v>
      </c>
      <c r="I534" s="268" t="str">
        <f>$I$7</f>
        <v>SE</v>
      </c>
      <c r="J534" s="268" t="str">
        <f>$J$7</f>
        <v>Total</v>
      </c>
      <c r="K534" s="268"/>
      <c r="L534" s="268" t="str">
        <f>$L$7</f>
        <v>FT</v>
      </c>
      <c r="M534" s="268" t="str">
        <f>$M$7</f>
        <v>PT</v>
      </c>
      <c r="N534" s="268" t="str">
        <f>$N$7</f>
        <v>SE</v>
      </c>
      <c r="O534" s="268" t="str">
        <f>$O$7</f>
        <v>Total</v>
      </c>
    </row>
    <row r="535" spans="1:15" s="236" customFormat="1" x14ac:dyDescent="0.3">
      <c r="A535" s="258"/>
      <c r="B535" s="239"/>
      <c r="C535" s="239"/>
      <c r="D535" s="239"/>
      <c r="E535" s="239"/>
      <c r="F535" s="239"/>
      <c r="G535" s="239"/>
      <c r="H535" s="239"/>
      <c r="I535" s="239"/>
      <c r="J535" s="239"/>
      <c r="K535" s="239"/>
      <c r="L535" s="239"/>
      <c r="M535" s="239"/>
      <c r="N535" s="239"/>
      <c r="O535" s="239"/>
    </row>
    <row r="536" spans="1:15" s="236" customFormat="1" x14ac:dyDescent="0.3">
      <c r="A536" s="237" t="str">
        <f>name!E$4</f>
        <v>Managers, directors and senior officials</v>
      </c>
      <c r="B536" s="302">
        <v>46.815212250235227</v>
      </c>
      <c r="C536" s="302">
        <v>2.4034283669870606</v>
      </c>
      <c r="D536" s="302">
        <v>13.714299067499006</v>
      </c>
      <c r="E536" s="302">
        <f>SUM(B536:D536)</f>
        <v>62.932939684721291</v>
      </c>
      <c r="F536" s="303"/>
      <c r="G536" s="302">
        <v>59.481163948448533</v>
      </c>
      <c r="H536" s="302">
        <v>4.77785384515873</v>
      </c>
      <c r="I536" s="302">
        <v>13.88705033191712</v>
      </c>
      <c r="J536" s="302">
        <f>SUM(G536:I536)</f>
        <v>78.14606812552438</v>
      </c>
      <c r="K536" s="303"/>
      <c r="L536" s="302">
        <v>72.796353400782124</v>
      </c>
      <c r="M536" s="302">
        <v>5.2996438571666857</v>
      </c>
      <c r="N536" s="302">
        <v>17.864277881524806</v>
      </c>
      <c r="O536" s="302">
        <f>SUM(L536:N536)</f>
        <v>95.960275139473623</v>
      </c>
    </row>
    <row r="537" spans="1:15" s="236" customFormat="1" x14ac:dyDescent="0.3">
      <c r="A537" s="237" t="str">
        <f>name!E$5</f>
        <v>Professional occupations</v>
      </c>
      <c r="B537" s="302">
        <v>24.008519220259274</v>
      </c>
      <c r="C537" s="302">
        <v>1.115523651949486</v>
      </c>
      <c r="D537" s="302">
        <v>2.0614791536189583</v>
      </c>
      <c r="E537" s="302">
        <f t="shared" ref="E537:E544" si="238">SUM(B537:D537)</f>
        <v>27.185522025827719</v>
      </c>
      <c r="F537" s="303"/>
      <c r="G537" s="302">
        <v>35.109595211677082</v>
      </c>
      <c r="H537" s="302">
        <v>2.227055345081157</v>
      </c>
      <c r="I537" s="302">
        <v>2.1673788114200585</v>
      </c>
      <c r="J537" s="302">
        <f t="shared" ref="J537:J539" si="239">SUM(G537:I537)</f>
        <v>39.504029368178294</v>
      </c>
      <c r="K537" s="303"/>
      <c r="L537" s="302">
        <v>48.011470543682762</v>
      </c>
      <c r="M537" s="302">
        <v>2.5195931894958266</v>
      </c>
      <c r="N537" s="302">
        <v>1.7044171443310143</v>
      </c>
      <c r="O537" s="302">
        <f t="shared" ref="O537:O544" si="240">SUM(L537:N537)</f>
        <v>52.235480877509609</v>
      </c>
    </row>
    <row r="538" spans="1:15" s="236" customFormat="1" x14ac:dyDescent="0.3">
      <c r="A538" s="237" t="str">
        <f>name!E$6</f>
        <v>Associate professional occupations</v>
      </c>
      <c r="B538" s="302">
        <v>32.750230130704161</v>
      </c>
      <c r="C538" s="302">
        <v>2.3054957236522786</v>
      </c>
      <c r="D538" s="302">
        <v>1.708878359424651</v>
      </c>
      <c r="E538" s="302">
        <f t="shared" si="238"/>
        <v>36.764604213781091</v>
      </c>
      <c r="F538" s="303"/>
      <c r="G538" s="302">
        <v>41.713162029500431</v>
      </c>
      <c r="H538" s="302">
        <v>3.70377235301435</v>
      </c>
      <c r="I538" s="302">
        <v>1.8237034053896051</v>
      </c>
      <c r="J538" s="302">
        <f t="shared" si="239"/>
        <v>47.24063778790439</v>
      </c>
      <c r="K538" s="303"/>
      <c r="L538" s="302">
        <v>46.760606718223499</v>
      </c>
      <c r="M538" s="302">
        <v>3.3804883267953265</v>
      </c>
      <c r="N538" s="302">
        <v>1.5868250787266103</v>
      </c>
      <c r="O538" s="302">
        <f t="shared" si="240"/>
        <v>51.727920123745442</v>
      </c>
    </row>
    <row r="539" spans="1:15" s="236" customFormat="1" x14ac:dyDescent="0.3">
      <c r="A539" s="237" t="str">
        <f>name!E$7</f>
        <v>Administrative and secretarial occupations</v>
      </c>
      <c r="B539" s="302">
        <v>51.441532700193626</v>
      </c>
      <c r="C539" s="302">
        <v>12.808224035194398</v>
      </c>
      <c r="D539" s="302">
        <v>1.9620695779354818</v>
      </c>
      <c r="E539" s="302">
        <f t="shared" si="238"/>
        <v>66.211826313323499</v>
      </c>
      <c r="F539" s="303"/>
      <c r="G539" s="302">
        <v>56.010487406563293</v>
      </c>
      <c r="H539" s="302">
        <v>16.870111037353446</v>
      </c>
      <c r="I539" s="302">
        <v>2.5929262310990118</v>
      </c>
      <c r="J539" s="302">
        <f t="shared" si="239"/>
        <v>75.473524675015753</v>
      </c>
      <c r="K539" s="303"/>
      <c r="L539" s="302">
        <v>61.24007133602943</v>
      </c>
      <c r="M539" s="302">
        <v>13.602035974953113</v>
      </c>
      <c r="N539" s="302">
        <v>2.1628946040007602</v>
      </c>
      <c r="O539" s="302">
        <f t="shared" si="240"/>
        <v>77.005001914983296</v>
      </c>
    </row>
    <row r="540" spans="1:15" s="236" customFormat="1" x14ac:dyDescent="0.3">
      <c r="A540" s="237" t="str">
        <f>name!E$8</f>
        <v>Skilled trades occupations</v>
      </c>
      <c r="B540" s="302">
        <v>173.77427742803221</v>
      </c>
      <c r="C540" s="302">
        <v>12.015166418077529</v>
      </c>
      <c r="D540" s="302">
        <v>30.036336921159482</v>
      </c>
      <c r="E540" s="302">
        <f t="shared" si="238"/>
        <v>215.82578076726924</v>
      </c>
      <c r="F540" s="303"/>
      <c r="G540" s="302">
        <v>159.83806294653044</v>
      </c>
      <c r="H540" s="302">
        <v>11.566450041445984</v>
      </c>
      <c r="I540" s="302">
        <v>25.96138850591263</v>
      </c>
      <c r="J540" s="302">
        <f>SUM(G540:I540)</f>
        <v>197.36590149388906</v>
      </c>
      <c r="K540" s="303"/>
      <c r="L540" s="302">
        <v>148.12723350871974</v>
      </c>
      <c r="M540" s="302">
        <v>13.585371581556132</v>
      </c>
      <c r="N540" s="302">
        <v>26.035919936116557</v>
      </c>
      <c r="O540" s="302">
        <f t="shared" si="240"/>
        <v>187.74852502639243</v>
      </c>
    </row>
    <row r="541" spans="1:15" s="236" customFormat="1" x14ac:dyDescent="0.3">
      <c r="A541" s="237" t="str">
        <f>name!E$9</f>
        <v>Caring, leisure and other service occupations</v>
      </c>
      <c r="B541" s="302">
        <v>14.44804230476187</v>
      </c>
      <c r="C541" s="302">
        <v>0.51612544320345344</v>
      </c>
      <c r="D541" s="302">
        <v>0.69819268053579364</v>
      </c>
      <c r="E541" s="302">
        <f t="shared" si="238"/>
        <v>15.662360428501117</v>
      </c>
      <c r="F541" s="303"/>
      <c r="G541" s="302">
        <v>15.687316832526923</v>
      </c>
      <c r="H541" s="302">
        <v>0.62504162928354978</v>
      </c>
      <c r="I541" s="302">
        <v>1.1522077685960053</v>
      </c>
      <c r="J541" s="302">
        <f t="shared" ref="J541:J544" si="241">SUM(G541:I541)</f>
        <v>17.464566230406476</v>
      </c>
      <c r="K541" s="303"/>
      <c r="L541" s="302">
        <v>23.405545065644567</v>
      </c>
      <c r="M541" s="302">
        <v>0.48030349370558789</v>
      </c>
      <c r="N541" s="302">
        <v>1.3903439174619334</v>
      </c>
      <c r="O541" s="302">
        <f t="shared" si="240"/>
        <v>25.276192476812088</v>
      </c>
    </row>
    <row r="542" spans="1:15" s="236" customFormat="1" x14ac:dyDescent="0.3">
      <c r="A542" s="237" t="str">
        <f>name!E$10</f>
        <v>Sales and customer service occupations</v>
      </c>
      <c r="B542" s="302">
        <v>59.244020633859954</v>
      </c>
      <c r="C542" s="302">
        <v>25.571585177466929</v>
      </c>
      <c r="D542" s="302">
        <v>10.074650568353823</v>
      </c>
      <c r="E542" s="302">
        <f t="shared" si="238"/>
        <v>94.890256379680707</v>
      </c>
      <c r="F542" s="303"/>
      <c r="G542" s="302">
        <v>60.127488627846816</v>
      </c>
      <c r="H542" s="302">
        <v>31.095214965869111</v>
      </c>
      <c r="I542" s="302">
        <v>7.8295500999957257</v>
      </c>
      <c r="J542" s="302">
        <f t="shared" si="241"/>
        <v>99.052253693711648</v>
      </c>
      <c r="K542" s="303"/>
      <c r="L542" s="302">
        <v>61.183278550445202</v>
      </c>
      <c r="M542" s="302">
        <v>30.25744837245546</v>
      </c>
      <c r="N542" s="302">
        <v>7.236850634354945</v>
      </c>
      <c r="O542" s="302">
        <f t="shared" si="240"/>
        <v>98.677577557255617</v>
      </c>
    </row>
    <row r="543" spans="1:15" s="236" customFormat="1" x14ac:dyDescent="0.3">
      <c r="A543" s="237" t="str">
        <f>name!E$11</f>
        <v>Process, plant and machine operatives</v>
      </c>
      <c r="B543" s="302">
        <v>34.990584846816652</v>
      </c>
      <c r="C543" s="302">
        <v>4.7246754516485154</v>
      </c>
      <c r="D543" s="302">
        <v>1.4134100818393094</v>
      </c>
      <c r="E543" s="302">
        <f t="shared" si="238"/>
        <v>41.128670380304477</v>
      </c>
      <c r="F543" s="303"/>
      <c r="G543" s="302">
        <v>31.471137119738536</v>
      </c>
      <c r="H543" s="302">
        <v>5.6736780559018545</v>
      </c>
      <c r="I543" s="302">
        <v>1.342605738401573</v>
      </c>
      <c r="J543" s="302">
        <f t="shared" si="241"/>
        <v>38.487420914041962</v>
      </c>
      <c r="K543" s="303"/>
      <c r="L543" s="302">
        <v>37.850419178636322</v>
      </c>
      <c r="M543" s="302">
        <v>6.1677058958727873</v>
      </c>
      <c r="N543" s="302">
        <v>2.0006944523126338</v>
      </c>
      <c r="O543" s="302">
        <f t="shared" si="240"/>
        <v>46.018819526821744</v>
      </c>
    </row>
    <row r="544" spans="1:15" s="236" customFormat="1" x14ac:dyDescent="0.3">
      <c r="A544" s="237" t="str">
        <f>name!E$12</f>
        <v>Elementary occupations</v>
      </c>
      <c r="B544" s="302">
        <v>16.584580486809237</v>
      </c>
      <c r="C544" s="302">
        <v>8.448775733503016</v>
      </c>
      <c r="D544" s="302">
        <v>3.3316835900342401</v>
      </c>
      <c r="E544" s="302">
        <f t="shared" si="238"/>
        <v>28.365039810346495</v>
      </c>
      <c r="F544" s="303"/>
      <c r="G544" s="302">
        <v>15.463585876783771</v>
      </c>
      <c r="H544" s="302">
        <v>8.5598227276017411</v>
      </c>
      <c r="I544" s="302">
        <v>3.2421891069438771</v>
      </c>
      <c r="J544" s="302">
        <f t="shared" si="241"/>
        <v>27.265597711329388</v>
      </c>
      <c r="K544" s="303"/>
      <c r="L544" s="302">
        <v>14.442021700040948</v>
      </c>
      <c r="M544" s="302">
        <v>6.0224093076982745</v>
      </c>
      <c r="N544" s="302">
        <v>4.0147763509403704</v>
      </c>
      <c r="O544" s="302">
        <f t="shared" si="240"/>
        <v>24.479207358679592</v>
      </c>
    </row>
    <row r="545" spans="1:15" s="236" customFormat="1" x14ac:dyDescent="0.3">
      <c r="A545" s="237"/>
      <c r="B545" s="302"/>
      <c r="C545" s="302"/>
      <c r="D545" s="302"/>
      <c r="E545" s="302"/>
      <c r="F545" s="303"/>
      <c r="G545" s="302"/>
      <c r="H545" s="302"/>
      <c r="I545" s="302"/>
      <c r="J545" s="302"/>
      <c r="K545" s="303"/>
      <c r="L545" s="302"/>
      <c r="M545" s="302"/>
      <c r="N545" s="302"/>
      <c r="O545" s="302"/>
    </row>
    <row r="546" spans="1:15" s="236" customFormat="1" x14ac:dyDescent="0.3">
      <c r="A546" s="244" t="s">
        <v>32</v>
      </c>
      <c r="B546" s="311">
        <f>SUM(B536:B544)</f>
        <v>454.05700000167224</v>
      </c>
      <c r="C546" s="311">
        <f t="shared" ref="C546:E546" si="242">SUM(C536:C544)</f>
        <v>69.909000001682671</v>
      </c>
      <c r="D546" s="311">
        <f t="shared" si="242"/>
        <v>65.001000000400751</v>
      </c>
      <c r="E546" s="311">
        <f t="shared" si="242"/>
        <v>588.96700000375563</v>
      </c>
      <c r="F546" s="311"/>
      <c r="G546" s="311">
        <f t="shared" ref="G546:J546" si="243">SUM(G536:G544)</f>
        <v>474.90199999961584</v>
      </c>
      <c r="H546" s="311">
        <f t="shared" si="243"/>
        <v>85.099000000709921</v>
      </c>
      <c r="I546" s="311">
        <f t="shared" si="243"/>
        <v>59.998999999675604</v>
      </c>
      <c r="J546" s="311">
        <f t="shared" si="243"/>
        <v>620.00000000000148</v>
      </c>
      <c r="K546" s="311"/>
      <c r="L546" s="311">
        <f t="shared" ref="L546:O546" si="244">SUM(L536:L544)</f>
        <v>513.81700000220462</v>
      </c>
      <c r="M546" s="311">
        <f t="shared" si="244"/>
        <v>81.314999999699182</v>
      </c>
      <c r="N546" s="311">
        <f t="shared" si="244"/>
        <v>63.996999999769635</v>
      </c>
      <c r="O546" s="311">
        <f t="shared" si="244"/>
        <v>659.12900000167338</v>
      </c>
    </row>
    <row r="547" spans="1:15" s="236" customFormat="1" x14ac:dyDescent="0.3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40"/>
    </row>
    <row r="548" spans="1:15" s="236" customFormat="1" x14ac:dyDescent="0.3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40"/>
      <c r="O548" s="251" t="s">
        <v>35</v>
      </c>
    </row>
    <row r="549" spans="1:15" s="236" customFormat="1" x14ac:dyDescent="0.3">
      <c r="A549" s="242"/>
      <c r="B549" s="242"/>
      <c r="C549" s="242"/>
      <c r="D549" s="242"/>
      <c r="E549" s="242"/>
      <c r="F549" s="242"/>
      <c r="G549" s="242"/>
      <c r="H549" s="242"/>
      <c r="I549" s="242"/>
      <c r="J549" s="242"/>
      <c r="K549" s="242"/>
      <c r="L549" s="242"/>
      <c r="M549" s="242"/>
      <c r="N549" s="242"/>
      <c r="O549" s="242"/>
    </row>
    <row r="550" spans="1:15" s="236" customFormat="1" x14ac:dyDescent="0.3">
      <c r="A550" s="241" t="str">
        <f>name!A35</f>
        <v>Wholesale trade</v>
      </c>
      <c r="B550" s="375">
        <f>$B$6</f>
        <v>2015</v>
      </c>
      <c r="C550" s="375"/>
      <c r="D550" s="375"/>
      <c r="E550" s="375"/>
      <c r="F550" s="263"/>
      <c r="G550" s="375">
        <f>$G$6</f>
        <v>2020</v>
      </c>
      <c r="H550" s="375"/>
      <c r="I550" s="375"/>
      <c r="J550" s="375"/>
      <c r="K550" s="263"/>
      <c r="L550" s="375">
        <f>$L$6</f>
        <v>2035</v>
      </c>
      <c r="M550" s="375"/>
      <c r="N550" s="375"/>
      <c r="O550" s="375"/>
    </row>
    <row r="551" spans="1:15" s="236" customFormat="1" x14ac:dyDescent="0.3">
      <c r="A551" s="254"/>
      <c r="B551" s="268" t="str">
        <f>$B$7</f>
        <v>FT</v>
      </c>
      <c r="C551" s="268" t="str">
        <f>$C$7</f>
        <v>PT</v>
      </c>
      <c r="D551" s="268" t="str">
        <f>$D$7</f>
        <v>SE</v>
      </c>
      <c r="E551" s="268" t="str">
        <f>$E$7</f>
        <v>Total</v>
      </c>
      <c r="F551" s="268"/>
      <c r="G551" s="268" t="str">
        <f>$G$7</f>
        <v>FT</v>
      </c>
      <c r="H551" s="268" t="str">
        <f>$H$7</f>
        <v>PT</v>
      </c>
      <c r="I551" s="268" t="str">
        <f>$I$7</f>
        <v>SE</v>
      </c>
      <c r="J551" s="268" t="str">
        <f>$J$7</f>
        <v>Total</v>
      </c>
      <c r="K551" s="268"/>
      <c r="L551" s="268" t="str">
        <f>$L$7</f>
        <v>FT</v>
      </c>
      <c r="M551" s="268" t="str">
        <f>$M$7</f>
        <v>PT</v>
      </c>
      <c r="N551" s="268" t="str">
        <f>$N$7</f>
        <v>SE</v>
      </c>
      <c r="O551" s="268" t="str">
        <f>$O$7</f>
        <v>Total</v>
      </c>
    </row>
    <row r="552" spans="1:15" s="236" customFormat="1" x14ac:dyDescent="0.3">
      <c r="A552" s="258"/>
      <c r="B552" s="239"/>
      <c r="C552" s="239"/>
      <c r="D552" s="239"/>
      <c r="E552" s="239"/>
      <c r="F552" s="239"/>
      <c r="G552" s="239"/>
      <c r="H552" s="239"/>
      <c r="I552" s="239"/>
      <c r="J552" s="239"/>
      <c r="K552" s="239"/>
      <c r="L552" s="239"/>
      <c r="M552" s="239"/>
      <c r="N552" s="239"/>
      <c r="O552" s="239"/>
    </row>
    <row r="553" spans="1:15" s="236" customFormat="1" x14ac:dyDescent="0.3">
      <c r="A553" s="237" t="str">
        <f>name!E$4</f>
        <v>Managers, directors and senior officials</v>
      </c>
      <c r="B553" s="302">
        <v>169.9139401817865</v>
      </c>
      <c r="C553" s="302">
        <v>10.246707943950168</v>
      </c>
      <c r="D553" s="302">
        <v>28.210287494243801</v>
      </c>
      <c r="E553" s="302">
        <f>SUM(B553:D553)</f>
        <v>208.37093561998046</v>
      </c>
      <c r="F553" s="303"/>
      <c r="G553" s="302">
        <v>201.24582469930886</v>
      </c>
      <c r="H553" s="302">
        <v>14.565536308545031</v>
      </c>
      <c r="I553" s="302">
        <v>30.319004834731945</v>
      </c>
      <c r="J553" s="302">
        <f>SUM(G553:I553)</f>
        <v>246.13036584258583</v>
      </c>
      <c r="K553" s="303"/>
      <c r="L553" s="302">
        <v>215.25047823336561</v>
      </c>
      <c r="M553" s="302">
        <v>15.485991575311347</v>
      </c>
      <c r="N553" s="302">
        <v>31.587581603436405</v>
      </c>
      <c r="O553" s="302">
        <f>SUM(L553:N553)</f>
        <v>262.32405141211336</v>
      </c>
    </row>
    <row r="554" spans="1:15" s="236" customFormat="1" x14ac:dyDescent="0.3">
      <c r="A554" s="237" t="str">
        <f>name!E$5</f>
        <v>Professional occupations</v>
      </c>
      <c r="B554" s="302">
        <v>102.58994923234836</v>
      </c>
      <c r="C554" s="302">
        <v>6.1593479793421624</v>
      </c>
      <c r="D554" s="302">
        <v>7.9262238357247279</v>
      </c>
      <c r="E554" s="302">
        <f t="shared" ref="E554:E561" si="245">SUM(B554:D554)</f>
        <v>116.67552104741524</v>
      </c>
      <c r="F554" s="303"/>
      <c r="G554" s="302">
        <v>141.79368067259267</v>
      </c>
      <c r="H554" s="302">
        <v>8.4524332775856923</v>
      </c>
      <c r="I554" s="302">
        <v>7.4160096776492717</v>
      </c>
      <c r="J554" s="302">
        <f t="shared" ref="J554:J556" si="246">SUM(G554:I554)</f>
        <v>157.66212362782764</v>
      </c>
      <c r="K554" s="303"/>
      <c r="L554" s="302">
        <v>179.34340462666978</v>
      </c>
      <c r="M554" s="302">
        <v>9.2830425638294294</v>
      </c>
      <c r="N554" s="302">
        <v>6.2420095677686982</v>
      </c>
      <c r="O554" s="302">
        <f t="shared" ref="O554:O561" si="247">SUM(L554:N554)</f>
        <v>194.86845675826791</v>
      </c>
    </row>
    <row r="555" spans="1:15" s="236" customFormat="1" x14ac:dyDescent="0.3">
      <c r="A555" s="237" t="str">
        <f>name!E$6</f>
        <v>Associate professional occupations</v>
      </c>
      <c r="B555" s="302">
        <v>131.02546241564141</v>
      </c>
      <c r="C555" s="302">
        <v>17.01192604840428</v>
      </c>
      <c r="D555" s="302">
        <v>9.7174688421616278</v>
      </c>
      <c r="E555" s="302">
        <f t="shared" si="245"/>
        <v>157.75485730620733</v>
      </c>
      <c r="F555" s="303"/>
      <c r="G555" s="302">
        <v>158.85554765961589</v>
      </c>
      <c r="H555" s="302">
        <v>19.157985433138649</v>
      </c>
      <c r="I555" s="302">
        <v>7.9324621256640864</v>
      </c>
      <c r="J555" s="302">
        <f t="shared" si="246"/>
        <v>185.9459952184186</v>
      </c>
      <c r="K555" s="303"/>
      <c r="L555" s="302">
        <v>164.80728264069418</v>
      </c>
      <c r="M555" s="302">
        <v>17.958390932057505</v>
      </c>
      <c r="N555" s="302">
        <v>6.2993337523548592</v>
      </c>
      <c r="O555" s="302">
        <f t="shared" si="247"/>
        <v>189.06500732510656</v>
      </c>
    </row>
    <row r="556" spans="1:15" s="236" customFormat="1" x14ac:dyDescent="0.3">
      <c r="A556" s="237" t="str">
        <f>name!E$7</f>
        <v>Administrative and secretarial occupations</v>
      </c>
      <c r="B556" s="302">
        <v>134.14361548352468</v>
      </c>
      <c r="C556" s="302">
        <v>45.321942456008458</v>
      </c>
      <c r="D556" s="302">
        <v>3.6730743414357936</v>
      </c>
      <c r="E556" s="302">
        <f t="shared" si="245"/>
        <v>183.13863228096895</v>
      </c>
      <c r="F556" s="303"/>
      <c r="G556" s="302">
        <v>146.51253852354293</v>
      </c>
      <c r="H556" s="302">
        <v>41.578311619986067</v>
      </c>
      <c r="I556" s="302">
        <v>2.7454491002325283</v>
      </c>
      <c r="J556" s="302">
        <f t="shared" si="246"/>
        <v>190.83629924376152</v>
      </c>
      <c r="K556" s="303"/>
      <c r="L556" s="302">
        <v>137.6168515673597</v>
      </c>
      <c r="M556" s="302">
        <v>32.561957798299858</v>
      </c>
      <c r="N556" s="302">
        <v>2.6881449626543343</v>
      </c>
      <c r="O556" s="302">
        <f t="shared" si="247"/>
        <v>172.86695432831391</v>
      </c>
    </row>
    <row r="557" spans="1:15" s="236" customFormat="1" x14ac:dyDescent="0.3">
      <c r="A557" s="237" t="str">
        <f>name!E$8</f>
        <v>Skilled trades occupations</v>
      </c>
      <c r="B557" s="302">
        <v>63.258172559615815</v>
      </c>
      <c r="C557" s="302">
        <v>4.5971484817724839</v>
      </c>
      <c r="D557" s="302">
        <v>11.164297900572606</v>
      </c>
      <c r="E557" s="302">
        <f t="shared" si="245"/>
        <v>79.0196189419609</v>
      </c>
      <c r="F557" s="303"/>
      <c r="G557" s="302">
        <v>51.520966582836202</v>
      </c>
      <c r="H557" s="302">
        <v>2.8905203344180124</v>
      </c>
      <c r="I557" s="302">
        <v>9.6255399650618862</v>
      </c>
      <c r="J557" s="302">
        <f>SUM(G557:I557)</f>
        <v>64.037026882316098</v>
      </c>
      <c r="K557" s="303"/>
      <c r="L557" s="302">
        <v>47.814092276421412</v>
      </c>
      <c r="M557" s="302">
        <v>3.4008242263244619</v>
      </c>
      <c r="N557" s="302">
        <v>11.177558277577091</v>
      </c>
      <c r="O557" s="302">
        <f t="shared" si="247"/>
        <v>62.392474780322964</v>
      </c>
    </row>
    <row r="558" spans="1:15" s="236" customFormat="1" x14ac:dyDescent="0.3">
      <c r="A558" s="237" t="str">
        <f>name!E$9</f>
        <v>Caring, leisure and other service occupations</v>
      </c>
      <c r="B558" s="302">
        <v>3.765278047924657</v>
      </c>
      <c r="C558" s="302">
        <v>1.3053811541179337</v>
      </c>
      <c r="D558" s="302">
        <v>0.75535615320993144</v>
      </c>
      <c r="E558" s="302">
        <f t="shared" si="245"/>
        <v>5.8260153552525225</v>
      </c>
      <c r="F558" s="303"/>
      <c r="G558" s="302">
        <v>3.9929838778449138</v>
      </c>
      <c r="H558" s="302">
        <v>1.0469305333806258</v>
      </c>
      <c r="I558" s="302">
        <v>0.68102630126818686</v>
      </c>
      <c r="J558" s="302">
        <f t="shared" ref="J558:J561" si="248">SUM(G558:I558)</f>
        <v>5.7209407124937259</v>
      </c>
      <c r="K558" s="303"/>
      <c r="L558" s="302">
        <v>4.9413891771972418</v>
      </c>
      <c r="M558" s="302">
        <v>0.78644132106784936</v>
      </c>
      <c r="N558" s="302">
        <v>0.92922083309982328</v>
      </c>
      <c r="O558" s="302">
        <f t="shared" si="247"/>
        <v>6.6570513313649151</v>
      </c>
    </row>
    <row r="559" spans="1:15" s="236" customFormat="1" x14ac:dyDescent="0.3">
      <c r="A559" s="237" t="str">
        <f>name!E$10</f>
        <v>Sales and customer service occupations</v>
      </c>
      <c r="B559" s="302">
        <v>82.060448387864994</v>
      </c>
      <c r="C559" s="302">
        <v>39.161438651341058</v>
      </c>
      <c r="D559" s="302">
        <v>8.6078804578476262</v>
      </c>
      <c r="E559" s="302">
        <f t="shared" si="245"/>
        <v>129.82976749705367</v>
      </c>
      <c r="F559" s="303"/>
      <c r="G559" s="302">
        <v>80.256944799025803</v>
      </c>
      <c r="H559" s="302">
        <v>33.54607775674652</v>
      </c>
      <c r="I559" s="302">
        <v>5.865595387047505</v>
      </c>
      <c r="J559" s="302">
        <f t="shared" si="248"/>
        <v>119.66861794281982</v>
      </c>
      <c r="K559" s="303"/>
      <c r="L559" s="302">
        <v>79.071228793408579</v>
      </c>
      <c r="M559" s="302">
        <v>32.528708363873569</v>
      </c>
      <c r="N559" s="302">
        <v>5.517610542184948</v>
      </c>
      <c r="O559" s="302">
        <f t="shared" si="247"/>
        <v>117.1175476994671</v>
      </c>
    </row>
    <row r="560" spans="1:15" s="236" customFormat="1" x14ac:dyDescent="0.3">
      <c r="A560" s="237" t="str">
        <f>name!E$11</f>
        <v>Process, plant and machine operatives</v>
      </c>
      <c r="B560" s="302">
        <v>177.56211602167772</v>
      </c>
      <c r="C560" s="302">
        <v>11.774024165349216</v>
      </c>
      <c r="D560" s="302">
        <v>4.4612635452522458</v>
      </c>
      <c r="E560" s="302">
        <f t="shared" si="245"/>
        <v>193.79740373227918</v>
      </c>
      <c r="F560" s="303"/>
      <c r="G560" s="302">
        <v>148.21300716915647</v>
      </c>
      <c r="H560" s="302">
        <v>10.073667417213938</v>
      </c>
      <c r="I560" s="302">
        <v>4.2678204706397995</v>
      </c>
      <c r="J560" s="302">
        <f t="shared" si="248"/>
        <v>162.5544950570102</v>
      </c>
      <c r="K560" s="303"/>
      <c r="L560" s="302">
        <v>158.55240205859525</v>
      </c>
      <c r="M560" s="302">
        <v>13.586533608230063</v>
      </c>
      <c r="N560" s="302">
        <v>5.9581595567984609</v>
      </c>
      <c r="O560" s="302">
        <f t="shared" si="247"/>
        <v>178.09709522362377</v>
      </c>
    </row>
    <row r="561" spans="1:15" s="236" customFormat="1" x14ac:dyDescent="0.3">
      <c r="A561" s="237" t="str">
        <f>name!E$12</f>
        <v>Elementary occupations</v>
      </c>
      <c r="B561" s="302">
        <v>117.6130176728368</v>
      </c>
      <c r="C561" s="302">
        <v>37.412083123592282</v>
      </c>
      <c r="D561" s="302">
        <v>3.4841474310578477</v>
      </c>
      <c r="E561" s="302">
        <f t="shared" si="245"/>
        <v>158.50924822748692</v>
      </c>
      <c r="F561" s="303"/>
      <c r="G561" s="302">
        <v>92.606506013191165</v>
      </c>
      <c r="H561" s="302">
        <v>28.686537320653873</v>
      </c>
      <c r="I561" s="302">
        <v>2.1450921381159551</v>
      </c>
      <c r="J561" s="302">
        <f t="shared" si="248"/>
        <v>123.43813547196099</v>
      </c>
      <c r="K561" s="303"/>
      <c r="L561" s="302">
        <v>69.450870625383331</v>
      </c>
      <c r="M561" s="302">
        <v>22.053109610034713</v>
      </c>
      <c r="N561" s="302">
        <v>2.5533809051623906</v>
      </c>
      <c r="O561" s="302">
        <f t="shared" si="247"/>
        <v>94.057361140580426</v>
      </c>
    </row>
    <row r="562" spans="1:15" s="236" customFormat="1" x14ac:dyDescent="0.3">
      <c r="A562" s="237"/>
      <c r="B562" s="302"/>
      <c r="C562" s="302"/>
      <c r="D562" s="302"/>
      <c r="E562" s="302"/>
      <c r="F562" s="303"/>
      <c r="G562" s="302"/>
      <c r="H562" s="302"/>
      <c r="I562" s="302"/>
      <c r="J562" s="302"/>
      <c r="K562" s="303"/>
      <c r="L562" s="302"/>
      <c r="M562" s="302"/>
      <c r="N562" s="302"/>
      <c r="O562" s="302"/>
    </row>
    <row r="563" spans="1:15" s="236" customFormat="1" x14ac:dyDescent="0.3">
      <c r="A563" s="244" t="s">
        <v>32</v>
      </c>
      <c r="B563" s="311">
        <f>SUM(B553:B561)</f>
        <v>981.93200000322088</v>
      </c>
      <c r="C563" s="311">
        <f t="shared" ref="C563:E563" si="249">SUM(C553:C561)</f>
        <v>172.99000000387804</v>
      </c>
      <c r="D563" s="311">
        <f t="shared" si="249"/>
        <v>78.000000001506208</v>
      </c>
      <c r="E563" s="311">
        <f t="shared" si="249"/>
        <v>1232.9220000086052</v>
      </c>
      <c r="F563" s="311"/>
      <c r="G563" s="311">
        <f t="shared" ref="G563:J563" si="250">SUM(G553:G561)</f>
        <v>1024.9979999971151</v>
      </c>
      <c r="H563" s="311">
        <f t="shared" si="250"/>
        <v>159.9980000016684</v>
      </c>
      <c r="I563" s="311">
        <f t="shared" si="250"/>
        <v>70.998000000411182</v>
      </c>
      <c r="J563" s="311">
        <f t="shared" si="250"/>
        <v>1255.9939999991946</v>
      </c>
      <c r="K563" s="311"/>
      <c r="L563" s="311">
        <f t="shared" ref="L563:O563" si="251">SUM(L553:L561)</f>
        <v>1056.8479999990952</v>
      </c>
      <c r="M563" s="311">
        <f t="shared" si="251"/>
        <v>147.64499999902881</v>
      </c>
      <c r="N563" s="311">
        <f t="shared" si="251"/>
        <v>72.953000001037012</v>
      </c>
      <c r="O563" s="311">
        <f t="shared" si="251"/>
        <v>1277.4459999991609</v>
      </c>
    </row>
    <row r="564" spans="1:15" s="236" customFormat="1" x14ac:dyDescent="0.3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40"/>
    </row>
    <row r="565" spans="1:15" s="236" customFormat="1" x14ac:dyDescent="0.3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40"/>
      <c r="O565" s="251" t="s">
        <v>35</v>
      </c>
    </row>
    <row r="566" spans="1:15" s="236" customFormat="1" x14ac:dyDescent="0.3">
      <c r="A566" s="242"/>
      <c r="B566" s="242"/>
      <c r="C566" s="242"/>
      <c r="D566" s="242"/>
      <c r="E566" s="242"/>
      <c r="F566" s="242"/>
      <c r="G566" s="242"/>
      <c r="H566" s="242"/>
      <c r="I566" s="242"/>
      <c r="J566" s="242"/>
      <c r="K566" s="242"/>
      <c r="L566" s="242"/>
      <c r="M566" s="242"/>
      <c r="N566" s="242"/>
      <c r="O566" s="242"/>
    </row>
    <row r="567" spans="1:15" s="236" customFormat="1" x14ac:dyDescent="0.3">
      <c r="A567" s="241" t="str">
        <f>name!A36</f>
        <v>Retail trade</v>
      </c>
      <c r="B567" s="375">
        <f>$B$6</f>
        <v>2015</v>
      </c>
      <c r="C567" s="375"/>
      <c r="D567" s="375"/>
      <c r="E567" s="375"/>
      <c r="F567" s="263"/>
      <c r="G567" s="375">
        <f>$G$6</f>
        <v>2020</v>
      </c>
      <c r="H567" s="375"/>
      <c r="I567" s="375"/>
      <c r="J567" s="375"/>
      <c r="K567" s="263"/>
      <c r="L567" s="375">
        <f>$L$6</f>
        <v>2035</v>
      </c>
      <c r="M567" s="375"/>
      <c r="N567" s="375"/>
      <c r="O567" s="375"/>
    </row>
    <row r="568" spans="1:15" s="236" customFormat="1" x14ac:dyDescent="0.3">
      <c r="A568" s="254"/>
      <c r="B568" s="268" t="str">
        <f>$B$7</f>
        <v>FT</v>
      </c>
      <c r="C568" s="268" t="str">
        <f>$C$7</f>
        <v>PT</v>
      </c>
      <c r="D568" s="268" t="str">
        <f>$D$7</f>
        <v>SE</v>
      </c>
      <c r="E568" s="268" t="str">
        <f>$E$7</f>
        <v>Total</v>
      </c>
      <c r="F568" s="268"/>
      <c r="G568" s="268" t="str">
        <f>$G$7</f>
        <v>FT</v>
      </c>
      <c r="H568" s="268" t="str">
        <f>$H$7</f>
        <v>PT</v>
      </c>
      <c r="I568" s="268" t="str">
        <f>$I$7</f>
        <v>SE</v>
      </c>
      <c r="J568" s="268" t="str">
        <f>$J$7</f>
        <v>Total</v>
      </c>
      <c r="K568" s="268"/>
      <c r="L568" s="268" t="str">
        <f>$L$7</f>
        <v>FT</v>
      </c>
      <c r="M568" s="268" t="str">
        <f>$M$7</f>
        <v>PT</v>
      </c>
      <c r="N568" s="268" t="str">
        <f>$N$7</f>
        <v>SE</v>
      </c>
      <c r="O568" s="268" t="str">
        <f>$O$7</f>
        <v>Total</v>
      </c>
    </row>
    <row r="569" spans="1:15" s="236" customFormat="1" x14ac:dyDescent="0.3">
      <c r="A569" s="258"/>
      <c r="B569" s="239"/>
      <c r="C569" s="239"/>
      <c r="D569" s="239"/>
      <c r="E569" s="239"/>
      <c r="F569" s="239"/>
      <c r="G569" s="239"/>
      <c r="H569" s="239"/>
      <c r="I569" s="239"/>
      <c r="J569" s="239"/>
      <c r="K569" s="239"/>
      <c r="L569" s="239"/>
      <c r="M569" s="239"/>
      <c r="N569" s="239"/>
      <c r="O569" s="239"/>
    </row>
    <row r="570" spans="1:15" s="236" customFormat="1" x14ac:dyDescent="0.3">
      <c r="A570" s="237" t="str">
        <f>name!E$4</f>
        <v>Managers, directors and senior officials</v>
      </c>
      <c r="B570" s="302">
        <v>231.33399912408561</v>
      </c>
      <c r="C570" s="302">
        <v>25.061489421443547</v>
      </c>
      <c r="D570" s="302">
        <v>91.138973911928304</v>
      </c>
      <c r="E570" s="302">
        <f>SUM(B570:D570)</f>
        <v>347.53446245745744</v>
      </c>
      <c r="F570" s="303"/>
      <c r="G570" s="302">
        <v>260.04268115167679</v>
      </c>
      <c r="H570" s="302">
        <v>42.637586726309351</v>
      </c>
      <c r="I570" s="302">
        <v>89.095038730419304</v>
      </c>
      <c r="J570" s="302">
        <f>SUM(G570:I570)</f>
        <v>391.77530660840546</v>
      </c>
      <c r="K570" s="303"/>
      <c r="L570" s="302">
        <v>327.7906533081096</v>
      </c>
      <c r="M570" s="302">
        <v>50.302475994952971</v>
      </c>
      <c r="N570" s="302">
        <v>105.26129423892228</v>
      </c>
      <c r="O570" s="302">
        <f>SUM(L570:N570)</f>
        <v>483.35442354198489</v>
      </c>
    </row>
    <row r="571" spans="1:15" s="236" customFormat="1" x14ac:dyDescent="0.3">
      <c r="A571" s="237" t="str">
        <f>name!E$5</f>
        <v>Professional occupations</v>
      </c>
      <c r="B571" s="302">
        <v>171.75800830281491</v>
      </c>
      <c r="C571" s="302">
        <v>45.023253108300544</v>
      </c>
      <c r="D571" s="302">
        <v>19.078999304007894</v>
      </c>
      <c r="E571" s="302">
        <f t="shared" ref="E571:E578" si="252">SUM(B571:D571)</f>
        <v>235.86026071512333</v>
      </c>
      <c r="F571" s="303"/>
      <c r="G571" s="302">
        <v>215.58434333928594</v>
      </c>
      <c r="H571" s="302">
        <v>64.688760267699251</v>
      </c>
      <c r="I571" s="302">
        <v>17.586374071540064</v>
      </c>
      <c r="J571" s="302">
        <f t="shared" ref="J571:J573" si="253">SUM(G571:I571)</f>
        <v>297.8594776785252</v>
      </c>
      <c r="K571" s="303"/>
      <c r="L571" s="302">
        <v>291.92815549554308</v>
      </c>
      <c r="M571" s="302">
        <v>77.304016980044977</v>
      </c>
      <c r="N571" s="302">
        <v>12.825425691441858</v>
      </c>
      <c r="O571" s="302">
        <f t="shared" ref="O571:O578" si="254">SUM(L571:N571)</f>
        <v>382.05759816702994</v>
      </c>
    </row>
    <row r="572" spans="1:15" s="236" customFormat="1" x14ac:dyDescent="0.3">
      <c r="A572" s="237" t="str">
        <f>name!E$6</f>
        <v>Associate professional occupations</v>
      </c>
      <c r="B572" s="302">
        <v>134.52912555189121</v>
      </c>
      <c r="C572" s="302">
        <v>56.125077025062502</v>
      </c>
      <c r="D572" s="302">
        <v>13.125328132597772</v>
      </c>
      <c r="E572" s="302">
        <f t="shared" si="252"/>
        <v>203.77953070955147</v>
      </c>
      <c r="F572" s="303"/>
      <c r="G572" s="302">
        <v>156.02825205665141</v>
      </c>
      <c r="H572" s="302">
        <v>68.495036032972763</v>
      </c>
      <c r="I572" s="302">
        <v>10.827801949053399</v>
      </c>
      <c r="J572" s="302">
        <f t="shared" si="253"/>
        <v>235.35109003867757</v>
      </c>
      <c r="K572" s="303"/>
      <c r="L572" s="302">
        <v>181.06486704390434</v>
      </c>
      <c r="M572" s="302">
        <v>66.64491466509314</v>
      </c>
      <c r="N572" s="302">
        <v>9.0673974965138324</v>
      </c>
      <c r="O572" s="302">
        <f t="shared" si="254"/>
        <v>256.77717920551129</v>
      </c>
    </row>
    <row r="573" spans="1:15" s="236" customFormat="1" x14ac:dyDescent="0.3">
      <c r="A573" s="237" t="str">
        <f>name!E$7</f>
        <v>Administrative and secretarial occupations</v>
      </c>
      <c r="B573" s="302">
        <v>126.01853597505767</v>
      </c>
      <c r="C573" s="302">
        <v>78.141065632922249</v>
      </c>
      <c r="D573" s="302">
        <v>4.0050427273090863</v>
      </c>
      <c r="E573" s="302">
        <f t="shared" si="252"/>
        <v>208.16464433528901</v>
      </c>
      <c r="F573" s="303"/>
      <c r="G573" s="302">
        <v>126.62494290748462</v>
      </c>
      <c r="H573" s="302">
        <v>88.830188794011107</v>
      </c>
      <c r="I573" s="302">
        <v>3.6570766011324047</v>
      </c>
      <c r="J573" s="302">
        <f t="shared" si="253"/>
        <v>219.11220830262815</v>
      </c>
      <c r="K573" s="303"/>
      <c r="L573" s="302">
        <v>132.10276996949318</v>
      </c>
      <c r="M573" s="302">
        <v>87.970476717564225</v>
      </c>
      <c r="N573" s="302">
        <v>11.17053279833066</v>
      </c>
      <c r="O573" s="302">
        <f t="shared" si="254"/>
        <v>231.24377948538807</v>
      </c>
    </row>
    <row r="574" spans="1:15" s="236" customFormat="1" x14ac:dyDescent="0.3">
      <c r="A574" s="237" t="str">
        <f>name!E$8</f>
        <v>Skilled trades occupations</v>
      </c>
      <c r="B574" s="302">
        <v>82.48187587339649</v>
      </c>
      <c r="C574" s="302">
        <v>30.393508033803151</v>
      </c>
      <c r="D574" s="302">
        <v>39.359884377043535</v>
      </c>
      <c r="E574" s="302">
        <f t="shared" si="252"/>
        <v>152.23526828424318</v>
      </c>
      <c r="F574" s="303"/>
      <c r="G574" s="302">
        <v>64.008219777260393</v>
      </c>
      <c r="H574" s="302">
        <v>23.697627099081277</v>
      </c>
      <c r="I574" s="302">
        <v>32.53953036546762</v>
      </c>
      <c r="J574" s="302">
        <f>SUM(G574:I574)</f>
        <v>120.24537724180928</v>
      </c>
      <c r="K574" s="303"/>
      <c r="L574" s="302">
        <v>71.339804074878629</v>
      </c>
      <c r="M574" s="302">
        <v>22.446925582195412</v>
      </c>
      <c r="N574" s="302">
        <v>36.442982629078514</v>
      </c>
      <c r="O574" s="302">
        <f t="shared" si="254"/>
        <v>130.22971228615256</v>
      </c>
    </row>
    <row r="575" spans="1:15" s="236" customFormat="1" x14ac:dyDescent="0.3">
      <c r="A575" s="237" t="str">
        <f>name!E$9</f>
        <v>Caring, leisure and other service occupations</v>
      </c>
      <c r="B575" s="302">
        <v>9.6356528971464428</v>
      </c>
      <c r="C575" s="302">
        <v>8.8733970548193675</v>
      </c>
      <c r="D575" s="302">
        <v>3.2997225593290618</v>
      </c>
      <c r="E575" s="302">
        <f t="shared" si="252"/>
        <v>21.808772511294872</v>
      </c>
      <c r="F575" s="303"/>
      <c r="G575" s="302">
        <v>8.999896195660817</v>
      </c>
      <c r="H575" s="302">
        <v>8.1498999287339604</v>
      </c>
      <c r="I575" s="302">
        <v>3.8773726080537032</v>
      </c>
      <c r="J575" s="302">
        <f t="shared" ref="J575:J578" si="255">SUM(G575:I575)</f>
        <v>21.02716873244848</v>
      </c>
      <c r="K575" s="303"/>
      <c r="L575" s="302">
        <v>11.995508639469543</v>
      </c>
      <c r="M575" s="302">
        <v>6.8997837414516532</v>
      </c>
      <c r="N575" s="302">
        <v>6.7240094092568308</v>
      </c>
      <c r="O575" s="302">
        <f t="shared" si="254"/>
        <v>25.619301790178028</v>
      </c>
    </row>
    <row r="576" spans="1:15" s="236" customFormat="1" x14ac:dyDescent="0.3">
      <c r="A576" s="237" t="str">
        <f>name!E$10</f>
        <v>Sales and customer service occupations</v>
      </c>
      <c r="B576" s="302">
        <v>328.86548540418431</v>
      </c>
      <c r="C576" s="302">
        <v>1151.5010436672605</v>
      </c>
      <c r="D576" s="302">
        <v>54.273549655613841</v>
      </c>
      <c r="E576" s="302">
        <f t="shared" si="252"/>
        <v>1534.6400787270586</v>
      </c>
      <c r="F576" s="303"/>
      <c r="G576" s="302">
        <v>288.21012333312376</v>
      </c>
      <c r="H576" s="302">
        <v>1116.2317677702749</v>
      </c>
      <c r="I576" s="302">
        <v>35.149429688530716</v>
      </c>
      <c r="J576" s="302">
        <f t="shared" si="255"/>
        <v>1439.5913207919293</v>
      </c>
      <c r="K576" s="303"/>
      <c r="L576" s="302">
        <v>213.00279886657879</v>
      </c>
      <c r="M576" s="302">
        <v>1018.2934155475842</v>
      </c>
      <c r="N576" s="302">
        <v>24.617620837839993</v>
      </c>
      <c r="O576" s="302">
        <f t="shared" si="254"/>
        <v>1255.9138352520029</v>
      </c>
    </row>
    <row r="577" spans="1:15" s="236" customFormat="1" x14ac:dyDescent="0.3">
      <c r="A577" s="237" t="str">
        <f>name!E$11</f>
        <v>Process, plant and machine operatives</v>
      </c>
      <c r="B577" s="302">
        <v>56.583535775497616</v>
      </c>
      <c r="C577" s="302">
        <v>37.716784680255266</v>
      </c>
      <c r="D577" s="302">
        <v>4.980740236348046</v>
      </c>
      <c r="E577" s="302">
        <f t="shared" si="252"/>
        <v>99.281060692100922</v>
      </c>
      <c r="F577" s="303"/>
      <c r="G577" s="302">
        <v>45.718516683469325</v>
      </c>
      <c r="H577" s="302">
        <v>40.30659247810361</v>
      </c>
      <c r="I577" s="302">
        <v>5.1415843621767818</v>
      </c>
      <c r="J577" s="302">
        <f t="shared" si="255"/>
        <v>91.166693523749728</v>
      </c>
      <c r="K577" s="303"/>
      <c r="L577" s="302">
        <v>46.787962820331586</v>
      </c>
      <c r="M577" s="302">
        <v>60.800582596543329</v>
      </c>
      <c r="N577" s="302">
        <v>6.4527139346208493</v>
      </c>
      <c r="O577" s="302">
        <f t="shared" si="254"/>
        <v>114.04125935149577</v>
      </c>
    </row>
    <row r="578" spans="1:15" s="236" customFormat="1" x14ac:dyDescent="0.3">
      <c r="A578" s="237" t="str">
        <f>name!E$12</f>
        <v>Elementary occupations</v>
      </c>
      <c r="B578" s="302">
        <v>134.14278110004813</v>
      </c>
      <c r="C578" s="302">
        <v>209.61438144505209</v>
      </c>
      <c r="D578" s="302">
        <v>1.7387591002877103</v>
      </c>
      <c r="E578" s="302">
        <f t="shared" si="252"/>
        <v>345.49592164538791</v>
      </c>
      <c r="F578" s="303"/>
      <c r="G578" s="302">
        <v>110.78302455054296</v>
      </c>
      <c r="H578" s="302">
        <v>175.96354094762268</v>
      </c>
      <c r="I578" s="302">
        <v>1.1237916229665128</v>
      </c>
      <c r="J578" s="302">
        <f t="shared" si="255"/>
        <v>287.87035712113214</v>
      </c>
      <c r="K578" s="303"/>
      <c r="L578" s="302">
        <v>108.48247977709607</v>
      </c>
      <c r="M578" s="302">
        <v>133.37040816478518</v>
      </c>
      <c r="N578" s="302">
        <v>1.2560229672030883</v>
      </c>
      <c r="O578" s="302">
        <f t="shared" si="254"/>
        <v>243.10891090908433</v>
      </c>
    </row>
    <row r="579" spans="1:15" s="236" customFormat="1" x14ac:dyDescent="0.3">
      <c r="A579" s="237"/>
      <c r="B579" s="302"/>
      <c r="C579" s="302"/>
      <c r="D579" s="302"/>
      <c r="E579" s="302"/>
      <c r="F579" s="303"/>
      <c r="G579" s="302"/>
      <c r="H579" s="302"/>
      <c r="I579" s="302"/>
      <c r="J579" s="302"/>
      <c r="K579" s="303"/>
      <c r="L579" s="302"/>
      <c r="M579" s="302"/>
      <c r="N579" s="302"/>
      <c r="O579" s="302"/>
    </row>
    <row r="580" spans="1:15" s="236" customFormat="1" x14ac:dyDescent="0.3">
      <c r="A580" s="244" t="s">
        <v>32</v>
      </c>
      <c r="B580" s="311">
        <f>SUM(B570:B578)</f>
        <v>1275.3490000041224</v>
      </c>
      <c r="C580" s="311">
        <f t="shared" ref="C580:E580" si="256">SUM(C570:C578)</f>
        <v>1642.4500000689191</v>
      </c>
      <c r="D580" s="311">
        <f t="shared" si="256"/>
        <v>231.00100000446528</v>
      </c>
      <c r="E580" s="311">
        <f t="shared" si="256"/>
        <v>3148.8000000775069</v>
      </c>
      <c r="F580" s="311"/>
      <c r="G580" s="311">
        <f t="shared" ref="G580:J580" si="257">SUM(G570:G578)</f>
        <v>1275.999999995156</v>
      </c>
      <c r="H580" s="311">
        <f t="shared" si="257"/>
        <v>1629.001000044809</v>
      </c>
      <c r="I580" s="311">
        <f t="shared" si="257"/>
        <v>198.99799999934049</v>
      </c>
      <c r="J580" s="311">
        <f t="shared" si="257"/>
        <v>3103.9990000393059</v>
      </c>
      <c r="K580" s="311"/>
      <c r="L580" s="311">
        <f t="shared" ref="L580:O580" si="258">SUM(L570:L578)</f>
        <v>1384.4949999954049</v>
      </c>
      <c r="M580" s="311">
        <f t="shared" si="258"/>
        <v>1524.0329999902151</v>
      </c>
      <c r="N580" s="311">
        <f t="shared" si="258"/>
        <v>213.81800000320786</v>
      </c>
      <c r="O580" s="311">
        <f t="shared" si="258"/>
        <v>3122.3459999888282</v>
      </c>
    </row>
    <row r="581" spans="1:15" s="236" customFormat="1" x14ac:dyDescent="0.3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40"/>
    </row>
    <row r="582" spans="1:15" s="236" customFormat="1" x14ac:dyDescent="0.3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40"/>
      <c r="O582" s="251" t="s">
        <v>35</v>
      </c>
    </row>
    <row r="583" spans="1:15" s="236" customFormat="1" x14ac:dyDescent="0.3">
      <c r="A583" s="242"/>
      <c r="B583" s="242"/>
      <c r="C583" s="242"/>
      <c r="D583" s="242"/>
      <c r="E583" s="242"/>
      <c r="F583" s="242"/>
      <c r="G583" s="242"/>
      <c r="H583" s="242"/>
      <c r="I583" s="242"/>
      <c r="J583" s="242"/>
      <c r="K583" s="242"/>
      <c r="L583" s="242"/>
      <c r="M583" s="242"/>
      <c r="N583" s="242"/>
      <c r="O583" s="242"/>
    </row>
    <row r="584" spans="1:15" s="236" customFormat="1" x14ac:dyDescent="0.3">
      <c r="A584" s="241" t="str">
        <f>name!A37</f>
        <v>Land transport, etc</v>
      </c>
      <c r="B584" s="375">
        <f>$B$6</f>
        <v>2015</v>
      </c>
      <c r="C584" s="375"/>
      <c r="D584" s="375"/>
      <c r="E584" s="375"/>
      <c r="F584" s="263"/>
      <c r="G584" s="375">
        <f>$G$6</f>
        <v>2020</v>
      </c>
      <c r="H584" s="375"/>
      <c r="I584" s="375"/>
      <c r="J584" s="375"/>
      <c r="K584" s="263"/>
      <c r="L584" s="375">
        <f>$L$6</f>
        <v>2035</v>
      </c>
      <c r="M584" s="375"/>
      <c r="N584" s="375"/>
      <c r="O584" s="375"/>
    </row>
    <row r="585" spans="1:15" s="236" customFormat="1" x14ac:dyDescent="0.3">
      <c r="A585" s="254"/>
      <c r="B585" s="268" t="str">
        <f>$B$7</f>
        <v>FT</v>
      </c>
      <c r="C585" s="268" t="str">
        <f>$C$7</f>
        <v>PT</v>
      </c>
      <c r="D585" s="268" t="str">
        <f>$D$7</f>
        <v>SE</v>
      </c>
      <c r="E585" s="268" t="str">
        <f>$E$7</f>
        <v>Total</v>
      </c>
      <c r="F585" s="268"/>
      <c r="G585" s="268" t="str">
        <f>$G$7</f>
        <v>FT</v>
      </c>
      <c r="H585" s="268" t="str">
        <f>$H$7</f>
        <v>PT</v>
      </c>
      <c r="I585" s="268" t="str">
        <f>$I$7</f>
        <v>SE</v>
      </c>
      <c r="J585" s="268" t="str">
        <f>$J$7</f>
        <v>Total</v>
      </c>
      <c r="K585" s="268"/>
      <c r="L585" s="268" t="str">
        <f>$L$7</f>
        <v>FT</v>
      </c>
      <c r="M585" s="268" t="str">
        <f>$M$7</f>
        <v>PT</v>
      </c>
      <c r="N585" s="268" t="str">
        <f>$N$7</f>
        <v>SE</v>
      </c>
      <c r="O585" s="268" t="str">
        <f>$O$7</f>
        <v>Total</v>
      </c>
    </row>
    <row r="586" spans="1:15" s="236" customFormat="1" x14ac:dyDescent="0.3">
      <c r="A586" s="258"/>
      <c r="B586" s="239"/>
      <c r="C586" s="239"/>
      <c r="D586" s="239"/>
      <c r="E586" s="239"/>
      <c r="F586" s="239"/>
      <c r="G586" s="239"/>
      <c r="H586" s="239"/>
      <c r="I586" s="239"/>
      <c r="J586" s="239"/>
      <c r="K586" s="239"/>
      <c r="L586" s="239"/>
      <c r="M586" s="239"/>
      <c r="N586" s="239"/>
      <c r="O586" s="239"/>
    </row>
    <row r="587" spans="1:15" s="236" customFormat="1" x14ac:dyDescent="0.3">
      <c r="A587" s="237" t="str">
        <f>name!E$4</f>
        <v>Managers, directors and senior officials</v>
      </c>
      <c r="B587" s="302">
        <v>29.767557755825226</v>
      </c>
      <c r="C587" s="302">
        <v>1.3573468512257674</v>
      </c>
      <c r="D587" s="302">
        <v>13.339509765853068</v>
      </c>
      <c r="E587" s="302">
        <f>SUM(B587:D587)</f>
        <v>44.464414372904059</v>
      </c>
      <c r="F587" s="303"/>
      <c r="G587" s="302">
        <v>38.934160027074398</v>
      </c>
      <c r="H587" s="302">
        <v>3.4726904283029509</v>
      </c>
      <c r="I587" s="302">
        <v>13.078934939868544</v>
      </c>
      <c r="J587" s="302">
        <f>SUM(G587:I587)</f>
        <v>55.485785395245898</v>
      </c>
      <c r="K587" s="303"/>
      <c r="L587" s="302">
        <v>44.456787831243297</v>
      </c>
      <c r="M587" s="302">
        <v>4.4403299067117592</v>
      </c>
      <c r="N587" s="302">
        <v>16.272125934597188</v>
      </c>
      <c r="O587" s="302">
        <f>SUM(L587:N587)</f>
        <v>65.169243672552241</v>
      </c>
    </row>
    <row r="588" spans="1:15" s="236" customFormat="1" x14ac:dyDescent="0.3">
      <c r="A588" s="237" t="str">
        <f>name!E$5</f>
        <v>Professional occupations</v>
      </c>
      <c r="B588" s="302">
        <v>28.845812235470902</v>
      </c>
      <c r="C588" s="302">
        <v>1.4395373412932098</v>
      </c>
      <c r="D588" s="302">
        <v>3.91074758359904</v>
      </c>
      <c r="E588" s="302">
        <f t="shared" ref="E588:E595" si="259">SUM(B588:D588)</f>
        <v>34.196097160363152</v>
      </c>
      <c r="F588" s="303"/>
      <c r="G588" s="302">
        <v>46.384465625975906</v>
      </c>
      <c r="H588" s="302">
        <v>3.8391570100420154</v>
      </c>
      <c r="I588" s="302">
        <v>3.6098804912187004</v>
      </c>
      <c r="J588" s="302">
        <f t="shared" ref="J588:J590" si="260">SUM(G588:I588)</f>
        <v>53.833503127236625</v>
      </c>
      <c r="K588" s="303"/>
      <c r="L588" s="302">
        <v>68.215314865623483</v>
      </c>
      <c r="M588" s="302">
        <v>6.4114595139124928</v>
      </c>
      <c r="N588" s="302">
        <v>3.4789048852160169</v>
      </c>
      <c r="O588" s="302">
        <f t="shared" ref="O588:O595" si="261">SUM(L588:N588)</f>
        <v>78.105679264751984</v>
      </c>
    </row>
    <row r="589" spans="1:15" s="236" customFormat="1" x14ac:dyDescent="0.3">
      <c r="A589" s="237" t="str">
        <f>name!E$6</f>
        <v>Associate professional occupations</v>
      </c>
      <c r="B589" s="302">
        <v>35.921296233893244</v>
      </c>
      <c r="C589" s="302">
        <v>1.9133591492115194</v>
      </c>
      <c r="D589" s="302">
        <v>2.0280434029839052</v>
      </c>
      <c r="E589" s="302">
        <f t="shared" si="259"/>
        <v>39.862698786088664</v>
      </c>
      <c r="F589" s="303"/>
      <c r="G589" s="302">
        <v>52.520164900049075</v>
      </c>
      <c r="H589" s="302">
        <v>4.0265050537653444</v>
      </c>
      <c r="I589" s="302">
        <v>1.9965573744784102</v>
      </c>
      <c r="J589" s="302">
        <f t="shared" si="260"/>
        <v>58.543227328292829</v>
      </c>
      <c r="K589" s="303"/>
      <c r="L589" s="302">
        <v>63.17829085184966</v>
      </c>
      <c r="M589" s="302">
        <v>4.7672677220312911</v>
      </c>
      <c r="N589" s="302">
        <v>1.9623687714503903</v>
      </c>
      <c r="O589" s="302">
        <f t="shared" si="261"/>
        <v>69.907927345331331</v>
      </c>
    </row>
    <row r="590" spans="1:15" s="236" customFormat="1" x14ac:dyDescent="0.3">
      <c r="A590" s="237" t="str">
        <f>name!E$7</f>
        <v>Administrative and secretarial occupations</v>
      </c>
      <c r="B590" s="302">
        <v>46.631452805930586</v>
      </c>
      <c r="C590" s="302">
        <v>10.593964841417185</v>
      </c>
      <c r="D590" s="302">
        <v>2.6083450968789048</v>
      </c>
      <c r="E590" s="302">
        <f t="shared" si="259"/>
        <v>59.833762744226675</v>
      </c>
      <c r="F590" s="303"/>
      <c r="G590" s="302">
        <v>56.476613276653168</v>
      </c>
      <c r="H590" s="302">
        <v>17.324232918975589</v>
      </c>
      <c r="I590" s="302">
        <v>3.8328428278607434</v>
      </c>
      <c r="J590" s="302">
        <f t="shared" si="260"/>
        <v>77.633689023489509</v>
      </c>
      <c r="K590" s="303"/>
      <c r="L590" s="302">
        <v>52.679081756311994</v>
      </c>
      <c r="M590" s="302">
        <v>14.167263131046093</v>
      </c>
      <c r="N590" s="302">
        <v>3.0350038486936959</v>
      </c>
      <c r="O590" s="302">
        <f t="shared" si="261"/>
        <v>69.881348736051777</v>
      </c>
    </row>
    <row r="591" spans="1:15" s="236" customFormat="1" x14ac:dyDescent="0.3">
      <c r="A591" s="237" t="str">
        <f>name!E$8</f>
        <v>Skilled trades occupations</v>
      </c>
      <c r="B591" s="302">
        <v>38.268721515464861</v>
      </c>
      <c r="C591" s="302">
        <v>1.6696683990734569</v>
      </c>
      <c r="D591" s="302">
        <v>17.190576995471087</v>
      </c>
      <c r="E591" s="302">
        <f t="shared" si="259"/>
        <v>57.12896691000941</v>
      </c>
      <c r="F591" s="303"/>
      <c r="G591" s="302">
        <v>35.193424449686987</v>
      </c>
      <c r="H591" s="302">
        <v>1.7438795644701095</v>
      </c>
      <c r="I591" s="302">
        <v>9.5582366266692969</v>
      </c>
      <c r="J591" s="302">
        <f>SUM(G591:I591)</f>
        <v>46.495540640826391</v>
      </c>
      <c r="K591" s="303"/>
      <c r="L591" s="302">
        <v>30.185384206924997</v>
      </c>
      <c r="M591" s="302">
        <v>2.605305708228165</v>
      </c>
      <c r="N591" s="302">
        <v>10.406859760806718</v>
      </c>
      <c r="O591" s="302">
        <f t="shared" si="261"/>
        <v>43.197549675959877</v>
      </c>
    </row>
    <row r="592" spans="1:15" s="236" customFormat="1" x14ac:dyDescent="0.3">
      <c r="A592" s="237" t="str">
        <f>name!E$9</f>
        <v>Caring, leisure and other service occupations</v>
      </c>
      <c r="B592" s="302">
        <v>19.117311787438609</v>
      </c>
      <c r="C592" s="302">
        <v>8.2619362440250175</v>
      </c>
      <c r="D592" s="302">
        <v>1.836440332259671</v>
      </c>
      <c r="E592" s="302">
        <f t="shared" si="259"/>
        <v>29.215688363723295</v>
      </c>
      <c r="F592" s="303"/>
      <c r="G592" s="302">
        <v>24.869703727190068</v>
      </c>
      <c r="H592" s="302">
        <v>12.41508982963709</v>
      </c>
      <c r="I592" s="302">
        <v>2.1601281935137067</v>
      </c>
      <c r="J592" s="302">
        <f t="shared" ref="J592:J595" si="262">SUM(G592:I592)</f>
        <v>39.44492175034086</v>
      </c>
      <c r="K592" s="303"/>
      <c r="L592" s="302">
        <v>34.061801319746728</v>
      </c>
      <c r="M592" s="302">
        <v>13.271005728763633</v>
      </c>
      <c r="N592" s="302">
        <v>3.0016638889593112</v>
      </c>
      <c r="O592" s="302">
        <f t="shared" si="261"/>
        <v>50.334470937469675</v>
      </c>
    </row>
    <row r="593" spans="1:15" s="236" customFormat="1" x14ac:dyDescent="0.3">
      <c r="A593" s="237" t="str">
        <f>name!E$10</f>
        <v>Sales and customer service occupations</v>
      </c>
      <c r="B593" s="302">
        <v>9.0242267479463294</v>
      </c>
      <c r="C593" s="302">
        <v>1.766650938498737</v>
      </c>
      <c r="D593" s="302">
        <v>2.4490828134347891</v>
      </c>
      <c r="E593" s="302">
        <f t="shared" si="259"/>
        <v>13.239960499879855</v>
      </c>
      <c r="F593" s="303"/>
      <c r="G593" s="302">
        <v>11.609015588106727</v>
      </c>
      <c r="H593" s="302">
        <v>3.1750024330638373</v>
      </c>
      <c r="I593" s="302">
        <v>1.9028510484249535</v>
      </c>
      <c r="J593" s="302">
        <f t="shared" si="262"/>
        <v>16.686869069595517</v>
      </c>
      <c r="K593" s="303"/>
      <c r="L593" s="302">
        <v>17.32745881366159</v>
      </c>
      <c r="M593" s="302">
        <v>4.9176446077543527</v>
      </c>
      <c r="N593" s="302">
        <v>2.0182645199047511</v>
      </c>
      <c r="O593" s="302">
        <f t="shared" si="261"/>
        <v>24.263367941320691</v>
      </c>
    </row>
    <row r="594" spans="1:15" s="236" customFormat="1" x14ac:dyDescent="0.3">
      <c r="A594" s="237" t="str">
        <f>name!E$11</f>
        <v>Process, plant and machine operatives</v>
      </c>
      <c r="B594" s="302">
        <v>241.57912399614929</v>
      </c>
      <c r="C594" s="302">
        <v>29.93177510810634</v>
      </c>
      <c r="D594" s="302">
        <v>163.43251035253829</v>
      </c>
      <c r="E594" s="302">
        <f t="shared" si="259"/>
        <v>434.94340945679392</v>
      </c>
      <c r="F594" s="303"/>
      <c r="G594" s="302">
        <v>221.89139696530611</v>
      </c>
      <c r="H594" s="302">
        <v>48.991199240704688</v>
      </c>
      <c r="I594" s="302">
        <v>155.19343300703193</v>
      </c>
      <c r="J594" s="302">
        <f t="shared" si="262"/>
        <v>426.07602921304272</v>
      </c>
      <c r="K594" s="303"/>
      <c r="L594" s="302">
        <v>204.19039690959028</v>
      </c>
      <c r="M594" s="302">
        <v>62.575676784985092</v>
      </c>
      <c r="N594" s="302">
        <v>187.6674545908993</v>
      </c>
      <c r="O594" s="302">
        <f t="shared" si="261"/>
        <v>454.43352828547467</v>
      </c>
    </row>
    <row r="595" spans="1:15" s="236" customFormat="1" x14ac:dyDescent="0.3">
      <c r="A595" s="237" t="str">
        <f>name!E$12</f>
        <v>Elementary occupations</v>
      </c>
      <c r="B595" s="302">
        <v>23.462496924494101</v>
      </c>
      <c r="C595" s="302">
        <v>5.4077611284208853</v>
      </c>
      <c r="D595" s="302">
        <v>4.206743660086854</v>
      </c>
      <c r="E595" s="302">
        <f t="shared" si="259"/>
        <v>33.077001713001835</v>
      </c>
      <c r="F595" s="303"/>
      <c r="G595" s="302">
        <v>20.620055438683671</v>
      </c>
      <c r="H595" s="302">
        <v>7.1122435210789554</v>
      </c>
      <c r="I595" s="302">
        <v>2.6651354945150816</v>
      </c>
      <c r="J595" s="302">
        <f t="shared" si="262"/>
        <v>30.397434454277708</v>
      </c>
      <c r="K595" s="303"/>
      <c r="L595" s="302">
        <v>15.191483445626647</v>
      </c>
      <c r="M595" s="302">
        <v>6.1000468958710909</v>
      </c>
      <c r="N595" s="302">
        <v>3.1813538117318441</v>
      </c>
      <c r="O595" s="302">
        <f t="shared" si="261"/>
        <v>24.472884153229579</v>
      </c>
    </row>
    <row r="596" spans="1:15" s="236" customFormat="1" x14ac:dyDescent="0.3">
      <c r="A596" s="237"/>
      <c r="B596" s="302"/>
      <c r="C596" s="302"/>
      <c r="D596" s="302"/>
      <c r="E596" s="302"/>
      <c r="F596" s="303"/>
      <c r="G596" s="302"/>
      <c r="H596" s="302"/>
      <c r="I596" s="302"/>
      <c r="J596" s="302"/>
      <c r="K596" s="303"/>
      <c r="L596" s="302"/>
      <c r="M596" s="302"/>
      <c r="N596" s="302"/>
      <c r="O596" s="302"/>
    </row>
    <row r="597" spans="1:15" s="236" customFormat="1" x14ac:dyDescent="0.3">
      <c r="A597" s="244" t="s">
        <v>32</v>
      </c>
      <c r="B597" s="311">
        <f>SUM(B587:B595)</f>
        <v>472.61800000261314</v>
      </c>
      <c r="C597" s="311">
        <f t="shared" ref="C597:E597" si="263">SUM(C587:C595)</f>
        <v>62.342000001272119</v>
      </c>
      <c r="D597" s="311">
        <f t="shared" si="263"/>
        <v>211.00200000310562</v>
      </c>
      <c r="E597" s="311">
        <f t="shared" si="263"/>
        <v>745.96200000699082</v>
      </c>
      <c r="F597" s="311"/>
      <c r="G597" s="311">
        <f t="shared" ref="G597:J597" si="264">SUM(G587:G595)</f>
        <v>508.49899999872605</v>
      </c>
      <c r="H597" s="311">
        <f t="shared" si="264"/>
        <v>102.10000000004058</v>
      </c>
      <c r="I597" s="311">
        <f t="shared" si="264"/>
        <v>193.99800000358138</v>
      </c>
      <c r="J597" s="311">
        <f t="shared" si="264"/>
        <v>804.59700000234807</v>
      </c>
      <c r="K597" s="311"/>
      <c r="L597" s="311">
        <f t="shared" ref="L597:O597" si="265">SUM(L587:L595)</f>
        <v>529.48600000057866</v>
      </c>
      <c r="M597" s="311">
        <f t="shared" si="265"/>
        <v>119.25599999930397</v>
      </c>
      <c r="N597" s="311">
        <f t="shared" si="265"/>
        <v>231.02400001225922</v>
      </c>
      <c r="O597" s="311">
        <f t="shared" si="265"/>
        <v>879.76600001214172</v>
      </c>
    </row>
    <row r="598" spans="1:15" s="236" customFormat="1" x14ac:dyDescent="0.3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40"/>
    </row>
    <row r="599" spans="1:15" s="236" customFormat="1" x14ac:dyDescent="0.3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40"/>
      <c r="O599" s="251" t="s">
        <v>35</v>
      </c>
    </row>
    <row r="600" spans="1:15" s="236" customFormat="1" x14ac:dyDescent="0.3">
      <c r="A600" s="242"/>
      <c r="B600" s="242"/>
      <c r="C600" s="242"/>
      <c r="D600" s="242"/>
      <c r="E600" s="242"/>
      <c r="F600" s="242"/>
      <c r="G600" s="242"/>
      <c r="H600" s="242"/>
      <c r="I600" s="242"/>
      <c r="J600" s="242"/>
      <c r="K600" s="242"/>
      <c r="L600" s="242"/>
      <c r="M600" s="242"/>
      <c r="N600" s="242"/>
      <c r="O600" s="242"/>
    </row>
    <row r="601" spans="1:15" s="236" customFormat="1" x14ac:dyDescent="0.3">
      <c r="A601" s="241" t="str">
        <f>name!A38</f>
        <v>Water transport</v>
      </c>
      <c r="B601" s="375">
        <f>$B$6</f>
        <v>2015</v>
      </c>
      <c r="C601" s="375"/>
      <c r="D601" s="375"/>
      <c r="E601" s="375"/>
      <c r="F601" s="263"/>
      <c r="G601" s="375">
        <f>$G$6</f>
        <v>2020</v>
      </c>
      <c r="H601" s="375"/>
      <c r="I601" s="375"/>
      <c r="J601" s="375"/>
      <c r="K601" s="263"/>
      <c r="L601" s="375">
        <f>$L$6</f>
        <v>2035</v>
      </c>
      <c r="M601" s="375"/>
      <c r="N601" s="375"/>
      <c r="O601" s="375"/>
    </row>
    <row r="602" spans="1:15" s="236" customFormat="1" x14ac:dyDescent="0.3">
      <c r="A602" s="254"/>
      <c r="B602" s="268" t="str">
        <f>$B$7</f>
        <v>FT</v>
      </c>
      <c r="C602" s="268" t="str">
        <f>$C$7</f>
        <v>PT</v>
      </c>
      <c r="D602" s="268" t="str">
        <f>$D$7</f>
        <v>SE</v>
      </c>
      <c r="E602" s="268" t="str">
        <f>$E$7</f>
        <v>Total</v>
      </c>
      <c r="F602" s="268"/>
      <c r="G602" s="268" t="str">
        <f>$G$7</f>
        <v>FT</v>
      </c>
      <c r="H602" s="268" t="str">
        <f>$H$7</f>
        <v>PT</v>
      </c>
      <c r="I602" s="268" t="str">
        <f>$I$7</f>
        <v>SE</v>
      </c>
      <c r="J602" s="268" t="str">
        <f>$J$7</f>
        <v>Total</v>
      </c>
      <c r="K602" s="268"/>
      <c r="L602" s="268" t="str">
        <f>$L$7</f>
        <v>FT</v>
      </c>
      <c r="M602" s="268" t="str">
        <f>$M$7</f>
        <v>PT</v>
      </c>
      <c r="N602" s="268" t="str">
        <f>$N$7</f>
        <v>SE</v>
      </c>
      <c r="O602" s="268" t="str">
        <f>$O$7</f>
        <v>Total</v>
      </c>
    </row>
    <row r="603" spans="1:15" s="236" customFormat="1" x14ac:dyDescent="0.3">
      <c r="A603" s="258"/>
      <c r="B603" s="239"/>
      <c r="C603" s="239"/>
      <c r="D603" s="239"/>
      <c r="E603" s="239"/>
      <c r="F603" s="239"/>
      <c r="G603" s="239"/>
      <c r="H603" s="239"/>
      <c r="I603" s="239"/>
      <c r="J603" s="239"/>
      <c r="K603" s="239"/>
      <c r="L603" s="239"/>
      <c r="M603" s="239"/>
      <c r="N603" s="239"/>
      <c r="O603" s="239"/>
    </row>
    <row r="604" spans="1:15" s="236" customFormat="1" x14ac:dyDescent="0.3">
      <c r="A604" s="237" t="str">
        <f>name!E$4</f>
        <v>Managers, directors and senior officials</v>
      </c>
      <c r="B604" s="302">
        <v>1.500872596978442</v>
      </c>
      <c r="C604" s="302">
        <v>0.34433184289436547</v>
      </c>
      <c r="D604" s="302">
        <v>0.16857546209831187</v>
      </c>
      <c r="E604" s="302">
        <f>SUM(B604:D604)</f>
        <v>2.0137799019711191</v>
      </c>
      <c r="F604" s="303"/>
      <c r="G604" s="302">
        <v>1.3125473214739765</v>
      </c>
      <c r="H604" s="302">
        <v>0.48405027021685504</v>
      </c>
      <c r="I604" s="302">
        <v>1.116808773246563</v>
      </c>
      <c r="J604" s="302">
        <f>SUM(G604:I604)</f>
        <v>2.9134063649373942</v>
      </c>
      <c r="K604" s="303"/>
      <c r="L604" s="302">
        <v>1.150627370697795</v>
      </c>
      <c r="M604" s="302">
        <v>0.44284889167576252</v>
      </c>
      <c r="N604" s="302">
        <v>0.88182275904401497</v>
      </c>
      <c r="O604" s="302">
        <f>SUM(L604:N604)</f>
        <v>2.4752990214175723</v>
      </c>
    </row>
    <row r="605" spans="1:15" s="236" customFormat="1" x14ac:dyDescent="0.3">
      <c r="A605" s="237" t="str">
        <f>name!E$5</f>
        <v>Professional occupations</v>
      </c>
      <c r="B605" s="302">
        <v>2.5631012292124042</v>
      </c>
      <c r="C605" s="302">
        <v>0.24902211678390496</v>
      </c>
      <c r="D605" s="302">
        <v>0.14170301467510224</v>
      </c>
      <c r="E605" s="302">
        <f t="shared" ref="E605:E612" si="266">SUM(B605:D605)</f>
        <v>2.9538263606714112</v>
      </c>
      <c r="F605" s="303"/>
      <c r="G605" s="302">
        <v>2.5247755093394999</v>
      </c>
      <c r="H605" s="302">
        <v>0.38538258958076038</v>
      </c>
      <c r="I605" s="302">
        <v>0.68412636921245529</v>
      </c>
      <c r="J605" s="302">
        <f t="shared" ref="J605:J607" si="267">SUM(G605:I605)</f>
        <v>3.5942844681327157</v>
      </c>
      <c r="K605" s="303"/>
      <c r="L605" s="302">
        <v>2.5227354716287782</v>
      </c>
      <c r="M605" s="302">
        <v>0.40071716811241115</v>
      </c>
      <c r="N605" s="302">
        <v>0.49338319278438542</v>
      </c>
      <c r="O605" s="302">
        <f t="shared" ref="O605:O612" si="268">SUM(L605:N605)</f>
        <v>3.416835832525575</v>
      </c>
    </row>
    <row r="606" spans="1:15" s="236" customFormat="1" x14ac:dyDescent="0.3">
      <c r="A606" s="237" t="str">
        <f>name!E$6</f>
        <v>Associate professional occupations</v>
      </c>
      <c r="B606" s="302">
        <v>3.3109395557223262</v>
      </c>
      <c r="C606" s="302">
        <v>0.22540798692832598</v>
      </c>
      <c r="D606" s="302">
        <v>0.20377765425459929</v>
      </c>
      <c r="E606" s="302">
        <f t="shared" si="266"/>
        <v>3.7401251969052516</v>
      </c>
      <c r="F606" s="303"/>
      <c r="G606" s="302">
        <v>2.8518954428648349</v>
      </c>
      <c r="H606" s="302">
        <v>0.29415243645127176</v>
      </c>
      <c r="I606" s="302">
        <v>0.89670321762474092</v>
      </c>
      <c r="J606" s="302">
        <f t="shared" si="267"/>
        <v>4.0427510969408473</v>
      </c>
      <c r="K606" s="303"/>
      <c r="L606" s="302">
        <v>2.2181863398065111</v>
      </c>
      <c r="M606" s="302">
        <v>0.24562212985651297</v>
      </c>
      <c r="N606" s="302">
        <v>0.65765668857256043</v>
      </c>
      <c r="O606" s="302">
        <f t="shared" si="268"/>
        <v>3.1214651582355848</v>
      </c>
    </row>
    <row r="607" spans="1:15" s="236" customFormat="1" x14ac:dyDescent="0.3">
      <c r="A607" s="237" t="str">
        <f>name!E$7</f>
        <v>Administrative and secretarial occupations</v>
      </c>
      <c r="B607" s="302">
        <v>3.0341333983063938</v>
      </c>
      <c r="C607" s="302">
        <v>0.8814633469998967</v>
      </c>
      <c r="D607" s="302">
        <v>0.1291259803164688</v>
      </c>
      <c r="E607" s="302">
        <f t="shared" si="266"/>
        <v>4.0447227256227594</v>
      </c>
      <c r="F607" s="303"/>
      <c r="G607" s="302">
        <v>2.4765088934082731</v>
      </c>
      <c r="H607" s="302">
        <v>0.95696937058334586</v>
      </c>
      <c r="I607" s="302">
        <v>0.21020817343525147</v>
      </c>
      <c r="J607" s="302">
        <f t="shared" si="267"/>
        <v>3.6436864374268705</v>
      </c>
      <c r="K607" s="303"/>
      <c r="L607" s="302">
        <v>1.7978606724670865</v>
      </c>
      <c r="M607" s="302">
        <v>0.58110125517626299</v>
      </c>
      <c r="N607" s="302">
        <v>0.16408627918504309</v>
      </c>
      <c r="O607" s="302">
        <f t="shared" si="268"/>
        <v>2.5430482068283928</v>
      </c>
    </row>
    <row r="608" spans="1:15" s="236" customFormat="1" x14ac:dyDescent="0.3">
      <c r="A608" s="237" t="str">
        <f>name!E$8</f>
        <v>Skilled trades occupations</v>
      </c>
      <c r="B608" s="302">
        <v>0.37857613063579609</v>
      </c>
      <c r="C608" s="302">
        <v>0.15867694426887516</v>
      </c>
      <c r="D608" s="302">
        <v>9.180638399692316E-2</v>
      </c>
      <c r="E608" s="302">
        <f t="shared" si="266"/>
        <v>0.62905945890159443</v>
      </c>
      <c r="F608" s="303"/>
      <c r="G608" s="302">
        <v>0.27299927083866338</v>
      </c>
      <c r="H608" s="302">
        <v>9.8097012012629853E-2</v>
      </c>
      <c r="I608" s="302">
        <v>0.32238743174813367</v>
      </c>
      <c r="J608" s="302">
        <f>SUM(G608:I608)</f>
        <v>0.69348371459942693</v>
      </c>
      <c r="K608" s="303"/>
      <c r="L608" s="302">
        <v>0.25916221041372739</v>
      </c>
      <c r="M608" s="302">
        <v>7.1204545657644405E-2</v>
      </c>
      <c r="N608" s="302">
        <v>0.17549739772623843</v>
      </c>
      <c r="O608" s="302">
        <f t="shared" si="268"/>
        <v>0.50586415379761018</v>
      </c>
    </row>
    <row r="609" spans="1:15" s="236" customFormat="1" x14ac:dyDescent="0.3">
      <c r="A609" s="237" t="str">
        <f>name!E$9</f>
        <v>Caring, leisure and other service occupations</v>
      </c>
      <c r="B609" s="302">
        <v>0.84680394402413206</v>
      </c>
      <c r="C609" s="302">
        <v>0.39939392126119611</v>
      </c>
      <c r="D609" s="302">
        <v>4.8970760799699961E-2</v>
      </c>
      <c r="E609" s="302">
        <f t="shared" si="266"/>
        <v>1.2951686260850281</v>
      </c>
      <c r="F609" s="303"/>
      <c r="G609" s="302">
        <v>0.58956557958576272</v>
      </c>
      <c r="H609" s="302">
        <v>0.34611727347052074</v>
      </c>
      <c r="I609" s="302">
        <v>9.6097613450342262E-2</v>
      </c>
      <c r="J609" s="302">
        <f t="shared" ref="J609:J612" si="269">SUM(G609:I609)</f>
        <v>1.0317804665066257</v>
      </c>
      <c r="K609" s="303"/>
      <c r="L609" s="302">
        <v>0.4630736501390611</v>
      </c>
      <c r="M609" s="302">
        <v>0.24748813395414496</v>
      </c>
      <c r="N609" s="302">
        <v>0.11622451607104518</v>
      </c>
      <c r="O609" s="302">
        <f t="shared" si="268"/>
        <v>0.82678630016425125</v>
      </c>
    </row>
    <row r="610" spans="1:15" s="236" customFormat="1" x14ac:dyDescent="0.3">
      <c r="A610" s="237" t="str">
        <f>name!E$10</f>
        <v>Sales and customer service occupations</v>
      </c>
      <c r="B610" s="302">
        <v>0.78659728921420125</v>
      </c>
      <c r="C610" s="302">
        <v>0.23400326617062869</v>
      </c>
      <c r="D610" s="302">
        <v>3.1579382174787819E-2</v>
      </c>
      <c r="E610" s="302">
        <f t="shared" si="266"/>
        <v>1.0521799375596177</v>
      </c>
      <c r="F610" s="303"/>
      <c r="G610" s="302">
        <v>0.61267666832333767</v>
      </c>
      <c r="H610" s="302">
        <v>0.24470567109260186</v>
      </c>
      <c r="I610" s="302">
        <v>8.85478154725622E-2</v>
      </c>
      <c r="J610" s="302">
        <f t="shared" si="269"/>
        <v>0.94593015488850174</v>
      </c>
      <c r="K610" s="303"/>
      <c r="L610" s="302">
        <v>0.54129627863321317</v>
      </c>
      <c r="M610" s="302">
        <v>0.21773270702006015</v>
      </c>
      <c r="N610" s="302">
        <v>7.1662580908177578E-2</v>
      </c>
      <c r="O610" s="302">
        <f t="shared" si="268"/>
        <v>0.83069156656145082</v>
      </c>
    </row>
    <row r="611" spans="1:15" s="236" customFormat="1" x14ac:dyDescent="0.3">
      <c r="A611" s="237" t="str">
        <f>name!E$11</f>
        <v>Process, plant and machine operatives</v>
      </c>
      <c r="B611" s="302">
        <v>0.65828490575611232</v>
      </c>
      <c r="C611" s="302">
        <v>0.25919951992044526</v>
      </c>
      <c r="D611" s="302">
        <v>9.6110527811854779E-2</v>
      </c>
      <c r="E611" s="302">
        <f t="shared" si="266"/>
        <v>1.0135949534884123</v>
      </c>
      <c r="F611" s="303"/>
      <c r="G611" s="302">
        <v>0.53566634002360358</v>
      </c>
      <c r="H611" s="302">
        <v>0.21252489435563079</v>
      </c>
      <c r="I611" s="302">
        <v>0.34136809745940205</v>
      </c>
      <c r="J611" s="302">
        <f t="shared" si="269"/>
        <v>1.0895593318386365</v>
      </c>
      <c r="K611" s="303"/>
      <c r="L611" s="302">
        <v>0.26014398715673293</v>
      </c>
      <c r="M611" s="302">
        <v>0.2205329986108876</v>
      </c>
      <c r="N611" s="302">
        <v>0.23292415172381262</v>
      </c>
      <c r="O611" s="302">
        <f t="shared" si="268"/>
        <v>0.71360113749143317</v>
      </c>
    </row>
    <row r="612" spans="1:15" s="236" customFormat="1" x14ac:dyDescent="0.3">
      <c r="A612" s="237" t="str">
        <f>name!E$12</f>
        <v>Elementary occupations</v>
      </c>
      <c r="B612" s="302">
        <v>0.9186909501655921</v>
      </c>
      <c r="C612" s="302">
        <v>0.24750105480514084</v>
      </c>
      <c r="D612" s="302">
        <v>9.0350833889535895E-2</v>
      </c>
      <c r="E612" s="302">
        <f t="shared" si="266"/>
        <v>1.2565428388602686</v>
      </c>
      <c r="F612" s="303"/>
      <c r="G612" s="302">
        <v>0.60136497410483281</v>
      </c>
      <c r="H612" s="302">
        <v>0.19300048227370933</v>
      </c>
      <c r="I612" s="302">
        <v>0.24375250839883422</v>
      </c>
      <c r="J612" s="302">
        <f t="shared" si="269"/>
        <v>1.0381179647773764</v>
      </c>
      <c r="K612" s="303"/>
      <c r="L612" s="302">
        <v>0.37091401905256866</v>
      </c>
      <c r="M612" s="302">
        <v>0.10475216992842169</v>
      </c>
      <c r="N612" s="302">
        <v>0.16474243406096883</v>
      </c>
      <c r="O612" s="302">
        <f t="shared" si="268"/>
        <v>0.64040862304195922</v>
      </c>
    </row>
    <row r="613" spans="1:15" s="236" customFormat="1" x14ac:dyDescent="0.3">
      <c r="A613" s="237"/>
      <c r="B613" s="302"/>
      <c r="C613" s="302"/>
      <c r="D613" s="302"/>
      <c r="E613" s="302"/>
      <c r="F613" s="303"/>
      <c r="G613" s="302"/>
      <c r="H613" s="302"/>
      <c r="I613" s="302"/>
      <c r="J613" s="302"/>
      <c r="K613" s="303"/>
      <c r="L613" s="302"/>
      <c r="M613" s="302"/>
      <c r="N613" s="302"/>
      <c r="O613" s="302"/>
    </row>
    <row r="614" spans="1:15" s="236" customFormat="1" x14ac:dyDescent="0.3">
      <c r="A614" s="244" t="s">
        <v>32</v>
      </c>
      <c r="B614" s="311">
        <f>SUM(B604:B612)</f>
        <v>13.998000000015399</v>
      </c>
      <c r="C614" s="311">
        <f t="shared" ref="C614:E614" si="270">SUM(C604:C612)</f>
        <v>2.9990000000327788</v>
      </c>
      <c r="D614" s="311">
        <f t="shared" si="270"/>
        <v>1.002000000017284</v>
      </c>
      <c r="E614" s="311">
        <f t="shared" si="270"/>
        <v>17.999000000065465</v>
      </c>
      <c r="F614" s="311"/>
      <c r="G614" s="311">
        <f t="shared" ref="G614:J614" si="271">SUM(G604:G612)</f>
        <v>11.777999999962784</v>
      </c>
      <c r="H614" s="311">
        <f t="shared" si="271"/>
        <v>3.2150000000373251</v>
      </c>
      <c r="I614" s="311">
        <f t="shared" si="271"/>
        <v>4.0000000000482849</v>
      </c>
      <c r="J614" s="311">
        <f t="shared" si="271"/>
        <v>18.993000000048397</v>
      </c>
      <c r="K614" s="311"/>
      <c r="L614" s="311">
        <f t="shared" ref="L614:O614" si="272">SUM(L604:L612)</f>
        <v>9.5839999999954735</v>
      </c>
      <c r="M614" s="311">
        <f t="shared" si="272"/>
        <v>2.5319999999921086</v>
      </c>
      <c r="N614" s="311">
        <f t="shared" si="272"/>
        <v>2.9580000000762472</v>
      </c>
      <c r="O614" s="311">
        <f t="shared" si="272"/>
        <v>15.07400000006383</v>
      </c>
    </row>
    <row r="615" spans="1:15" s="236" customFormat="1" x14ac:dyDescent="0.3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40"/>
    </row>
    <row r="616" spans="1:15" s="236" customFormat="1" x14ac:dyDescent="0.3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40"/>
      <c r="O616" s="251" t="s">
        <v>35</v>
      </c>
    </row>
    <row r="617" spans="1:15" s="236" customFormat="1" x14ac:dyDescent="0.3">
      <c r="A617" s="242"/>
      <c r="B617" s="242"/>
      <c r="C617" s="242"/>
      <c r="D617" s="242"/>
      <c r="E617" s="242"/>
      <c r="F617" s="242"/>
      <c r="G617" s="242"/>
      <c r="H617" s="242"/>
      <c r="I617" s="242"/>
      <c r="J617" s="242"/>
      <c r="K617" s="242"/>
      <c r="L617" s="242"/>
      <c r="M617" s="242"/>
      <c r="N617" s="242"/>
      <c r="O617" s="242"/>
    </row>
    <row r="618" spans="1:15" s="236" customFormat="1" x14ac:dyDescent="0.3">
      <c r="A618" s="241" t="str">
        <f>name!A39</f>
        <v>Air transport</v>
      </c>
      <c r="B618" s="375">
        <f>$B$6</f>
        <v>2015</v>
      </c>
      <c r="C618" s="375"/>
      <c r="D618" s="375"/>
      <c r="E618" s="375"/>
      <c r="F618" s="263"/>
      <c r="G618" s="375">
        <f>$G$6</f>
        <v>2020</v>
      </c>
      <c r="H618" s="375"/>
      <c r="I618" s="375"/>
      <c r="J618" s="375"/>
      <c r="K618" s="263"/>
      <c r="L618" s="375">
        <f>$L$6</f>
        <v>2035</v>
      </c>
      <c r="M618" s="375"/>
      <c r="N618" s="375"/>
      <c r="O618" s="375"/>
    </row>
    <row r="619" spans="1:15" s="236" customFormat="1" x14ac:dyDescent="0.3">
      <c r="A619" s="254"/>
      <c r="B619" s="268" t="str">
        <f>$B$7</f>
        <v>FT</v>
      </c>
      <c r="C619" s="268" t="str">
        <f>$C$7</f>
        <v>PT</v>
      </c>
      <c r="D619" s="268" t="str">
        <f>$D$7</f>
        <v>SE</v>
      </c>
      <c r="E619" s="268" t="str">
        <f>$E$7</f>
        <v>Total</v>
      </c>
      <c r="F619" s="268"/>
      <c r="G619" s="268" t="str">
        <f>$G$7</f>
        <v>FT</v>
      </c>
      <c r="H619" s="268" t="str">
        <f>$H$7</f>
        <v>PT</v>
      </c>
      <c r="I619" s="268" t="str">
        <f>$I$7</f>
        <v>SE</v>
      </c>
      <c r="J619" s="268" t="str">
        <f>$J$7</f>
        <v>Total</v>
      </c>
      <c r="K619" s="268"/>
      <c r="L619" s="268" t="str">
        <f>$L$7</f>
        <v>FT</v>
      </c>
      <c r="M619" s="268" t="str">
        <f>$M$7</f>
        <v>PT</v>
      </c>
      <c r="N619" s="268" t="str">
        <f>$N$7</f>
        <v>SE</v>
      </c>
      <c r="O619" s="268" t="str">
        <f>$O$7</f>
        <v>Total</v>
      </c>
    </row>
    <row r="620" spans="1:15" s="236" customFormat="1" x14ac:dyDescent="0.3">
      <c r="A620" s="258"/>
      <c r="B620" s="239"/>
      <c r="C620" s="239"/>
      <c r="D620" s="239"/>
      <c r="E620" s="239"/>
      <c r="F620" s="239"/>
      <c r="G620" s="239"/>
      <c r="H620" s="239"/>
      <c r="I620" s="239"/>
      <c r="J620" s="239"/>
      <c r="K620" s="239"/>
      <c r="L620" s="239"/>
      <c r="M620" s="239"/>
      <c r="N620" s="239"/>
      <c r="O620" s="239"/>
    </row>
    <row r="621" spans="1:15" s="236" customFormat="1" x14ac:dyDescent="0.3">
      <c r="A621" s="237" t="str">
        <f>name!E$4</f>
        <v>Managers, directors and senior officials</v>
      </c>
      <c r="B621" s="302">
        <v>4.0929501127253145</v>
      </c>
      <c r="C621" s="302">
        <v>0.46308853326316607</v>
      </c>
      <c r="D621" s="302">
        <v>0.12709797641675477</v>
      </c>
      <c r="E621" s="302">
        <f>SUM(B621:D621)</f>
        <v>4.6831366224052351</v>
      </c>
      <c r="F621" s="303"/>
      <c r="G621" s="302">
        <v>4.5779063605353301</v>
      </c>
      <c r="H621" s="302">
        <v>0.47697562802331123</v>
      </c>
      <c r="I621" s="302">
        <v>0.63686894830003726</v>
      </c>
      <c r="J621" s="302">
        <f>SUM(G621:I621)</f>
        <v>5.6917509368586785</v>
      </c>
      <c r="K621" s="303"/>
      <c r="L621" s="302">
        <v>5.0517748367265716</v>
      </c>
      <c r="M621" s="302">
        <v>0.58073641948139609</v>
      </c>
      <c r="N621" s="302">
        <v>0.73354291793314608</v>
      </c>
      <c r="O621" s="302">
        <f>SUM(L621:N621)</f>
        <v>6.3660541741411141</v>
      </c>
    </row>
    <row r="622" spans="1:15" s="236" customFormat="1" x14ac:dyDescent="0.3">
      <c r="A622" s="237" t="str">
        <f>name!E$5</f>
        <v>Professional occupations</v>
      </c>
      <c r="B622" s="302">
        <v>7.9847683898231239</v>
      </c>
      <c r="C622" s="302">
        <v>1.0042249555497049</v>
      </c>
      <c r="D622" s="302">
        <v>0.16957807021695748</v>
      </c>
      <c r="E622" s="302">
        <f t="shared" ref="E622:E629" si="273">SUM(B622:D622)</f>
        <v>9.1585714155897868</v>
      </c>
      <c r="F622" s="303"/>
      <c r="G622" s="302">
        <v>10.03262810465989</v>
      </c>
      <c r="H622" s="302">
        <v>1.2356034237766793</v>
      </c>
      <c r="I622" s="302">
        <v>0.59627768698254202</v>
      </c>
      <c r="J622" s="302">
        <f t="shared" ref="J622:J624" si="274">SUM(G622:I622)</f>
        <v>11.864509215419112</v>
      </c>
      <c r="K622" s="303"/>
      <c r="L622" s="302">
        <v>12.543041006180104</v>
      </c>
      <c r="M622" s="302">
        <v>1.7217627236585487</v>
      </c>
      <c r="N622" s="302">
        <v>0.5172530973356867</v>
      </c>
      <c r="O622" s="302">
        <f t="shared" ref="O622:O629" si="275">SUM(L622:N622)</f>
        <v>14.782056827174339</v>
      </c>
    </row>
    <row r="623" spans="1:15" s="236" customFormat="1" x14ac:dyDescent="0.3">
      <c r="A623" s="237" t="str">
        <f>name!E$6</f>
        <v>Associate professional occupations</v>
      </c>
      <c r="B623" s="302">
        <v>10.747139260743449</v>
      </c>
      <c r="C623" s="302">
        <v>3.304743054704026</v>
      </c>
      <c r="D623" s="302">
        <v>0.18726108537671365</v>
      </c>
      <c r="E623" s="302">
        <f t="shared" si="273"/>
        <v>14.239143400824188</v>
      </c>
      <c r="F623" s="303"/>
      <c r="G623" s="302">
        <v>12.196776267425166</v>
      </c>
      <c r="H623" s="302">
        <v>3.0135602800778005</v>
      </c>
      <c r="I623" s="302">
        <v>0.41575635155548046</v>
      </c>
      <c r="J623" s="302">
        <f t="shared" si="274"/>
        <v>15.626092899058447</v>
      </c>
      <c r="K623" s="303"/>
      <c r="L623" s="302">
        <v>12.065008253029548</v>
      </c>
      <c r="M623" s="302">
        <v>3.3256410115969715</v>
      </c>
      <c r="N623" s="302">
        <v>0.43646156969362254</v>
      </c>
      <c r="O623" s="302">
        <f t="shared" si="275"/>
        <v>15.827110834320143</v>
      </c>
    </row>
    <row r="624" spans="1:15" s="236" customFormat="1" x14ac:dyDescent="0.3">
      <c r="A624" s="237" t="str">
        <f>name!E$7</f>
        <v>Administrative and secretarial occupations</v>
      </c>
      <c r="B624" s="302">
        <v>4.6454221896947914</v>
      </c>
      <c r="C624" s="302">
        <v>2.0066732046937679</v>
      </c>
      <c r="D624" s="302">
        <v>3.8151662069376459E-2</v>
      </c>
      <c r="E624" s="302">
        <f t="shared" si="273"/>
        <v>6.6902470564579355</v>
      </c>
      <c r="F624" s="303"/>
      <c r="G624" s="302">
        <v>4.7472069176679046</v>
      </c>
      <c r="H624" s="302">
        <v>1.9968966949565583</v>
      </c>
      <c r="I624" s="302">
        <v>8.4691637016825347E-2</v>
      </c>
      <c r="J624" s="302">
        <f t="shared" si="274"/>
        <v>6.8287952496412885</v>
      </c>
      <c r="K624" s="303"/>
      <c r="L624" s="302">
        <v>5.2086984781101737</v>
      </c>
      <c r="M624" s="302">
        <v>1.9326398448480699</v>
      </c>
      <c r="N624" s="302">
        <v>0.10932479599098673</v>
      </c>
      <c r="O624" s="302">
        <f t="shared" si="275"/>
        <v>7.2506631189492303</v>
      </c>
    </row>
    <row r="625" spans="1:15" s="236" customFormat="1" x14ac:dyDescent="0.3">
      <c r="A625" s="237" t="str">
        <f>name!E$8</f>
        <v>Skilled trades occupations</v>
      </c>
      <c r="B625" s="302">
        <v>4.5178178127718613</v>
      </c>
      <c r="C625" s="302">
        <v>1.0906012863672609</v>
      </c>
      <c r="D625" s="302">
        <v>0.23207477966591575</v>
      </c>
      <c r="E625" s="302">
        <f t="shared" si="273"/>
        <v>5.840493878805038</v>
      </c>
      <c r="F625" s="303"/>
      <c r="G625" s="302">
        <v>3.4912923575131316</v>
      </c>
      <c r="H625" s="302">
        <v>0.449458609127322</v>
      </c>
      <c r="I625" s="302">
        <v>1.312967939241193</v>
      </c>
      <c r="J625" s="302">
        <f>SUM(G625:I625)</f>
        <v>5.2537189058816463</v>
      </c>
      <c r="K625" s="303"/>
      <c r="L625" s="302">
        <v>3.7259961951381371</v>
      </c>
      <c r="M625" s="302">
        <v>0.54510675092670691</v>
      </c>
      <c r="N625" s="302">
        <v>1.3933882707072802</v>
      </c>
      <c r="O625" s="302">
        <f t="shared" si="275"/>
        <v>5.6644912167721246</v>
      </c>
    </row>
    <row r="626" spans="1:15" s="236" customFormat="1" x14ac:dyDescent="0.3">
      <c r="A626" s="237" t="str">
        <f>name!E$9</f>
        <v>Caring, leisure and other service occupations</v>
      </c>
      <c r="B626" s="302">
        <v>12.327937572104288</v>
      </c>
      <c r="C626" s="302">
        <v>10.162806922692736</v>
      </c>
      <c r="D626" s="302">
        <v>5.7114137355479218E-2</v>
      </c>
      <c r="E626" s="302">
        <f t="shared" si="273"/>
        <v>22.547858632152504</v>
      </c>
      <c r="F626" s="303"/>
      <c r="G626" s="302">
        <v>10.139675275986503</v>
      </c>
      <c r="H626" s="302">
        <v>8.2101867680755092</v>
      </c>
      <c r="I626" s="302">
        <v>0.12135740534597471</v>
      </c>
      <c r="J626" s="302">
        <f t="shared" ref="J626:J629" si="276">SUM(G626:I626)</f>
        <v>18.47121944940799</v>
      </c>
      <c r="K626" s="303"/>
      <c r="L626" s="302">
        <v>9.8779982810950546</v>
      </c>
      <c r="M626" s="302">
        <v>8.8083040118809262</v>
      </c>
      <c r="N626" s="302">
        <v>0.15907903308491592</v>
      </c>
      <c r="O626" s="302">
        <f t="shared" si="275"/>
        <v>18.845381326060895</v>
      </c>
    </row>
    <row r="627" spans="1:15" s="236" customFormat="1" x14ac:dyDescent="0.3">
      <c r="A627" s="237" t="str">
        <f>name!E$10</f>
        <v>Sales and customer service occupations</v>
      </c>
      <c r="B627" s="302">
        <v>1.5988226157238845</v>
      </c>
      <c r="C627" s="302">
        <v>1.7558972907191115</v>
      </c>
      <c r="D627" s="302">
        <v>3.9270627689392726E-2</v>
      </c>
      <c r="E627" s="302">
        <f t="shared" si="273"/>
        <v>3.3939905341323886</v>
      </c>
      <c r="F627" s="303"/>
      <c r="G627" s="302">
        <v>1.5691840734779521</v>
      </c>
      <c r="H627" s="302">
        <v>1.7243891186883706</v>
      </c>
      <c r="I627" s="302">
        <v>0.12366239206024157</v>
      </c>
      <c r="J627" s="302">
        <f t="shared" si="276"/>
        <v>3.4172355842265643</v>
      </c>
      <c r="K627" s="303"/>
      <c r="L627" s="302">
        <v>1.9998628652963595</v>
      </c>
      <c r="M627" s="302">
        <v>2.6571471170464509</v>
      </c>
      <c r="N627" s="302">
        <v>0.10951768102052424</v>
      </c>
      <c r="O627" s="302">
        <f t="shared" si="275"/>
        <v>4.766527663363334</v>
      </c>
    </row>
    <row r="628" spans="1:15" s="236" customFormat="1" x14ac:dyDescent="0.3">
      <c r="A628" s="237" t="str">
        <f>name!E$11</f>
        <v>Process, plant and machine operatives</v>
      </c>
      <c r="B628" s="302">
        <v>4.3075905337897922</v>
      </c>
      <c r="C628" s="302">
        <v>1.5982751917640823</v>
      </c>
      <c r="D628" s="302">
        <v>6.0693298536340125E-2</v>
      </c>
      <c r="E628" s="302">
        <f t="shared" si="273"/>
        <v>5.9665590240902144</v>
      </c>
      <c r="F628" s="303"/>
      <c r="G628" s="302">
        <v>3.5838117791147677</v>
      </c>
      <c r="H628" s="302">
        <v>1.054377645981794</v>
      </c>
      <c r="I628" s="302">
        <v>0.41076014940757744</v>
      </c>
      <c r="J628" s="302">
        <f t="shared" si="276"/>
        <v>5.0489495745041388</v>
      </c>
      <c r="K628" s="303"/>
      <c r="L628" s="302">
        <v>3.7946553135661163</v>
      </c>
      <c r="M628" s="302">
        <v>1.3798913627037785</v>
      </c>
      <c r="N628" s="302">
        <v>0.55930657361730651</v>
      </c>
      <c r="O628" s="302">
        <f t="shared" si="275"/>
        <v>5.7338532498872015</v>
      </c>
    </row>
    <row r="629" spans="1:15" s="236" customFormat="1" x14ac:dyDescent="0.3">
      <c r="A629" s="237" t="str">
        <f>name!E$12</f>
        <v>Elementary occupations</v>
      </c>
      <c r="B629" s="302">
        <v>3.074551512731722</v>
      </c>
      <c r="C629" s="302">
        <v>1.3146895606588849</v>
      </c>
      <c r="D629" s="302">
        <v>8.8758362686490233E-2</v>
      </c>
      <c r="E629" s="302">
        <f t="shared" si="273"/>
        <v>4.4779994360770967</v>
      </c>
      <c r="F629" s="303"/>
      <c r="G629" s="302">
        <v>2.6285188634009473</v>
      </c>
      <c r="H629" s="302">
        <v>0.82655183133562982</v>
      </c>
      <c r="I629" s="302">
        <v>0.29765749006468639</v>
      </c>
      <c r="J629" s="302">
        <f t="shared" si="276"/>
        <v>3.7527281848012635</v>
      </c>
      <c r="K629" s="303"/>
      <c r="L629" s="302">
        <v>3.5869647708219405</v>
      </c>
      <c r="M629" s="302">
        <v>0.68677075769737972</v>
      </c>
      <c r="N629" s="302">
        <v>0.43412606059696646</v>
      </c>
      <c r="O629" s="302">
        <f t="shared" si="275"/>
        <v>4.7078615891162867</v>
      </c>
    </row>
    <row r="630" spans="1:15" s="236" customFormat="1" x14ac:dyDescent="0.3">
      <c r="A630" s="237"/>
      <c r="B630" s="302"/>
      <c r="C630" s="302"/>
      <c r="D630" s="302"/>
      <c r="E630" s="302"/>
      <c r="F630" s="303"/>
      <c r="G630" s="302"/>
      <c r="H630" s="302"/>
      <c r="I630" s="302"/>
      <c r="J630" s="302"/>
      <c r="K630" s="303"/>
      <c r="L630" s="302"/>
      <c r="M630" s="302"/>
      <c r="N630" s="302"/>
      <c r="O630" s="302"/>
    </row>
    <row r="631" spans="1:15" s="236" customFormat="1" x14ac:dyDescent="0.3">
      <c r="A631" s="244" t="s">
        <v>32</v>
      </c>
      <c r="B631" s="311">
        <f>SUM(B621:B629)</f>
        <v>53.297000000108227</v>
      </c>
      <c r="C631" s="311">
        <f t="shared" ref="C631:E631" si="277">SUM(C621:C629)</f>
        <v>22.701000000412741</v>
      </c>
      <c r="D631" s="311">
        <f t="shared" si="277"/>
        <v>1.0000000000134204</v>
      </c>
      <c r="E631" s="311">
        <f t="shared" si="277"/>
        <v>76.99800000053439</v>
      </c>
      <c r="F631" s="311"/>
      <c r="G631" s="311">
        <f t="shared" ref="G631:J631" si="278">SUM(G621:G629)</f>
        <v>52.966999999781592</v>
      </c>
      <c r="H631" s="311">
        <f t="shared" si="278"/>
        <v>18.988000000042973</v>
      </c>
      <c r="I631" s="311">
        <f t="shared" si="278"/>
        <v>3.9999999999745577</v>
      </c>
      <c r="J631" s="311">
        <f t="shared" si="278"/>
        <v>75.954999999799128</v>
      </c>
      <c r="K631" s="311"/>
      <c r="L631" s="311">
        <f t="shared" ref="L631:O631" si="279">SUM(L621:L629)</f>
        <v>57.853999999964003</v>
      </c>
      <c r="M631" s="311">
        <f t="shared" si="279"/>
        <v>21.637999999840229</v>
      </c>
      <c r="N631" s="311">
        <f t="shared" si="279"/>
        <v>4.4519999999804352</v>
      </c>
      <c r="O631" s="311">
        <f t="shared" si="279"/>
        <v>83.94399999978468</v>
      </c>
    </row>
    <row r="632" spans="1:15" s="236" customFormat="1" x14ac:dyDescent="0.3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40"/>
    </row>
    <row r="633" spans="1:15" s="236" customFormat="1" x14ac:dyDescent="0.3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40"/>
      <c r="O633" s="251" t="s">
        <v>35</v>
      </c>
    </row>
    <row r="634" spans="1:15" s="236" customFormat="1" x14ac:dyDescent="0.3">
      <c r="A634" s="242"/>
      <c r="B634" s="242"/>
      <c r="C634" s="242"/>
      <c r="D634" s="242"/>
      <c r="E634" s="242"/>
      <c r="F634" s="242"/>
      <c r="G634" s="242"/>
      <c r="H634" s="242"/>
      <c r="I634" s="242"/>
      <c r="J634" s="242"/>
      <c r="K634" s="242"/>
      <c r="L634" s="242"/>
      <c r="M634" s="242"/>
      <c r="N634" s="242"/>
      <c r="O634" s="242"/>
    </row>
    <row r="635" spans="1:15" s="236" customFormat="1" x14ac:dyDescent="0.3">
      <c r="A635" s="241" t="str">
        <f>name!A40</f>
        <v>Warehousing, etc</v>
      </c>
      <c r="B635" s="375">
        <f>$B$6</f>
        <v>2015</v>
      </c>
      <c r="C635" s="375"/>
      <c r="D635" s="375"/>
      <c r="E635" s="375"/>
      <c r="F635" s="263"/>
      <c r="G635" s="375">
        <f>$G$6</f>
        <v>2020</v>
      </c>
      <c r="H635" s="375"/>
      <c r="I635" s="375"/>
      <c r="J635" s="375"/>
      <c r="K635" s="263"/>
      <c r="L635" s="375">
        <f>$L$6</f>
        <v>2035</v>
      </c>
      <c r="M635" s="375"/>
      <c r="N635" s="375"/>
      <c r="O635" s="375"/>
    </row>
    <row r="636" spans="1:15" s="236" customFormat="1" x14ac:dyDescent="0.3">
      <c r="A636" s="254"/>
      <c r="B636" s="268" t="str">
        <f>$B$7</f>
        <v>FT</v>
      </c>
      <c r="C636" s="268" t="str">
        <f>$C$7</f>
        <v>PT</v>
      </c>
      <c r="D636" s="268" t="str">
        <f>$D$7</f>
        <v>SE</v>
      </c>
      <c r="E636" s="268" t="str">
        <f>$E$7</f>
        <v>Total</v>
      </c>
      <c r="F636" s="268"/>
      <c r="G636" s="268" t="str">
        <f>$G$7</f>
        <v>FT</v>
      </c>
      <c r="H636" s="268" t="str">
        <f>$H$7</f>
        <v>PT</v>
      </c>
      <c r="I636" s="268" t="str">
        <f>$I$7</f>
        <v>SE</v>
      </c>
      <c r="J636" s="268" t="str">
        <f>$J$7</f>
        <v>Total</v>
      </c>
      <c r="K636" s="268"/>
      <c r="L636" s="268" t="str">
        <f>$L$7</f>
        <v>FT</v>
      </c>
      <c r="M636" s="268" t="str">
        <f>$M$7</f>
        <v>PT</v>
      </c>
      <c r="N636" s="268" t="str">
        <f>$N$7</f>
        <v>SE</v>
      </c>
      <c r="O636" s="268" t="str">
        <f>$O$7</f>
        <v>Total</v>
      </c>
    </row>
    <row r="637" spans="1:15" s="236" customFormat="1" x14ac:dyDescent="0.3">
      <c r="A637" s="258"/>
      <c r="B637" s="239"/>
      <c r="C637" s="239"/>
      <c r="D637" s="239"/>
      <c r="E637" s="239"/>
      <c r="F637" s="239"/>
      <c r="G637" s="239"/>
      <c r="H637" s="239"/>
      <c r="I637" s="239"/>
      <c r="J637" s="239"/>
      <c r="K637" s="239"/>
      <c r="L637" s="239"/>
      <c r="M637" s="239"/>
      <c r="N637" s="239"/>
      <c r="O637" s="239"/>
    </row>
    <row r="638" spans="1:15" s="236" customFormat="1" x14ac:dyDescent="0.3">
      <c r="A638" s="237" t="str">
        <f>name!E$4</f>
        <v>Managers, directors and senior officials</v>
      </c>
      <c r="B638" s="302">
        <v>42.526124807595842</v>
      </c>
      <c r="C638" s="302">
        <v>2.4867155969945172</v>
      </c>
      <c r="D638" s="302">
        <v>9.3929706191715141</v>
      </c>
      <c r="E638" s="302">
        <f>SUM(B638:D638)</f>
        <v>54.405811023761871</v>
      </c>
      <c r="F638" s="303"/>
      <c r="G638" s="302">
        <v>55.302347410066901</v>
      </c>
      <c r="H638" s="302">
        <v>6.1632873496945004</v>
      </c>
      <c r="I638" s="302">
        <v>10.688161205595613</v>
      </c>
      <c r="J638" s="302">
        <f>SUM(G638:I638)</f>
        <v>72.153795965357006</v>
      </c>
      <c r="K638" s="303"/>
      <c r="L638" s="302">
        <v>61.365570222688049</v>
      </c>
      <c r="M638" s="302">
        <v>8.1867226048769641</v>
      </c>
      <c r="N638" s="302">
        <v>9.8297900851038147</v>
      </c>
      <c r="O638" s="302">
        <f>SUM(L638:N638)</f>
        <v>79.382082912668821</v>
      </c>
    </row>
    <row r="639" spans="1:15" s="236" customFormat="1" x14ac:dyDescent="0.3">
      <c r="A639" s="237" t="str">
        <f>name!E$5</f>
        <v>Professional occupations</v>
      </c>
      <c r="B639" s="302">
        <v>33.580865925615264</v>
      </c>
      <c r="C639" s="302">
        <v>1.6545272769388613</v>
      </c>
      <c r="D639" s="302">
        <v>3.2124961802701137</v>
      </c>
      <c r="E639" s="302">
        <f t="shared" ref="E639:E646" si="280">SUM(B639:D639)</f>
        <v>38.447889382824243</v>
      </c>
      <c r="F639" s="303"/>
      <c r="G639" s="302">
        <v>50.542206261416638</v>
      </c>
      <c r="H639" s="302">
        <v>4.2902298627472932</v>
      </c>
      <c r="I639" s="302">
        <v>3.1402238579379929</v>
      </c>
      <c r="J639" s="302">
        <f t="shared" ref="J639:J641" si="281">SUM(G639:I639)</f>
        <v>57.972659982101924</v>
      </c>
      <c r="K639" s="303"/>
      <c r="L639" s="302">
        <v>69.354864161069216</v>
      </c>
      <c r="M639" s="302">
        <v>6.5444544613431752</v>
      </c>
      <c r="N639" s="302">
        <v>2.501877324288809</v>
      </c>
      <c r="O639" s="302">
        <f t="shared" ref="O639:O646" si="282">SUM(L639:N639)</f>
        <v>78.401195946701208</v>
      </c>
    </row>
    <row r="640" spans="1:15" s="236" customFormat="1" x14ac:dyDescent="0.3">
      <c r="A640" s="237" t="str">
        <f>name!E$6</f>
        <v>Associate professional occupations</v>
      </c>
      <c r="B640" s="302">
        <v>30.815429622948574</v>
      </c>
      <c r="C640" s="302">
        <v>2.3650602174366107</v>
      </c>
      <c r="D640" s="302">
        <v>2.8751675973539896</v>
      </c>
      <c r="E640" s="302">
        <f t="shared" si="280"/>
        <v>36.055657437739171</v>
      </c>
      <c r="F640" s="303"/>
      <c r="G640" s="302">
        <v>43.072894632368453</v>
      </c>
      <c r="H640" s="302">
        <v>5.2128533240089441</v>
      </c>
      <c r="I640" s="302">
        <v>2.6262299306791741</v>
      </c>
      <c r="J640" s="302">
        <f t="shared" si="281"/>
        <v>50.911977887056572</v>
      </c>
      <c r="K640" s="303"/>
      <c r="L640" s="302">
        <v>49.340925365135917</v>
      </c>
      <c r="M640" s="302">
        <v>6.306752942032154</v>
      </c>
      <c r="N640" s="302">
        <v>2.1345745309816806</v>
      </c>
      <c r="O640" s="302">
        <f t="shared" si="282"/>
        <v>57.782252838149752</v>
      </c>
    </row>
    <row r="641" spans="1:15" s="236" customFormat="1" x14ac:dyDescent="0.3">
      <c r="A641" s="237" t="str">
        <f>name!E$7</f>
        <v>Administrative and secretarial occupations</v>
      </c>
      <c r="B641" s="302">
        <v>39.636871067731782</v>
      </c>
      <c r="C641" s="302">
        <v>8.7711149966059008</v>
      </c>
      <c r="D641" s="302">
        <v>1.8400264290215385</v>
      </c>
      <c r="E641" s="302">
        <f t="shared" si="280"/>
        <v>50.248012493359226</v>
      </c>
      <c r="F641" s="303"/>
      <c r="G641" s="302">
        <v>51.340605947385654</v>
      </c>
      <c r="H641" s="302">
        <v>15.18261270134083</v>
      </c>
      <c r="I641" s="302">
        <v>1.3433453808675944</v>
      </c>
      <c r="J641" s="302">
        <f t="shared" si="281"/>
        <v>67.866564029594073</v>
      </c>
      <c r="K641" s="303"/>
      <c r="L641" s="302">
        <v>53.114270594758835</v>
      </c>
      <c r="M641" s="302">
        <v>14.703602170859517</v>
      </c>
      <c r="N641" s="302">
        <v>1.2999275632058285</v>
      </c>
      <c r="O641" s="302">
        <f t="shared" si="282"/>
        <v>69.117800328824174</v>
      </c>
    </row>
    <row r="642" spans="1:15" s="236" customFormat="1" x14ac:dyDescent="0.3">
      <c r="A642" s="237" t="str">
        <f>name!E$8</f>
        <v>Skilled trades occupations</v>
      </c>
      <c r="B642" s="302">
        <v>13.866250579186579</v>
      </c>
      <c r="C642" s="302">
        <v>2.0607506817040409</v>
      </c>
      <c r="D642" s="302">
        <v>2.5634800616520312</v>
      </c>
      <c r="E642" s="302">
        <f t="shared" si="280"/>
        <v>18.490481322542649</v>
      </c>
      <c r="F642" s="303"/>
      <c r="G642" s="302">
        <v>13.211863419909252</v>
      </c>
      <c r="H642" s="302">
        <v>2.4995221719964711</v>
      </c>
      <c r="I642" s="302">
        <v>2.3220011711599535</v>
      </c>
      <c r="J642" s="302">
        <f>SUM(G642:I642)</f>
        <v>18.033386763065675</v>
      </c>
      <c r="K642" s="303"/>
      <c r="L642" s="302">
        <v>14.55950566327626</v>
      </c>
      <c r="M642" s="302">
        <v>4.0211297191856685</v>
      </c>
      <c r="N642" s="302">
        <v>2.3285409598251441</v>
      </c>
      <c r="O642" s="302">
        <f t="shared" si="282"/>
        <v>20.909176342287072</v>
      </c>
    </row>
    <row r="643" spans="1:15" s="236" customFormat="1" x14ac:dyDescent="0.3">
      <c r="A643" s="237" t="str">
        <f>name!E$9</f>
        <v>Caring, leisure and other service occupations</v>
      </c>
      <c r="B643" s="302">
        <v>27.504761829660989</v>
      </c>
      <c r="C643" s="302">
        <v>15.610219721203549</v>
      </c>
      <c r="D643" s="302">
        <v>7.0095188149799172</v>
      </c>
      <c r="E643" s="302">
        <f t="shared" si="280"/>
        <v>50.124500365844462</v>
      </c>
      <c r="F643" s="303"/>
      <c r="G643" s="302">
        <v>31.821926591335231</v>
      </c>
      <c r="H643" s="302">
        <v>20.592519612620219</v>
      </c>
      <c r="I643" s="302">
        <v>5.5079513437979681</v>
      </c>
      <c r="J643" s="302">
        <f t="shared" ref="J643:J646" si="283">SUM(G643:I643)</f>
        <v>57.92239754775342</v>
      </c>
      <c r="K643" s="303"/>
      <c r="L643" s="302">
        <v>34.728637066037095</v>
      </c>
      <c r="M643" s="302">
        <v>23.372427307849239</v>
      </c>
      <c r="N643" s="302">
        <v>6.329275241153101</v>
      </c>
      <c r="O643" s="302">
        <f t="shared" si="282"/>
        <v>64.430339615039429</v>
      </c>
    </row>
    <row r="644" spans="1:15" s="236" customFormat="1" x14ac:dyDescent="0.3">
      <c r="A644" s="237" t="str">
        <f>name!E$10</f>
        <v>Sales and customer service occupations</v>
      </c>
      <c r="B644" s="302">
        <v>19.549267154073544</v>
      </c>
      <c r="C644" s="302">
        <v>4.7806954477868846</v>
      </c>
      <c r="D644" s="302">
        <v>2.1404608768169289</v>
      </c>
      <c r="E644" s="302">
        <f t="shared" si="280"/>
        <v>26.470423478677358</v>
      </c>
      <c r="F644" s="303"/>
      <c r="G644" s="302">
        <v>23.432501354166451</v>
      </c>
      <c r="H644" s="302">
        <v>8.2064202785934466</v>
      </c>
      <c r="I644" s="302">
        <v>1.9546687920029686</v>
      </c>
      <c r="J644" s="302">
        <f t="shared" si="283"/>
        <v>33.593590424762866</v>
      </c>
      <c r="K644" s="303"/>
      <c r="L644" s="302">
        <v>28.926395414237174</v>
      </c>
      <c r="M644" s="302">
        <v>11.01955761791562</v>
      </c>
      <c r="N644" s="302">
        <v>1.5818289862189661</v>
      </c>
      <c r="O644" s="302">
        <f t="shared" si="282"/>
        <v>41.527782018371759</v>
      </c>
    </row>
    <row r="645" spans="1:15" s="236" customFormat="1" x14ac:dyDescent="0.3">
      <c r="A645" s="237" t="str">
        <f>name!E$11</f>
        <v>Process, plant and machine operatives</v>
      </c>
      <c r="B645" s="302">
        <v>89.738770613305533</v>
      </c>
      <c r="C645" s="302">
        <v>8.8758451872925406</v>
      </c>
      <c r="D645" s="302">
        <v>3.1170892918531923</v>
      </c>
      <c r="E645" s="302">
        <f t="shared" si="280"/>
        <v>101.73170509245126</v>
      </c>
      <c r="F645" s="303"/>
      <c r="G645" s="302">
        <v>87.965336670453794</v>
      </c>
      <c r="H645" s="302">
        <v>15.775525433449708</v>
      </c>
      <c r="I645" s="302">
        <v>4.0517614664426915</v>
      </c>
      <c r="J645" s="302">
        <f t="shared" si="283"/>
        <v>107.79262357034619</v>
      </c>
      <c r="K645" s="303"/>
      <c r="L645" s="302">
        <v>97.747095587352376</v>
      </c>
      <c r="M645" s="302">
        <v>20.662935997120805</v>
      </c>
      <c r="N645" s="302">
        <v>4.0211169945196508</v>
      </c>
      <c r="O645" s="302">
        <f t="shared" si="282"/>
        <v>122.43114857899283</v>
      </c>
    </row>
    <row r="646" spans="1:15" s="236" customFormat="1" x14ac:dyDescent="0.3">
      <c r="A646" s="237" t="str">
        <f>name!E$12</f>
        <v>Elementary occupations</v>
      </c>
      <c r="B646" s="302">
        <v>93.516658401391211</v>
      </c>
      <c r="C646" s="302">
        <v>11.989070875032091</v>
      </c>
      <c r="D646" s="302">
        <v>2.0787901295284388</v>
      </c>
      <c r="E646" s="302">
        <f t="shared" si="280"/>
        <v>107.58451940595174</v>
      </c>
      <c r="F646" s="303"/>
      <c r="G646" s="302">
        <v>83.390317712047249</v>
      </c>
      <c r="H646" s="302">
        <v>16.07902926592541</v>
      </c>
      <c r="I646" s="302">
        <v>1.6646568518964333</v>
      </c>
      <c r="J646" s="302">
        <f t="shared" si="283"/>
        <v>101.1340038298691</v>
      </c>
      <c r="K646" s="303"/>
      <c r="L646" s="302">
        <v>62.018735926029841</v>
      </c>
      <c r="M646" s="302">
        <v>12.894417178354686</v>
      </c>
      <c r="N646" s="302">
        <v>1.7510683155303584</v>
      </c>
      <c r="O646" s="302">
        <f t="shared" si="282"/>
        <v>76.664221419914881</v>
      </c>
    </row>
    <row r="647" spans="1:15" s="236" customFormat="1" x14ac:dyDescent="0.3">
      <c r="A647" s="237"/>
      <c r="B647" s="302"/>
      <c r="C647" s="302"/>
      <c r="D647" s="302"/>
      <c r="E647" s="302"/>
      <c r="F647" s="303"/>
      <c r="G647" s="302"/>
      <c r="H647" s="302"/>
      <c r="I647" s="302"/>
      <c r="J647" s="302"/>
      <c r="K647" s="303"/>
      <c r="L647" s="302"/>
      <c r="M647" s="302"/>
      <c r="N647" s="302"/>
      <c r="O647" s="302"/>
    </row>
    <row r="648" spans="1:15" s="236" customFormat="1" x14ac:dyDescent="0.3">
      <c r="A648" s="244" t="s">
        <v>32</v>
      </c>
      <c r="B648" s="311">
        <f>SUM(B638:B646)</f>
        <v>390.73500000150932</v>
      </c>
      <c r="C648" s="311">
        <f t="shared" ref="C648:E648" si="284">SUM(C638:C646)</f>
        <v>58.594000000994988</v>
      </c>
      <c r="D648" s="311">
        <f t="shared" si="284"/>
        <v>34.230000000647657</v>
      </c>
      <c r="E648" s="311">
        <f t="shared" si="284"/>
        <v>483.55900000315194</v>
      </c>
      <c r="F648" s="311"/>
      <c r="G648" s="311">
        <f t="shared" ref="G648:J648" si="285">SUM(G638:G646)</f>
        <v>440.07999999914961</v>
      </c>
      <c r="H648" s="311">
        <f t="shared" si="285"/>
        <v>94.002000000376825</v>
      </c>
      <c r="I648" s="311">
        <f t="shared" si="285"/>
        <v>33.299000000380389</v>
      </c>
      <c r="J648" s="311">
        <f t="shared" si="285"/>
        <v>567.38099999990686</v>
      </c>
      <c r="K648" s="311"/>
      <c r="L648" s="311">
        <f t="shared" ref="L648:O648" si="286">SUM(L638:L646)</f>
        <v>471.15600000058475</v>
      </c>
      <c r="M648" s="311">
        <f t="shared" si="286"/>
        <v>107.71199999953784</v>
      </c>
      <c r="N648" s="311">
        <f t="shared" si="286"/>
        <v>31.778000000827355</v>
      </c>
      <c r="O648" s="311">
        <f t="shared" si="286"/>
        <v>610.64600000094993</v>
      </c>
    </row>
    <row r="649" spans="1:15" s="236" customFormat="1" x14ac:dyDescent="0.3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40"/>
    </row>
    <row r="650" spans="1:15" s="236" customFormat="1" x14ac:dyDescent="0.3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40"/>
      <c r="O650" s="251" t="s">
        <v>35</v>
      </c>
    </row>
    <row r="651" spans="1:15" s="236" customFormat="1" x14ac:dyDescent="0.3">
      <c r="A651" s="242"/>
      <c r="B651" s="242"/>
      <c r="C651" s="242"/>
      <c r="D651" s="242"/>
      <c r="E651" s="242"/>
      <c r="F651" s="242"/>
      <c r="G651" s="242"/>
      <c r="H651" s="242"/>
      <c r="I651" s="242"/>
      <c r="J651" s="242"/>
      <c r="K651" s="242"/>
      <c r="L651" s="242"/>
      <c r="M651" s="242"/>
      <c r="N651" s="242"/>
      <c r="O651" s="242"/>
    </row>
    <row r="652" spans="1:15" s="236" customFormat="1" x14ac:dyDescent="0.3">
      <c r="A652" s="241" t="str">
        <f>name!A41</f>
        <v>Postal and courier</v>
      </c>
      <c r="B652" s="375">
        <f>$B$6</f>
        <v>2015</v>
      </c>
      <c r="C652" s="375"/>
      <c r="D652" s="375"/>
      <c r="E652" s="375"/>
      <c r="F652" s="263"/>
      <c r="G652" s="375">
        <f>$G$6</f>
        <v>2020</v>
      </c>
      <c r="H652" s="375"/>
      <c r="I652" s="375"/>
      <c r="J652" s="375"/>
      <c r="K652" s="263"/>
      <c r="L652" s="375">
        <f>$L$6</f>
        <v>2035</v>
      </c>
      <c r="M652" s="375"/>
      <c r="N652" s="375"/>
      <c r="O652" s="375"/>
    </row>
    <row r="653" spans="1:15" s="236" customFormat="1" x14ac:dyDescent="0.3">
      <c r="A653" s="254"/>
      <c r="B653" s="268" t="str">
        <f>$B$7</f>
        <v>FT</v>
      </c>
      <c r="C653" s="268" t="str">
        <f>$C$7</f>
        <v>PT</v>
      </c>
      <c r="D653" s="268" t="str">
        <f>$D$7</f>
        <v>SE</v>
      </c>
      <c r="E653" s="268" t="str">
        <f>$E$7</f>
        <v>Total</v>
      </c>
      <c r="F653" s="268"/>
      <c r="G653" s="268" t="str">
        <f>$G$7</f>
        <v>FT</v>
      </c>
      <c r="H653" s="268" t="str">
        <f>$H$7</f>
        <v>PT</v>
      </c>
      <c r="I653" s="268" t="str">
        <f>$I$7</f>
        <v>SE</v>
      </c>
      <c r="J653" s="268" t="str">
        <f>$J$7</f>
        <v>Total</v>
      </c>
      <c r="K653" s="268"/>
      <c r="L653" s="268" t="str">
        <f>$L$7</f>
        <v>FT</v>
      </c>
      <c r="M653" s="268" t="str">
        <f>$M$7</f>
        <v>PT</v>
      </c>
      <c r="N653" s="268" t="str">
        <f>$N$7</f>
        <v>SE</v>
      </c>
      <c r="O653" s="268" t="str">
        <f>$O$7</f>
        <v>Total</v>
      </c>
    </row>
    <row r="654" spans="1:15" s="236" customFormat="1" x14ac:dyDescent="0.3">
      <c r="A654" s="258"/>
      <c r="B654" s="239"/>
      <c r="C654" s="239"/>
      <c r="D654" s="239"/>
      <c r="E654" s="239"/>
      <c r="F654" s="239"/>
      <c r="G654" s="239"/>
      <c r="H654" s="239"/>
      <c r="I654" s="239"/>
      <c r="J654" s="239"/>
      <c r="K654" s="239"/>
      <c r="L654" s="239"/>
      <c r="M654" s="239"/>
      <c r="N654" s="239"/>
      <c r="O654" s="239"/>
    </row>
    <row r="655" spans="1:15" s="236" customFormat="1" x14ac:dyDescent="0.3">
      <c r="A655" s="237" t="str">
        <f>name!E$4</f>
        <v>Managers, directors and senior officials</v>
      </c>
      <c r="B655" s="302">
        <v>18.243988588356167</v>
      </c>
      <c r="C655" s="302">
        <v>1.1590642417753168</v>
      </c>
      <c r="D655" s="302">
        <v>2.7143478314101439</v>
      </c>
      <c r="E655" s="302">
        <f>SUM(B655:D655)</f>
        <v>22.117400661541627</v>
      </c>
      <c r="F655" s="303"/>
      <c r="G655" s="302">
        <v>23.059979208739488</v>
      </c>
      <c r="H655" s="302">
        <v>2.6092105864463955</v>
      </c>
      <c r="I655" s="302">
        <v>4.4928278408904863</v>
      </c>
      <c r="J655" s="302">
        <f>SUM(G655:I655)</f>
        <v>30.162017636076371</v>
      </c>
      <c r="K655" s="303"/>
      <c r="L655" s="302">
        <v>28.215405729303452</v>
      </c>
      <c r="M655" s="302">
        <v>3.9369814864254011</v>
      </c>
      <c r="N655" s="302">
        <v>3.5840599375595401</v>
      </c>
      <c r="O655" s="302">
        <f>SUM(L655:N655)</f>
        <v>35.736447153288388</v>
      </c>
    </row>
    <row r="656" spans="1:15" s="236" customFormat="1" x14ac:dyDescent="0.3">
      <c r="A656" s="237" t="str">
        <f>name!E$5</f>
        <v>Professional occupations</v>
      </c>
      <c r="B656" s="302">
        <v>11.262928068317917</v>
      </c>
      <c r="C656" s="302">
        <v>1.0908350438093894</v>
      </c>
      <c r="D656" s="302">
        <v>0.90043713222809019</v>
      </c>
      <c r="E656" s="302">
        <f t="shared" ref="E656:E663" si="287">SUM(B656:D656)</f>
        <v>13.254200244355397</v>
      </c>
      <c r="F656" s="303"/>
      <c r="G656" s="302">
        <v>16.571934866706162</v>
      </c>
      <c r="H656" s="302">
        <v>2.4183992323882428</v>
      </c>
      <c r="I656" s="302">
        <v>1.1707103417075524</v>
      </c>
      <c r="J656" s="302">
        <f t="shared" ref="J656:J658" si="288">SUM(G656:I656)</f>
        <v>20.161044440801955</v>
      </c>
      <c r="K656" s="303"/>
      <c r="L656" s="302">
        <v>21.129685756729931</v>
      </c>
      <c r="M656" s="302">
        <v>3.9434258946666376</v>
      </c>
      <c r="N656" s="302">
        <v>0.89623953801356038</v>
      </c>
      <c r="O656" s="302">
        <f t="shared" ref="O656:O663" si="289">SUM(L656:N656)</f>
        <v>25.96935118941013</v>
      </c>
    </row>
    <row r="657" spans="1:15" s="236" customFormat="1" x14ac:dyDescent="0.3">
      <c r="A657" s="237" t="str">
        <f>name!E$6</f>
        <v>Associate professional occupations</v>
      </c>
      <c r="B657" s="302">
        <v>13.003324273331323</v>
      </c>
      <c r="C657" s="302">
        <v>1.9271829485531182</v>
      </c>
      <c r="D657" s="302">
        <v>0.6236270637808049</v>
      </c>
      <c r="E657" s="302">
        <f t="shared" si="287"/>
        <v>15.554134285665247</v>
      </c>
      <c r="F657" s="303"/>
      <c r="G657" s="302">
        <v>16.499724952236711</v>
      </c>
      <c r="H657" s="302">
        <v>3.197785893270876</v>
      </c>
      <c r="I657" s="302">
        <v>0.83558311531159501</v>
      </c>
      <c r="J657" s="302">
        <f t="shared" si="288"/>
        <v>20.533093960819183</v>
      </c>
      <c r="K657" s="303"/>
      <c r="L657" s="302">
        <v>17.997170802343604</v>
      </c>
      <c r="M657" s="302">
        <v>4.3393309041976398</v>
      </c>
      <c r="N657" s="302">
        <v>0.6988598919715564</v>
      </c>
      <c r="O657" s="302">
        <f t="shared" si="289"/>
        <v>23.035361598512797</v>
      </c>
    </row>
    <row r="658" spans="1:15" s="236" customFormat="1" x14ac:dyDescent="0.3">
      <c r="A658" s="237" t="str">
        <f>name!E$7</f>
        <v>Administrative and secretarial occupations</v>
      </c>
      <c r="B658" s="302">
        <v>28.234680112495717</v>
      </c>
      <c r="C658" s="302">
        <v>18.042005377025241</v>
      </c>
      <c r="D658" s="302">
        <v>0.42037071868981302</v>
      </c>
      <c r="E658" s="302">
        <f t="shared" si="287"/>
        <v>46.697056208210768</v>
      </c>
      <c r="F658" s="303"/>
      <c r="G658" s="302">
        <v>31.165762835472325</v>
      </c>
      <c r="H658" s="302">
        <v>24.988082374675741</v>
      </c>
      <c r="I658" s="302">
        <v>0.56817280829318706</v>
      </c>
      <c r="J658" s="302">
        <f t="shared" si="288"/>
        <v>56.722018018441247</v>
      </c>
      <c r="K658" s="303"/>
      <c r="L658" s="302">
        <v>31.375778405313145</v>
      </c>
      <c r="M658" s="302">
        <v>25.185564242516485</v>
      </c>
      <c r="N658" s="302">
        <v>0.52523111731264505</v>
      </c>
      <c r="O658" s="302">
        <f t="shared" si="289"/>
        <v>57.086573765142276</v>
      </c>
    </row>
    <row r="659" spans="1:15" s="236" customFormat="1" x14ac:dyDescent="0.3">
      <c r="A659" s="237" t="str">
        <f>name!E$8</f>
        <v>Skilled trades occupations</v>
      </c>
      <c r="B659" s="302">
        <v>4.6443746844159266</v>
      </c>
      <c r="C659" s="302">
        <v>5.9810715615675081</v>
      </c>
      <c r="D659" s="302">
        <v>3.8833659364158541</v>
      </c>
      <c r="E659" s="302">
        <f t="shared" si="287"/>
        <v>14.508812182399289</v>
      </c>
      <c r="F659" s="303"/>
      <c r="G659" s="302">
        <v>3.9237043912308347</v>
      </c>
      <c r="H659" s="302">
        <v>7.4219661124828145</v>
      </c>
      <c r="I659" s="302">
        <v>3.3813974868826362</v>
      </c>
      <c r="J659" s="302">
        <f>SUM(G659:I659)</f>
        <v>14.727067990596286</v>
      </c>
      <c r="K659" s="303"/>
      <c r="L659" s="302">
        <v>4.6957997144827495</v>
      </c>
      <c r="M659" s="302">
        <v>9.2171719164223429</v>
      </c>
      <c r="N659" s="302">
        <v>2.7129371904421586</v>
      </c>
      <c r="O659" s="302">
        <f t="shared" si="289"/>
        <v>16.625908821347252</v>
      </c>
    </row>
    <row r="660" spans="1:15" s="236" customFormat="1" x14ac:dyDescent="0.3">
      <c r="A660" s="237" t="str">
        <f>name!E$9</f>
        <v>Caring, leisure and other service occupations</v>
      </c>
      <c r="B660" s="302">
        <v>5.044454078569796</v>
      </c>
      <c r="C660" s="302">
        <v>2.8545571671403951</v>
      </c>
      <c r="D660" s="302">
        <v>0.36378526195225358</v>
      </c>
      <c r="E660" s="302">
        <f t="shared" si="287"/>
        <v>8.2627965076624452</v>
      </c>
      <c r="F660" s="303"/>
      <c r="G660" s="302">
        <v>5.3526707102645652</v>
      </c>
      <c r="H660" s="302">
        <v>3.8343554354567715</v>
      </c>
      <c r="I660" s="302">
        <v>0.76344004424368783</v>
      </c>
      <c r="J660" s="302">
        <f t="shared" ref="J660:J663" si="290">SUM(G660:I660)</f>
        <v>9.9504661899650237</v>
      </c>
      <c r="K660" s="303"/>
      <c r="L660" s="302">
        <v>7.3750941386300921</v>
      </c>
      <c r="M660" s="302">
        <v>4.3415601444540206</v>
      </c>
      <c r="N660" s="302">
        <v>0.82617413301431097</v>
      </c>
      <c r="O660" s="302">
        <f t="shared" si="289"/>
        <v>12.542828416098423</v>
      </c>
    </row>
    <row r="661" spans="1:15" s="236" customFormat="1" x14ac:dyDescent="0.3">
      <c r="A661" s="237" t="str">
        <f>name!E$10</f>
        <v>Sales and customer service occupations</v>
      </c>
      <c r="B661" s="302">
        <v>10.772667754052389</v>
      </c>
      <c r="C661" s="302">
        <v>5.5144544961887263</v>
      </c>
      <c r="D661" s="302">
        <v>0.38634291308484275</v>
      </c>
      <c r="E661" s="302">
        <f t="shared" si="287"/>
        <v>16.673465163325957</v>
      </c>
      <c r="F661" s="303"/>
      <c r="G661" s="302">
        <v>11.805948517962619</v>
      </c>
      <c r="H661" s="302">
        <v>7.5068106172029552</v>
      </c>
      <c r="I661" s="302">
        <v>0.40817025062884033</v>
      </c>
      <c r="J661" s="302">
        <f t="shared" si="290"/>
        <v>19.720929385794413</v>
      </c>
      <c r="K661" s="303"/>
      <c r="L661" s="302">
        <v>14.59104258039455</v>
      </c>
      <c r="M661" s="302">
        <v>10.894160808997073</v>
      </c>
      <c r="N661" s="302">
        <v>0.35629666524227949</v>
      </c>
      <c r="O661" s="302">
        <f t="shared" si="289"/>
        <v>25.841500054633901</v>
      </c>
    </row>
    <row r="662" spans="1:15" s="236" customFormat="1" x14ac:dyDescent="0.3">
      <c r="A662" s="237" t="str">
        <f>name!E$11</f>
        <v>Process, plant and machine operatives</v>
      </c>
      <c r="B662" s="302">
        <v>28.460332516579214</v>
      </c>
      <c r="C662" s="302">
        <v>3.0846512401221817</v>
      </c>
      <c r="D662" s="302">
        <v>5.3928393335583493</v>
      </c>
      <c r="E662" s="302">
        <f t="shared" si="287"/>
        <v>36.937823090259741</v>
      </c>
      <c r="F662" s="303"/>
      <c r="G662" s="302">
        <v>25.388720791287465</v>
      </c>
      <c r="H662" s="302">
        <v>5.324697062183021</v>
      </c>
      <c r="I662" s="302">
        <v>7.0180478401188742</v>
      </c>
      <c r="J662" s="302">
        <f t="shared" si="290"/>
        <v>37.731465693589357</v>
      </c>
      <c r="K662" s="303"/>
      <c r="L662" s="302">
        <v>27.631124950196821</v>
      </c>
      <c r="M662" s="302">
        <v>8.1634037425294608</v>
      </c>
      <c r="N662" s="302">
        <v>7.0337379416063239</v>
      </c>
      <c r="O662" s="302">
        <f t="shared" si="289"/>
        <v>42.828266634332607</v>
      </c>
    </row>
    <row r="663" spans="1:15" s="236" customFormat="1" x14ac:dyDescent="0.3">
      <c r="A663" s="237" t="str">
        <f>name!E$12</f>
        <v>Elementary occupations</v>
      </c>
      <c r="B663" s="302">
        <v>79.725249925000512</v>
      </c>
      <c r="C663" s="302">
        <v>27.573177925248292</v>
      </c>
      <c r="D663" s="302">
        <v>3.0858838090865528</v>
      </c>
      <c r="E663" s="302">
        <f t="shared" si="287"/>
        <v>110.38431165933535</v>
      </c>
      <c r="F663" s="303"/>
      <c r="G663" s="302">
        <v>74.789553725033869</v>
      </c>
      <c r="H663" s="302">
        <v>33.516692687256409</v>
      </c>
      <c r="I663" s="302">
        <v>3.0616502719569887</v>
      </c>
      <c r="J663" s="302">
        <f t="shared" si="290"/>
        <v>111.36789668424727</v>
      </c>
      <c r="K663" s="303"/>
      <c r="L663" s="302">
        <v>72.494897922057007</v>
      </c>
      <c r="M663" s="302">
        <v>35.619400859231568</v>
      </c>
      <c r="N663" s="302">
        <v>3.3374635851923129</v>
      </c>
      <c r="O663" s="302">
        <f t="shared" si="289"/>
        <v>111.45176236648088</v>
      </c>
    </row>
    <row r="664" spans="1:15" s="236" customFormat="1" x14ac:dyDescent="0.3">
      <c r="A664" s="237"/>
      <c r="B664" s="302"/>
      <c r="C664" s="302"/>
      <c r="D664" s="302"/>
      <c r="E664" s="302"/>
      <c r="F664" s="303"/>
      <c r="G664" s="302"/>
      <c r="H664" s="302"/>
      <c r="I664" s="302"/>
      <c r="J664" s="302"/>
      <c r="K664" s="303"/>
      <c r="L664" s="302"/>
      <c r="M664" s="302"/>
      <c r="N664" s="302"/>
      <c r="O664" s="302"/>
    </row>
    <row r="665" spans="1:15" s="236" customFormat="1" x14ac:dyDescent="0.3">
      <c r="A665" s="244" t="s">
        <v>32</v>
      </c>
      <c r="B665" s="311">
        <f>SUM(B655:B663)</f>
        <v>199.39200000111896</v>
      </c>
      <c r="C665" s="311">
        <f t="shared" ref="C665:E665" si="291">SUM(C655:C663)</f>
        <v>67.22700000143017</v>
      </c>
      <c r="D665" s="311">
        <f t="shared" si="291"/>
        <v>17.771000000206705</v>
      </c>
      <c r="E665" s="311">
        <f t="shared" si="291"/>
        <v>284.39000000275581</v>
      </c>
      <c r="F665" s="311"/>
      <c r="G665" s="311">
        <f t="shared" ref="G665:J665" si="292">SUM(G655:G663)</f>
        <v>208.55799999893404</v>
      </c>
      <c r="H665" s="311">
        <f t="shared" si="292"/>
        <v>90.818000001363231</v>
      </c>
      <c r="I665" s="311">
        <f t="shared" si="292"/>
        <v>21.700000000033846</v>
      </c>
      <c r="J665" s="311">
        <f t="shared" si="292"/>
        <v>321.07600000033113</v>
      </c>
      <c r="K665" s="311"/>
      <c r="L665" s="311">
        <f t="shared" ref="L665:O665" si="293">SUM(L655:L663)</f>
        <v>225.50599999945138</v>
      </c>
      <c r="M665" s="311">
        <f t="shared" si="293"/>
        <v>105.64099999944062</v>
      </c>
      <c r="N665" s="311">
        <f t="shared" si="293"/>
        <v>19.971000000354689</v>
      </c>
      <c r="O665" s="311">
        <f t="shared" si="293"/>
        <v>351.11799999924665</v>
      </c>
    </row>
    <row r="666" spans="1:15" s="236" customFormat="1" x14ac:dyDescent="0.3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40"/>
    </row>
    <row r="667" spans="1:15" s="236" customFormat="1" x14ac:dyDescent="0.3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40"/>
      <c r="O667" s="251" t="s">
        <v>35</v>
      </c>
    </row>
    <row r="668" spans="1:15" s="236" customFormat="1" x14ac:dyDescent="0.3">
      <c r="A668" s="242"/>
      <c r="B668" s="242"/>
      <c r="C668" s="242"/>
      <c r="D668" s="242"/>
      <c r="E668" s="242"/>
      <c r="F668" s="242"/>
      <c r="G668" s="242"/>
      <c r="H668" s="242"/>
      <c r="I668" s="242"/>
      <c r="J668" s="242"/>
      <c r="K668" s="242"/>
      <c r="L668" s="242"/>
      <c r="M668" s="242"/>
      <c r="N668" s="242"/>
      <c r="O668" s="242"/>
    </row>
    <row r="669" spans="1:15" s="236" customFormat="1" x14ac:dyDescent="0.3">
      <c r="A669" s="241" t="str">
        <f>name!A42</f>
        <v>Accommodation</v>
      </c>
      <c r="B669" s="375">
        <f>$B$6</f>
        <v>2015</v>
      </c>
      <c r="C669" s="375"/>
      <c r="D669" s="375"/>
      <c r="E669" s="375"/>
      <c r="F669" s="263"/>
      <c r="G669" s="375">
        <f>$G$6</f>
        <v>2020</v>
      </c>
      <c r="H669" s="375"/>
      <c r="I669" s="375"/>
      <c r="J669" s="375"/>
      <c r="K669" s="263"/>
      <c r="L669" s="375">
        <f>$L$6</f>
        <v>2035</v>
      </c>
      <c r="M669" s="375"/>
      <c r="N669" s="375"/>
      <c r="O669" s="375"/>
    </row>
    <row r="670" spans="1:15" s="236" customFormat="1" x14ac:dyDescent="0.3">
      <c r="A670" s="254"/>
      <c r="B670" s="268" t="str">
        <f>$B$7</f>
        <v>FT</v>
      </c>
      <c r="C670" s="268" t="str">
        <f>$C$7</f>
        <v>PT</v>
      </c>
      <c r="D670" s="268" t="str">
        <f>$D$7</f>
        <v>SE</v>
      </c>
      <c r="E670" s="268" t="str">
        <f>$E$7</f>
        <v>Total</v>
      </c>
      <c r="F670" s="268"/>
      <c r="G670" s="268" t="str">
        <f>$G$7</f>
        <v>FT</v>
      </c>
      <c r="H670" s="268" t="str">
        <f>$H$7</f>
        <v>PT</v>
      </c>
      <c r="I670" s="268" t="str">
        <f>$I$7</f>
        <v>SE</v>
      </c>
      <c r="J670" s="268" t="str">
        <f>$J$7</f>
        <v>Total</v>
      </c>
      <c r="K670" s="268"/>
      <c r="L670" s="268" t="str">
        <f>$L$7</f>
        <v>FT</v>
      </c>
      <c r="M670" s="268" t="str">
        <f>$M$7</f>
        <v>PT</v>
      </c>
      <c r="N670" s="268" t="str">
        <f>$N$7</f>
        <v>SE</v>
      </c>
      <c r="O670" s="268" t="str">
        <f>$O$7</f>
        <v>Total</v>
      </c>
    </row>
    <row r="671" spans="1:15" s="236" customFormat="1" x14ac:dyDescent="0.3">
      <c r="A671" s="258"/>
      <c r="B671" s="239"/>
      <c r="C671" s="239"/>
      <c r="D671" s="239"/>
      <c r="E671" s="239"/>
      <c r="F671" s="239"/>
      <c r="G671" s="239"/>
      <c r="H671" s="239"/>
      <c r="I671" s="239"/>
      <c r="J671" s="239"/>
      <c r="K671" s="239"/>
      <c r="L671" s="239"/>
      <c r="M671" s="239"/>
      <c r="N671" s="239"/>
      <c r="O671" s="239"/>
    </row>
    <row r="672" spans="1:15" s="236" customFormat="1" x14ac:dyDescent="0.3">
      <c r="A672" s="237" t="str">
        <f>name!E$4</f>
        <v>Managers, directors and senior officials</v>
      </c>
      <c r="B672" s="302">
        <v>42.479704996369954</v>
      </c>
      <c r="C672" s="302">
        <v>3.574526243684307</v>
      </c>
      <c r="D672" s="302">
        <v>20.168601535498375</v>
      </c>
      <c r="E672" s="302">
        <f>SUM(B672:D672)</f>
        <v>66.222832775552632</v>
      </c>
      <c r="F672" s="303"/>
      <c r="G672" s="302">
        <v>44.299035354134681</v>
      </c>
      <c r="H672" s="302">
        <v>7.2116565559332457</v>
      </c>
      <c r="I672" s="302">
        <v>23.680875831314403</v>
      </c>
      <c r="J672" s="302">
        <f>SUM(G672:I672)</f>
        <v>75.191567741382329</v>
      </c>
      <c r="K672" s="303"/>
      <c r="L672" s="302">
        <v>58.932913343497376</v>
      </c>
      <c r="M672" s="302">
        <v>12.715250396091811</v>
      </c>
      <c r="N672" s="302">
        <v>31.759746719781354</v>
      </c>
      <c r="O672" s="302">
        <f>SUM(L672:N672)</f>
        <v>103.40791045937056</v>
      </c>
    </row>
    <row r="673" spans="1:15" s="236" customFormat="1" x14ac:dyDescent="0.3">
      <c r="A673" s="237" t="str">
        <f>name!E$5</f>
        <v>Professional occupations</v>
      </c>
      <c r="B673" s="302">
        <v>13.35504983314469</v>
      </c>
      <c r="C673" s="302">
        <v>1.3815886785844522</v>
      </c>
      <c r="D673" s="302">
        <v>1.3880253788256118</v>
      </c>
      <c r="E673" s="302">
        <f t="shared" ref="E673:E680" si="294">SUM(B673:D673)</f>
        <v>16.124663890554753</v>
      </c>
      <c r="F673" s="303"/>
      <c r="G673" s="302">
        <v>16.588969160980405</v>
      </c>
      <c r="H673" s="302">
        <v>2.9034548861402403</v>
      </c>
      <c r="I673" s="302">
        <v>1.6813807434798791</v>
      </c>
      <c r="J673" s="302">
        <f t="shared" ref="J673:J675" si="295">SUM(G673:I673)</f>
        <v>21.173804790600521</v>
      </c>
      <c r="K673" s="303"/>
      <c r="L673" s="302">
        <v>20.546930036103518</v>
      </c>
      <c r="M673" s="302">
        <v>4.4623538731766095</v>
      </c>
      <c r="N673" s="302">
        <v>1.1052005593302194</v>
      </c>
      <c r="O673" s="302">
        <f t="shared" ref="O673:O680" si="296">SUM(L673:N673)</f>
        <v>26.11448446861035</v>
      </c>
    </row>
    <row r="674" spans="1:15" s="236" customFormat="1" x14ac:dyDescent="0.3">
      <c r="A674" s="237" t="str">
        <f>name!E$6</f>
        <v>Associate professional occupations</v>
      </c>
      <c r="B674" s="302">
        <v>11.480170877484621</v>
      </c>
      <c r="C674" s="302">
        <v>3.57693206113712</v>
      </c>
      <c r="D674" s="302">
        <v>0.9529064830506202</v>
      </c>
      <c r="E674" s="302">
        <f t="shared" si="294"/>
        <v>16.010009421672361</v>
      </c>
      <c r="F674" s="303"/>
      <c r="G674" s="302">
        <v>13.045465852068347</v>
      </c>
      <c r="H674" s="302">
        <v>5.7492084298914454</v>
      </c>
      <c r="I674" s="302">
        <v>0.9449697450921265</v>
      </c>
      <c r="J674" s="302">
        <f t="shared" si="295"/>
        <v>19.73964402705192</v>
      </c>
      <c r="K674" s="303"/>
      <c r="L674" s="302">
        <v>15.0615936806996</v>
      </c>
      <c r="M674" s="302">
        <v>8.6574275479218095</v>
      </c>
      <c r="N674" s="302">
        <v>0.78062895913145847</v>
      </c>
      <c r="O674" s="302">
        <f t="shared" si="296"/>
        <v>24.499650187752867</v>
      </c>
    </row>
    <row r="675" spans="1:15" s="236" customFormat="1" x14ac:dyDescent="0.3">
      <c r="A675" s="237" t="str">
        <f>name!E$7</f>
        <v>Administrative and secretarial occupations</v>
      </c>
      <c r="B675" s="302">
        <v>20.118156166360997</v>
      </c>
      <c r="C675" s="302">
        <v>6.150702152195457</v>
      </c>
      <c r="D675" s="302">
        <v>0.42542399747409304</v>
      </c>
      <c r="E675" s="302">
        <f t="shared" si="294"/>
        <v>26.694282316030549</v>
      </c>
      <c r="F675" s="303"/>
      <c r="G675" s="302">
        <v>18.385368457304541</v>
      </c>
      <c r="H675" s="302">
        <v>9.0513579982370853</v>
      </c>
      <c r="I675" s="302">
        <v>0.43432044755797911</v>
      </c>
      <c r="J675" s="302">
        <f t="shared" si="295"/>
        <v>27.871046903099604</v>
      </c>
      <c r="K675" s="303"/>
      <c r="L675" s="302">
        <v>21.779177643439542</v>
      </c>
      <c r="M675" s="302">
        <v>13.612788972046182</v>
      </c>
      <c r="N675" s="302">
        <v>0.39686316431727914</v>
      </c>
      <c r="O675" s="302">
        <f t="shared" si="296"/>
        <v>35.78882977980301</v>
      </c>
    </row>
    <row r="676" spans="1:15" s="236" customFormat="1" x14ac:dyDescent="0.3">
      <c r="A676" s="237" t="str">
        <f>name!E$8</f>
        <v>Skilled trades occupations</v>
      </c>
      <c r="B676" s="302">
        <v>61.288935094395242</v>
      </c>
      <c r="C676" s="302">
        <v>14.557618794396001</v>
      </c>
      <c r="D676" s="302">
        <v>6.4355661766015162</v>
      </c>
      <c r="E676" s="302">
        <f t="shared" si="294"/>
        <v>82.28212006539276</v>
      </c>
      <c r="F676" s="303"/>
      <c r="G676" s="302">
        <v>45.926568608673428</v>
      </c>
      <c r="H676" s="302">
        <v>16.018865838420755</v>
      </c>
      <c r="I676" s="302">
        <v>7.9148016520725575</v>
      </c>
      <c r="J676" s="302">
        <f>SUM(G676:I676)</f>
        <v>69.860236099166741</v>
      </c>
      <c r="K676" s="303"/>
      <c r="L676" s="302">
        <v>43.203692823714171</v>
      </c>
      <c r="M676" s="302">
        <v>17.803375708528346</v>
      </c>
      <c r="N676" s="302">
        <v>9.5891418179525267</v>
      </c>
      <c r="O676" s="302">
        <f t="shared" si="296"/>
        <v>70.596210350195037</v>
      </c>
    </row>
    <row r="677" spans="1:15" s="236" customFormat="1" x14ac:dyDescent="0.3">
      <c r="A677" s="237" t="str">
        <f>name!E$9</f>
        <v>Caring, leisure and other service occupations</v>
      </c>
      <c r="B677" s="302">
        <v>14.530707558757822</v>
      </c>
      <c r="C677" s="302">
        <v>7.9199244836515525</v>
      </c>
      <c r="D677" s="302">
        <v>1.7727266193415225</v>
      </c>
      <c r="E677" s="302">
        <f t="shared" si="294"/>
        <v>24.223358661750897</v>
      </c>
      <c r="F677" s="303"/>
      <c r="G677" s="302">
        <v>12.18383769009079</v>
      </c>
      <c r="H677" s="302">
        <v>9.7170260063608289</v>
      </c>
      <c r="I677" s="302">
        <v>2.4599387737701419</v>
      </c>
      <c r="J677" s="302">
        <f t="shared" ref="J677:J680" si="297">SUM(G677:I677)</f>
        <v>24.36080247022176</v>
      </c>
      <c r="K677" s="303"/>
      <c r="L677" s="302">
        <v>14.41510235501126</v>
      </c>
      <c r="M677" s="302">
        <v>12.170414293857</v>
      </c>
      <c r="N677" s="302">
        <v>3.9355935512068587</v>
      </c>
      <c r="O677" s="302">
        <f t="shared" si="296"/>
        <v>30.521110200075121</v>
      </c>
    </row>
    <row r="678" spans="1:15" s="236" customFormat="1" x14ac:dyDescent="0.3">
      <c r="A678" s="237" t="str">
        <f>name!E$10</f>
        <v>Sales and customer service occupations</v>
      </c>
      <c r="B678" s="302">
        <v>12.823640316454366</v>
      </c>
      <c r="C678" s="302">
        <v>17.014401640031178</v>
      </c>
      <c r="D678" s="302">
        <v>7.5246237506151692</v>
      </c>
      <c r="E678" s="302">
        <f t="shared" si="294"/>
        <v>37.36266570710071</v>
      </c>
      <c r="F678" s="303"/>
      <c r="G678" s="302">
        <v>11.499082577216182</v>
      </c>
      <c r="H678" s="302">
        <v>23.671776801446615</v>
      </c>
      <c r="I678" s="302">
        <v>6.3601043755212983</v>
      </c>
      <c r="J678" s="302">
        <f t="shared" si="297"/>
        <v>41.530963754184093</v>
      </c>
      <c r="K678" s="303"/>
      <c r="L678" s="302">
        <v>14.543650014422557</v>
      </c>
      <c r="M678" s="302">
        <v>34.961825845798082</v>
      </c>
      <c r="N678" s="302">
        <v>5.325286729953743</v>
      </c>
      <c r="O678" s="302">
        <f t="shared" si="296"/>
        <v>54.830762590174388</v>
      </c>
    </row>
    <row r="679" spans="1:15" s="236" customFormat="1" x14ac:dyDescent="0.3">
      <c r="A679" s="237" t="str">
        <f>name!E$11</f>
        <v>Process, plant and machine operatives</v>
      </c>
      <c r="B679" s="302">
        <v>7.1462160112536344</v>
      </c>
      <c r="C679" s="302">
        <v>5.1615919936298962</v>
      </c>
      <c r="D679" s="302">
        <v>0.57931937160807367</v>
      </c>
      <c r="E679" s="302">
        <f t="shared" si="294"/>
        <v>12.887127376491604</v>
      </c>
      <c r="F679" s="303"/>
      <c r="G679" s="302">
        <v>5.2579722273361478</v>
      </c>
      <c r="H679" s="302">
        <v>7.6401237853348425</v>
      </c>
      <c r="I679" s="302">
        <v>0.82005952969553386</v>
      </c>
      <c r="J679" s="302">
        <f t="shared" si="297"/>
        <v>13.718155542366524</v>
      </c>
      <c r="K679" s="303"/>
      <c r="L679" s="302">
        <v>6.2606268878796074</v>
      </c>
      <c r="M679" s="302">
        <v>13.785334570705039</v>
      </c>
      <c r="N679" s="302">
        <v>1.2261530211809131</v>
      </c>
      <c r="O679" s="302">
        <f t="shared" si="296"/>
        <v>21.272114479765559</v>
      </c>
    </row>
    <row r="680" spans="1:15" s="236" customFormat="1" x14ac:dyDescent="0.3">
      <c r="A680" s="237" t="str">
        <f>name!E$12</f>
        <v>Elementary occupations</v>
      </c>
      <c r="B680" s="302">
        <v>83.470419146618397</v>
      </c>
      <c r="C680" s="302">
        <v>121.93671395748942</v>
      </c>
      <c r="D680" s="302">
        <v>4.7528066880638367</v>
      </c>
      <c r="E680" s="302">
        <f t="shared" si="294"/>
        <v>210.15993979217163</v>
      </c>
      <c r="F680" s="303"/>
      <c r="G680" s="302">
        <v>70.387700070797678</v>
      </c>
      <c r="H680" s="302">
        <v>144.46352970186666</v>
      </c>
      <c r="I680" s="302">
        <v>6.0775489012610642</v>
      </c>
      <c r="J680" s="302">
        <f t="shared" si="297"/>
        <v>220.92877867392539</v>
      </c>
      <c r="K680" s="303"/>
      <c r="L680" s="302">
        <v>82.229313214308064</v>
      </c>
      <c r="M680" s="302">
        <v>166.62622879017204</v>
      </c>
      <c r="N680" s="302">
        <v>8.1213854771969132</v>
      </c>
      <c r="O680" s="302">
        <f t="shared" si="296"/>
        <v>256.97692748167702</v>
      </c>
    </row>
    <row r="681" spans="1:15" s="236" customFormat="1" x14ac:dyDescent="0.3">
      <c r="A681" s="237"/>
      <c r="B681" s="302"/>
      <c r="C681" s="302"/>
      <c r="D681" s="302"/>
      <c r="E681" s="302"/>
      <c r="F681" s="303"/>
      <c r="G681" s="302"/>
      <c r="H681" s="302"/>
      <c r="I681" s="302"/>
      <c r="J681" s="302"/>
      <c r="K681" s="303"/>
      <c r="L681" s="302"/>
      <c r="M681" s="302"/>
      <c r="N681" s="302"/>
      <c r="O681" s="302"/>
    </row>
    <row r="682" spans="1:15" s="236" customFormat="1" x14ac:dyDescent="0.3">
      <c r="A682" s="244" t="s">
        <v>32</v>
      </c>
      <c r="B682" s="311">
        <f>SUM(B672:B680)</f>
        <v>266.69300000083973</v>
      </c>
      <c r="C682" s="311">
        <f t="shared" ref="C682:E682" si="298">SUM(C672:C680)</f>
        <v>181.2740000047994</v>
      </c>
      <c r="D682" s="311">
        <f t="shared" si="298"/>
        <v>44.000000001078817</v>
      </c>
      <c r="E682" s="311">
        <f t="shared" si="298"/>
        <v>491.96700000671785</v>
      </c>
      <c r="F682" s="311"/>
      <c r="G682" s="311">
        <f t="shared" ref="G682:J682" si="299">SUM(G672:G680)</f>
        <v>237.5739999986022</v>
      </c>
      <c r="H682" s="311">
        <f t="shared" si="299"/>
        <v>226.42700000363169</v>
      </c>
      <c r="I682" s="311">
        <f t="shared" si="299"/>
        <v>50.373999999764976</v>
      </c>
      <c r="J682" s="311">
        <f t="shared" si="299"/>
        <v>514.37500000199884</v>
      </c>
      <c r="K682" s="311"/>
      <c r="L682" s="311">
        <f t="shared" ref="L682:O682" si="300">SUM(L672:L680)</f>
        <v>276.97299999907568</v>
      </c>
      <c r="M682" s="311">
        <f t="shared" si="300"/>
        <v>284.79499999829693</v>
      </c>
      <c r="N682" s="311">
        <f t="shared" si="300"/>
        <v>62.240000000051268</v>
      </c>
      <c r="O682" s="311">
        <f t="shared" si="300"/>
        <v>624.00799999742389</v>
      </c>
    </row>
    <row r="683" spans="1:15" s="236" customFormat="1" x14ac:dyDescent="0.3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40"/>
    </row>
    <row r="684" spans="1:15" s="236" customFormat="1" x14ac:dyDescent="0.3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40"/>
      <c r="O684" s="251" t="s">
        <v>35</v>
      </c>
    </row>
    <row r="685" spans="1:15" s="236" customFormat="1" x14ac:dyDescent="0.3">
      <c r="A685" s="242"/>
      <c r="B685" s="242"/>
      <c r="C685" s="242"/>
      <c r="D685" s="242"/>
      <c r="E685" s="242"/>
      <c r="F685" s="242"/>
      <c r="G685" s="242"/>
      <c r="H685" s="242"/>
      <c r="I685" s="242"/>
      <c r="J685" s="242"/>
      <c r="K685" s="242"/>
      <c r="L685" s="242"/>
      <c r="M685" s="242"/>
      <c r="N685" s="242"/>
      <c r="O685" s="242"/>
    </row>
    <row r="686" spans="1:15" s="236" customFormat="1" x14ac:dyDescent="0.3">
      <c r="A686" s="241" t="str">
        <f>name!A43</f>
        <v>Food and beverage services</v>
      </c>
      <c r="B686" s="375">
        <f>$B$6</f>
        <v>2015</v>
      </c>
      <c r="C686" s="375"/>
      <c r="D686" s="375"/>
      <c r="E686" s="375"/>
      <c r="F686" s="263"/>
      <c r="G686" s="375">
        <f>$G$6</f>
        <v>2020</v>
      </c>
      <c r="H686" s="375"/>
      <c r="I686" s="375"/>
      <c r="J686" s="375"/>
      <c r="K686" s="263"/>
      <c r="L686" s="375">
        <f>$L$6</f>
        <v>2035</v>
      </c>
      <c r="M686" s="375"/>
      <c r="N686" s="375"/>
      <c r="O686" s="375"/>
    </row>
    <row r="687" spans="1:15" s="236" customFormat="1" x14ac:dyDescent="0.3">
      <c r="A687" s="254"/>
      <c r="B687" s="268" t="str">
        <f>$B$7</f>
        <v>FT</v>
      </c>
      <c r="C687" s="268" t="str">
        <f>$C$7</f>
        <v>PT</v>
      </c>
      <c r="D687" s="268" t="str">
        <f>$D$7</f>
        <v>SE</v>
      </c>
      <c r="E687" s="268" t="str">
        <f>$E$7</f>
        <v>Total</v>
      </c>
      <c r="F687" s="268"/>
      <c r="G687" s="268" t="str">
        <f>$G$7</f>
        <v>FT</v>
      </c>
      <c r="H687" s="268" t="str">
        <f>$H$7</f>
        <v>PT</v>
      </c>
      <c r="I687" s="268" t="str">
        <f>$I$7</f>
        <v>SE</v>
      </c>
      <c r="J687" s="268" t="str">
        <f>$J$7</f>
        <v>Total</v>
      </c>
      <c r="K687" s="268"/>
      <c r="L687" s="268" t="str">
        <f>$L$7</f>
        <v>FT</v>
      </c>
      <c r="M687" s="268" t="str">
        <f>$M$7</f>
        <v>PT</v>
      </c>
      <c r="N687" s="268" t="str">
        <f>$N$7</f>
        <v>SE</v>
      </c>
      <c r="O687" s="268" t="str">
        <f>$O$7</f>
        <v>Total</v>
      </c>
    </row>
    <row r="688" spans="1:15" s="236" customFormat="1" x14ac:dyDescent="0.3">
      <c r="A688" s="258"/>
      <c r="B688" s="239"/>
      <c r="C688" s="239"/>
      <c r="D688" s="239"/>
      <c r="E688" s="239"/>
      <c r="F688" s="239"/>
      <c r="G688" s="239"/>
      <c r="H688" s="239"/>
      <c r="I688" s="239"/>
      <c r="J688" s="239"/>
      <c r="K688" s="239"/>
      <c r="L688" s="239"/>
      <c r="M688" s="239"/>
      <c r="N688" s="239"/>
      <c r="O688" s="239"/>
    </row>
    <row r="689" spans="1:15" s="236" customFormat="1" x14ac:dyDescent="0.3">
      <c r="A689" s="237" t="str">
        <f>name!E$4</f>
        <v>Managers, directors and senior officials</v>
      </c>
      <c r="B689" s="302">
        <v>110.12854790781124</v>
      </c>
      <c r="C689" s="302">
        <v>18.665390932196459</v>
      </c>
      <c r="D689" s="302">
        <v>46.262781492468321</v>
      </c>
      <c r="E689" s="302">
        <f>SUM(B689:D689)</f>
        <v>175.056720332476</v>
      </c>
      <c r="F689" s="303"/>
      <c r="G689" s="302">
        <v>138.46583674871019</v>
      </c>
      <c r="H689" s="302">
        <v>33.697140735853957</v>
      </c>
      <c r="I689" s="302">
        <v>39.76853245766241</v>
      </c>
      <c r="J689" s="302">
        <f>SUM(G689:I689)</f>
        <v>211.93150994222657</v>
      </c>
      <c r="K689" s="303"/>
      <c r="L689" s="302">
        <v>192.31906726537764</v>
      </c>
      <c r="M689" s="302">
        <v>56.249311565589977</v>
      </c>
      <c r="N689" s="302">
        <v>51.025371627689708</v>
      </c>
      <c r="O689" s="302">
        <f>SUM(L689:N689)</f>
        <v>299.59375045865733</v>
      </c>
    </row>
    <row r="690" spans="1:15" s="236" customFormat="1" x14ac:dyDescent="0.3">
      <c r="A690" s="237" t="str">
        <f>name!E$5</f>
        <v>Professional occupations</v>
      </c>
      <c r="B690" s="302">
        <v>34.210669403751652</v>
      </c>
      <c r="C690" s="302">
        <v>6.8371475715806902</v>
      </c>
      <c r="D690" s="302">
        <v>3.4588234918044587</v>
      </c>
      <c r="E690" s="302">
        <f t="shared" ref="E690:E697" si="301">SUM(B690:D690)</f>
        <v>44.506640467136798</v>
      </c>
      <c r="F690" s="303"/>
      <c r="G690" s="302">
        <v>51.480319013307849</v>
      </c>
      <c r="H690" s="302">
        <v>13.335111694992273</v>
      </c>
      <c r="I690" s="302">
        <v>2.8893447571272435</v>
      </c>
      <c r="J690" s="302">
        <f t="shared" ref="J690:J692" si="302">SUM(G690:I690)</f>
        <v>67.704775465427375</v>
      </c>
      <c r="K690" s="303"/>
      <c r="L690" s="302">
        <v>67.066908932328289</v>
      </c>
      <c r="M690" s="302">
        <v>18.668519640173763</v>
      </c>
      <c r="N690" s="302">
        <v>1.8737060173684836</v>
      </c>
      <c r="O690" s="302">
        <f t="shared" ref="O690:O697" si="303">SUM(L690:N690)</f>
        <v>87.609134589870536</v>
      </c>
    </row>
    <row r="691" spans="1:15" s="236" customFormat="1" x14ac:dyDescent="0.3">
      <c r="A691" s="237" t="str">
        <f>name!E$6</f>
        <v>Associate professional occupations</v>
      </c>
      <c r="B691" s="302">
        <v>29.543244833248178</v>
      </c>
      <c r="C691" s="302">
        <v>18.212904653055631</v>
      </c>
      <c r="D691" s="302">
        <v>2.111099652376923</v>
      </c>
      <c r="E691" s="302">
        <f t="shared" si="301"/>
        <v>49.867249138680734</v>
      </c>
      <c r="F691" s="303"/>
      <c r="G691" s="302">
        <v>40.327718376772246</v>
      </c>
      <c r="H691" s="302">
        <v>26.590644091354285</v>
      </c>
      <c r="I691" s="302">
        <v>1.5860376054056897</v>
      </c>
      <c r="J691" s="302">
        <f t="shared" si="302"/>
        <v>68.504400073532224</v>
      </c>
      <c r="K691" s="303"/>
      <c r="L691" s="302">
        <v>48.647558157709263</v>
      </c>
      <c r="M691" s="302">
        <v>36.649984530091565</v>
      </c>
      <c r="N691" s="302">
        <v>1.2430955620879733</v>
      </c>
      <c r="O691" s="302">
        <f t="shared" si="303"/>
        <v>86.540638249888801</v>
      </c>
    </row>
    <row r="692" spans="1:15" s="236" customFormat="1" x14ac:dyDescent="0.3">
      <c r="A692" s="237" t="str">
        <f>name!E$7</f>
        <v>Administrative and secretarial occupations</v>
      </c>
      <c r="B692" s="302">
        <v>49.034295871710519</v>
      </c>
      <c r="C692" s="302">
        <v>28.046704957812768</v>
      </c>
      <c r="D692" s="302">
        <v>0.95062974524581079</v>
      </c>
      <c r="E692" s="302">
        <f t="shared" si="301"/>
        <v>78.031630574769096</v>
      </c>
      <c r="F692" s="303"/>
      <c r="G692" s="302">
        <v>55.072576666542069</v>
      </c>
      <c r="H692" s="302">
        <v>37.853947528492526</v>
      </c>
      <c r="I692" s="302">
        <v>0.73292633797174345</v>
      </c>
      <c r="J692" s="302">
        <f t="shared" si="302"/>
        <v>93.65945053300635</v>
      </c>
      <c r="K692" s="303"/>
      <c r="L692" s="302">
        <v>68.832651324459874</v>
      </c>
      <c r="M692" s="302">
        <v>49.29356317511828</v>
      </c>
      <c r="N692" s="302">
        <v>0.69941399127290493</v>
      </c>
      <c r="O692" s="302">
        <f t="shared" si="303"/>
        <v>118.82562849085106</v>
      </c>
    </row>
    <row r="693" spans="1:15" s="236" customFormat="1" x14ac:dyDescent="0.3">
      <c r="A693" s="237" t="str">
        <f>name!E$8</f>
        <v>Skilled trades occupations</v>
      </c>
      <c r="B693" s="302">
        <v>168.25977582907527</v>
      </c>
      <c r="C693" s="302">
        <v>83.547107975290643</v>
      </c>
      <c r="D693" s="302">
        <v>14.621724433158535</v>
      </c>
      <c r="E693" s="302">
        <f t="shared" si="301"/>
        <v>266.42860823752443</v>
      </c>
      <c r="F693" s="303"/>
      <c r="G693" s="302">
        <v>138.57985913340275</v>
      </c>
      <c r="H693" s="302">
        <v>81.04032822283402</v>
      </c>
      <c r="I693" s="302">
        <v>13.389834837514361</v>
      </c>
      <c r="J693" s="302">
        <f>SUM(G693:I693)</f>
        <v>233.01002219375115</v>
      </c>
      <c r="K693" s="303"/>
      <c r="L693" s="302">
        <v>134.57019286688435</v>
      </c>
      <c r="M693" s="302">
        <v>83.140797685460697</v>
      </c>
      <c r="N693" s="302">
        <v>15.181452391835405</v>
      </c>
      <c r="O693" s="302">
        <f t="shared" si="303"/>
        <v>232.89244294418043</v>
      </c>
    </row>
    <row r="694" spans="1:15" s="236" customFormat="1" x14ac:dyDescent="0.3">
      <c r="A694" s="237" t="str">
        <f>name!E$9</f>
        <v>Caring, leisure and other service occupations</v>
      </c>
      <c r="B694" s="302">
        <v>35.282283998615533</v>
      </c>
      <c r="C694" s="302">
        <v>37.830127622307359</v>
      </c>
      <c r="D694" s="302">
        <v>3.2718181363421546</v>
      </c>
      <c r="E694" s="302">
        <f t="shared" si="301"/>
        <v>76.384229757265047</v>
      </c>
      <c r="F694" s="303"/>
      <c r="G694" s="302">
        <v>37.05262503236623</v>
      </c>
      <c r="H694" s="302">
        <v>43.482282860098778</v>
      </c>
      <c r="I694" s="302">
        <v>3.9417289925092116</v>
      </c>
      <c r="J694" s="302">
        <f t="shared" ref="J694:J697" si="304">SUM(G694:I694)</f>
        <v>84.476636884974226</v>
      </c>
      <c r="K694" s="303"/>
      <c r="L694" s="302">
        <v>45.161928763520528</v>
      </c>
      <c r="M694" s="302">
        <v>49.573286636223742</v>
      </c>
      <c r="N694" s="302">
        <v>6.0410929129321618</v>
      </c>
      <c r="O694" s="302">
        <f t="shared" si="303"/>
        <v>100.77630831267643</v>
      </c>
    </row>
    <row r="695" spans="1:15" s="236" customFormat="1" x14ac:dyDescent="0.3">
      <c r="A695" s="237" t="str">
        <f>name!E$10</f>
        <v>Sales and customer service occupations</v>
      </c>
      <c r="B695" s="302">
        <v>32.19585677556357</v>
      </c>
      <c r="C695" s="302">
        <v>85.741761525320854</v>
      </c>
      <c r="D695" s="302">
        <v>17.594193483381648</v>
      </c>
      <c r="E695" s="302">
        <f t="shared" si="301"/>
        <v>135.53181178426607</v>
      </c>
      <c r="F695" s="303"/>
      <c r="G695" s="302">
        <v>34.914691994193895</v>
      </c>
      <c r="H695" s="302">
        <v>108.72336245197924</v>
      </c>
      <c r="I695" s="302">
        <v>10.852692462050031</v>
      </c>
      <c r="J695" s="302">
        <f t="shared" si="304"/>
        <v>154.49074690822317</v>
      </c>
      <c r="K695" s="303"/>
      <c r="L695" s="302">
        <v>46.497857762835714</v>
      </c>
      <c r="M695" s="302">
        <v>140.12849086406959</v>
      </c>
      <c r="N695" s="302">
        <v>8.783533521445948</v>
      </c>
      <c r="O695" s="302">
        <f t="shared" si="303"/>
        <v>195.40988214835124</v>
      </c>
    </row>
    <row r="696" spans="1:15" s="236" customFormat="1" x14ac:dyDescent="0.3">
      <c r="A696" s="237" t="str">
        <f>name!E$11</f>
        <v>Process, plant and machine operatives</v>
      </c>
      <c r="B696" s="302">
        <v>18.942859646514297</v>
      </c>
      <c r="C696" s="302">
        <v>32.484217039126676</v>
      </c>
      <c r="D696" s="302">
        <v>1.8355533589098445</v>
      </c>
      <c r="E696" s="302">
        <f t="shared" si="301"/>
        <v>53.262630044550811</v>
      </c>
      <c r="F696" s="303"/>
      <c r="G696" s="302">
        <v>16.348558622392641</v>
      </c>
      <c r="H696" s="302">
        <v>42.678736697630235</v>
      </c>
      <c r="I696" s="302">
        <v>1.4608717877335549</v>
      </c>
      <c r="J696" s="302">
        <f t="shared" si="304"/>
        <v>60.488167107756425</v>
      </c>
      <c r="K696" s="303"/>
      <c r="L696" s="302">
        <v>19.940422059125918</v>
      </c>
      <c r="M696" s="302">
        <v>69.495991360497726</v>
      </c>
      <c r="N696" s="302">
        <v>2.1053844236236716</v>
      </c>
      <c r="O696" s="302">
        <f t="shared" si="303"/>
        <v>91.541797843247323</v>
      </c>
    </row>
    <row r="697" spans="1:15" s="236" customFormat="1" x14ac:dyDescent="0.3">
      <c r="A697" s="237" t="str">
        <f>name!E$12</f>
        <v>Elementary occupations</v>
      </c>
      <c r="B697" s="302">
        <v>221.35446573652078</v>
      </c>
      <c r="C697" s="302">
        <v>640.5676377485587</v>
      </c>
      <c r="D697" s="302">
        <v>10.895376208659771</v>
      </c>
      <c r="E697" s="302">
        <f t="shared" si="301"/>
        <v>872.81747969373919</v>
      </c>
      <c r="F697" s="303"/>
      <c r="G697" s="302">
        <v>217.68881440806109</v>
      </c>
      <c r="H697" s="302">
        <v>700.66544572991847</v>
      </c>
      <c r="I697" s="302">
        <v>9.0010307616018519</v>
      </c>
      <c r="J697" s="302">
        <f t="shared" si="304"/>
        <v>927.35529089958141</v>
      </c>
      <c r="K697" s="303"/>
      <c r="L697" s="302">
        <v>261.24641286488065</v>
      </c>
      <c r="M697" s="302">
        <v>748.80605453627788</v>
      </c>
      <c r="N697" s="302">
        <v>12.178949551919109</v>
      </c>
      <c r="O697" s="302">
        <f t="shared" si="303"/>
        <v>1022.2314169530777</v>
      </c>
    </row>
    <row r="698" spans="1:15" s="236" customFormat="1" x14ac:dyDescent="0.3">
      <c r="A698" s="237"/>
      <c r="B698" s="302"/>
      <c r="C698" s="302"/>
      <c r="D698" s="302"/>
      <c r="E698" s="302"/>
      <c r="F698" s="303"/>
      <c r="G698" s="302"/>
      <c r="H698" s="302"/>
      <c r="I698" s="302"/>
      <c r="J698" s="302"/>
      <c r="K698" s="303"/>
      <c r="L698" s="302"/>
      <c r="M698" s="302"/>
      <c r="N698" s="302"/>
      <c r="O698" s="302"/>
    </row>
    <row r="699" spans="1:15" s="236" customFormat="1" x14ac:dyDescent="0.3">
      <c r="A699" s="244" t="s">
        <v>32</v>
      </c>
      <c r="B699" s="311">
        <f>SUM(B689:B697)</f>
        <v>698.95200000281102</v>
      </c>
      <c r="C699" s="311">
        <f t="shared" ref="C699:E699" si="305">SUM(C689:C697)</f>
        <v>951.93300002524984</v>
      </c>
      <c r="D699" s="311">
        <f t="shared" si="305"/>
        <v>101.00200000234746</v>
      </c>
      <c r="E699" s="311">
        <f t="shared" si="305"/>
        <v>1751.8870000304082</v>
      </c>
      <c r="F699" s="311"/>
      <c r="G699" s="311">
        <f t="shared" ref="G699:J699" si="306">SUM(G689:G697)</f>
        <v>729.93099999574906</v>
      </c>
      <c r="H699" s="311">
        <f t="shared" si="306"/>
        <v>1088.0670000131538</v>
      </c>
      <c r="I699" s="311">
        <f t="shared" si="306"/>
        <v>83.622999999576095</v>
      </c>
      <c r="J699" s="311">
        <f t="shared" si="306"/>
        <v>1901.6210000084789</v>
      </c>
      <c r="K699" s="311"/>
      <c r="L699" s="311">
        <f t="shared" ref="L699:O699" si="307">SUM(L689:L697)</f>
        <v>884.28299999712226</v>
      </c>
      <c r="M699" s="311">
        <f t="shared" si="307"/>
        <v>1252.0059999935033</v>
      </c>
      <c r="N699" s="311">
        <f t="shared" si="307"/>
        <v>99.132000000175353</v>
      </c>
      <c r="O699" s="311">
        <f t="shared" si="307"/>
        <v>2235.4209999908007</v>
      </c>
    </row>
    <row r="700" spans="1:15" s="236" customFormat="1" x14ac:dyDescent="0.3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40"/>
    </row>
    <row r="701" spans="1:15" s="236" customFormat="1" x14ac:dyDescent="0.3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40"/>
      <c r="O701" s="251" t="s">
        <v>35</v>
      </c>
    </row>
    <row r="702" spans="1:15" s="236" customFormat="1" x14ac:dyDescent="0.3">
      <c r="A702" s="242"/>
      <c r="B702" s="242"/>
      <c r="C702" s="242"/>
      <c r="D702" s="242"/>
      <c r="E702" s="242"/>
      <c r="F702" s="242"/>
      <c r="G702" s="242"/>
      <c r="H702" s="242"/>
      <c r="I702" s="242"/>
      <c r="J702" s="242"/>
      <c r="K702" s="242"/>
      <c r="L702" s="242"/>
      <c r="M702" s="242"/>
      <c r="N702" s="242"/>
      <c r="O702" s="242"/>
    </row>
    <row r="703" spans="1:15" s="236" customFormat="1" x14ac:dyDescent="0.3">
      <c r="A703" s="241" t="str">
        <f>name!A44</f>
        <v>Publishing activities</v>
      </c>
      <c r="B703" s="375">
        <f>$B$6</f>
        <v>2015</v>
      </c>
      <c r="C703" s="375"/>
      <c r="D703" s="375"/>
      <c r="E703" s="375"/>
      <c r="F703" s="263"/>
      <c r="G703" s="375">
        <f>$G$6</f>
        <v>2020</v>
      </c>
      <c r="H703" s="375"/>
      <c r="I703" s="375"/>
      <c r="J703" s="375"/>
      <c r="K703" s="263"/>
      <c r="L703" s="375">
        <f>$L$6</f>
        <v>2035</v>
      </c>
      <c r="M703" s="375"/>
      <c r="N703" s="375"/>
      <c r="O703" s="375"/>
    </row>
    <row r="704" spans="1:15" s="236" customFormat="1" x14ac:dyDescent="0.3">
      <c r="A704" s="254"/>
      <c r="B704" s="268" t="str">
        <f>$B$7</f>
        <v>FT</v>
      </c>
      <c r="C704" s="268" t="str">
        <f>$C$7</f>
        <v>PT</v>
      </c>
      <c r="D704" s="268" t="str">
        <f>$D$7</f>
        <v>SE</v>
      </c>
      <c r="E704" s="268" t="str">
        <f>$E$7</f>
        <v>Total</v>
      </c>
      <c r="F704" s="268"/>
      <c r="G704" s="268" t="str">
        <f>$G$7</f>
        <v>FT</v>
      </c>
      <c r="H704" s="268" t="str">
        <f>$H$7</f>
        <v>PT</v>
      </c>
      <c r="I704" s="268" t="str">
        <f>$I$7</f>
        <v>SE</v>
      </c>
      <c r="J704" s="268" t="str">
        <f>$J$7</f>
        <v>Total</v>
      </c>
      <c r="K704" s="268"/>
      <c r="L704" s="268" t="str">
        <f>$L$7</f>
        <v>FT</v>
      </c>
      <c r="M704" s="268" t="str">
        <f>$M$7</f>
        <v>PT</v>
      </c>
      <c r="N704" s="268" t="str">
        <f>$N$7</f>
        <v>SE</v>
      </c>
      <c r="O704" s="268" t="str">
        <f>$O$7</f>
        <v>Total</v>
      </c>
    </row>
    <row r="705" spans="1:15" s="236" customFormat="1" x14ac:dyDescent="0.3">
      <c r="A705" s="258"/>
      <c r="B705" s="239"/>
      <c r="C705" s="239"/>
      <c r="D705" s="239"/>
      <c r="E705" s="239"/>
      <c r="F705" s="239"/>
      <c r="G705" s="239"/>
      <c r="H705" s="239"/>
      <c r="I705" s="239"/>
      <c r="J705" s="239"/>
      <c r="K705" s="239"/>
      <c r="L705" s="239"/>
      <c r="M705" s="239"/>
      <c r="N705" s="239"/>
      <c r="O705" s="239"/>
    </row>
    <row r="706" spans="1:15" s="236" customFormat="1" x14ac:dyDescent="0.3">
      <c r="A706" s="237" t="str">
        <f>name!E$4</f>
        <v>Managers, directors and senior officials</v>
      </c>
      <c r="B706" s="302">
        <v>18.37244968431736</v>
      </c>
      <c r="C706" s="302">
        <v>2.6011879854440068</v>
      </c>
      <c r="D706" s="302">
        <v>7.9156799110432345</v>
      </c>
      <c r="E706" s="302">
        <f>SUM(B706:D706)</f>
        <v>28.889317580804601</v>
      </c>
      <c r="F706" s="303"/>
      <c r="G706" s="302">
        <v>17.839949569061787</v>
      </c>
      <c r="H706" s="302">
        <v>2.6447611516893894</v>
      </c>
      <c r="I706" s="302">
        <v>7.3256848664066707</v>
      </c>
      <c r="J706" s="302">
        <f>SUM(G706:I706)</f>
        <v>27.810395587157849</v>
      </c>
      <c r="K706" s="303"/>
      <c r="L706" s="302">
        <v>18.015506971164648</v>
      </c>
      <c r="M706" s="302">
        <v>3.2590990698121183</v>
      </c>
      <c r="N706" s="302">
        <v>8.1683799788387148</v>
      </c>
      <c r="O706" s="302">
        <f>SUM(L706:N706)</f>
        <v>29.442986019815482</v>
      </c>
    </row>
    <row r="707" spans="1:15" s="236" customFormat="1" x14ac:dyDescent="0.3">
      <c r="A707" s="237" t="str">
        <f>name!E$5</f>
        <v>Professional occupations</v>
      </c>
      <c r="B707" s="302">
        <v>30.322761088869491</v>
      </c>
      <c r="C707" s="302">
        <v>3.6286652676600917</v>
      </c>
      <c r="D707" s="302">
        <v>10.355187023530117</v>
      </c>
      <c r="E707" s="302">
        <f t="shared" ref="E707:E714" si="308">SUM(B707:D707)</f>
        <v>44.306613380059702</v>
      </c>
      <c r="F707" s="303"/>
      <c r="G707" s="302">
        <v>34.228100214256628</v>
      </c>
      <c r="H707" s="302">
        <v>3.7088011626679709</v>
      </c>
      <c r="I707" s="302">
        <v>8.5441327613421301</v>
      </c>
      <c r="J707" s="302">
        <f t="shared" ref="J707:J709" si="309">SUM(G707:I707)</f>
        <v>46.481034138266722</v>
      </c>
      <c r="K707" s="303"/>
      <c r="L707" s="302">
        <v>39.788067568071988</v>
      </c>
      <c r="M707" s="302">
        <v>5.0872776938071578</v>
      </c>
      <c r="N707" s="302">
        <v>6.7707151157167011</v>
      </c>
      <c r="O707" s="302">
        <f t="shared" ref="O707:O714" si="310">SUM(L707:N707)</f>
        <v>51.646060377595845</v>
      </c>
    </row>
    <row r="708" spans="1:15" s="236" customFormat="1" x14ac:dyDescent="0.3">
      <c r="A708" s="237" t="str">
        <f>name!E$6</f>
        <v>Associate professional occupations</v>
      </c>
      <c r="B708" s="302">
        <v>24.253915542269677</v>
      </c>
      <c r="C708" s="302">
        <v>5.5541672441649323</v>
      </c>
      <c r="D708" s="302">
        <v>17.144211976696674</v>
      </c>
      <c r="E708" s="302">
        <f t="shared" si="308"/>
        <v>46.952294763131285</v>
      </c>
      <c r="F708" s="303"/>
      <c r="G708" s="302">
        <v>25.113509678935202</v>
      </c>
      <c r="H708" s="302">
        <v>4.4243176599298817</v>
      </c>
      <c r="I708" s="302">
        <v>16.759883728348598</v>
      </c>
      <c r="J708" s="302">
        <f t="shared" si="309"/>
        <v>46.297711067213683</v>
      </c>
      <c r="K708" s="303"/>
      <c r="L708" s="302">
        <v>25.46617481406637</v>
      </c>
      <c r="M708" s="302">
        <v>4.5296019304540174</v>
      </c>
      <c r="N708" s="302">
        <v>16.493585805774217</v>
      </c>
      <c r="O708" s="302">
        <f t="shared" si="310"/>
        <v>46.489362550294601</v>
      </c>
    </row>
    <row r="709" spans="1:15" s="236" customFormat="1" x14ac:dyDescent="0.3">
      <c r="A709" s="237" t="str">
        <f>name!E$7</f>
        <v>Administrative and secretarial occupations</v>
      </c>
      <c r="B709" s="302">
        <v>7.4337320346120865</v>
      </c>
      <c r="C709" s="302">
        <v>5.0353131950094374</v>
      </c>
      <c r="D709" s="302">
        <v>1.3241515912912394</v>
      </c>
      <c r="E709" s="302">
        <f t="shared" si="308"/>
        <v>13.793196820912764</v>
      </c>
      <c r="F709" s="303"/>
      <c r="G709" s="302">
        <v>6.3881325031485616</v>
      </c>
      <c r="H709" s="302">
        <v>3.1154457381175509</v>
      </c>
      <c r="I709" s="302">
        <v>1.1674535177152148</v>
      </c>
      <c r="J709" s="302">
        <f t="shared" si="309"/>
        <v>10.671031758981327</v>
      </c>
      <c r="K709" s="303"/>
      <c r="L709" s="302">
        <v>4.3920447016349922</v>
      </c>
      <c r="M709" s="302">
        <v>2.3792234386983226</v>
      </c>
      <c r="N709" s="302">
        <v>0.82442279879774161</v>
      </c>
      <c r="O709" s="302">
        <f t="shared" si="310"/>
        <v>7.5956909391310568</v>
      </c>
    </row>
    <row r="710" spans="1:15" s="236" customFormat="1" x14ac:dyDescent="0.3">
      <c r="A710" s="237" t="str">
        <f>name!E$8</f>
        <v>Skilled trades occupations</v>
      </c>
      <c r="B710" s="302">
        <v>9.0830119491275187</v>
      </c>
      <c r="C710" s="302">
        <v>1.8332075602273472</v>
      </c>
      <c r="D710" s="302">
        <v>4.1457563290443247</v>
      </c>
      <c r="E710" s="302">
        <f t="shared" si="308"/>
        <v>15.06197583839919</v>
      </c>
      <c r="F710" s="303"/>
      <c r="G710" s="302">
        <v>6.6061429674143506</v>
      </c>
      <c r="H710" s="302">
        <v>0.81145941120162879</v>
      </c>
      <c r="I710" s="302">
        <v>2.8414871524417111</v>
      </c>
      <c r="J710" s="302">
        <f>SUM(G710:I710)</f>
        <v>10.25908953105769</v>
      </c>
      <c r="K710" s="303"/>
      <c r="L710" s="302">
        <v>4.3813145325192471</v>
      </c>
      <c r="M710" s="302">
        <v>0.79488611527246633</v>
      </c>
      <c r="N710" s="302">
        <v>3.4264926195828451</v>
      </c>
      <c r="O710" s="302">
        <f t="shared" si="310"/>
        <v>8.6026932673745584</v>
      </c>
    </row>
    <row r="711" spans="1:15" s="236" customFormat="1" x14ac:dyDescent="0.3">
      <c r="A711" s="237" t="str">
        <f>name!E$9</f>
        <v>Caring, leisure and other service occupations</v>
      </c>
      <c r="B711" s="302">
        <v>0.85627856657273116</v>
      </c>
      <c r="C711" s="302">
        <v>0.49479759366005244</v>
      </c>
      <c r="D711" s="302">
        <v>0.46740682626511348</v>
      </c>
      <c r="E711" s="302">
        <f t="shared" si="308"/>
        <v>1.8184829864978971</v>
      </c>
      <c r="F711" s="303"/>
      <c r="G711" s="302">
        <v>0.76051906699956606</v>
      </c>
      <c r="H711" s="302">
        <v>0.3337793167637233</v>
      </c>
      <c r="I711" s="302">
        <v>0.61200071086379537</v>
      </c>
      <c r="J711" s="302">
        <f t="shared" ref="J711:J714" si="311">SUM(G711:I711)</f>
        <v>1.7062990946270848</v>
      </c>
      <c r="K711" s="303"/>
      <c r="L711" s="302">
        <v>1.0164565173324098</v>
      </c>
      <c r="M711" s="302">
        <v>0.33569404310386475</v>
      </c>
      <c r="N711" s="302">
        <v>0.61619817777490016</v>
      </c>
      <c r="O711" s="302">
        <f t="shared" si="310"/>
        <v>1.9683487382111748</v>
      </c>
    </row>
    <row r="712" spans="1:15" s="236" customFormat="1" x14ac:dyDescent="0.3">
      <c r="A712" s="237" t="str">
        <f>name!E$10</f>
        <v>Sales and customer service occupations</v>
      </c>
      <c r="B712" s="302">
        <v>4.0935483744559304</v>
      </c>
      <c r="C712" s="302">
        <v>1.7752110916730399</v>
      </c>
      <c r="D712" s="302">
        <v>1.5175380088232151</v>
      </c>
      <c r="E712" s="302">
        <f t="shared" si="308"/>
        <v>7.3862974749521859</v>
      </c>
      <c r="F712" s="303"/>
      <c r="G712" s="302">
        <v>3.3600085041167751</v>
      </c>
      <c r="H712" s="302">
        <v>1.0930479416788044</v>
      </c>
      <c r="I712" s="302">
        <v>1.0215141369400009</v>
      </c>
      <c r="J712" s="302">
        <f t="shared" si="311"/>
        <v>5.4745705827355806</v>
      </c>
      <c r="K712" s="303"/>
      <c r="L712" s="302">
        <v>3.2649398851772138</v>
      </c>
      <c r="M712" s="302">
        <v>1.247511749444826</v>
      </c>
      <c r="N712" s="302">
        <v>0.87668582167351228</v>
      </c>
      <c r="O712" s="302">
        <f t="shared" si="310"/>
        <v>5.3891374562955523</v>
      </c>
    </row>
    <row r="713" spans="1:15" s="236" customFormat="1" x14ac:dyDescent="0.3">
      <c r="A713" s="237" t="str">
        <f>name!E$11</f>
        <v>Process, plant and machine operatives</v>
      </c>
      <c r="B713" s="302">
        <v>1.9841074255946873</v>
      </c>
      <c r="C713" s="302">
        <v>1.6212473743470999</v>
      </c>
      <c r="D713" s="302">
        <v>1.06919444829417</v>
      </c>
      <c r="E713" s="302">
        <f t="shared" si="308"/>
        <v>4.674549248235957</v>
      </c>
      <c r="F713" s="303"/>
      <c r="G713" s="302">
        <v>1.4475784811628105</v>
      </c>
      <c r="H713" s="302">
        <v>0.99102387845930984</v>
      </c>
      <c r="I713" s="302">
        <v>1.0880734502418572</v>
      </c>
      <c r="J713" s="302">
        <f t="shared" si="311"/>
        <v>3.5266758098639777</v>
      </c>
      <c r="K713" s="303"/>
      <c r="L713" s="302">
        <v>1.1580117872446525</v>
      </c>
      <c r="M713" s="302">
        <v>1.1717309671613048</v>
      </c>
      <c r="N713" s="302">
        <v>1.2460171538647455</v>
      </c>
      <c r="O713" s="302">
        <f t="shared" si="310"/>
        <v>3.5757599082707028</v>
      </c>
    </row>
    <row r="714" spans="1:15" s="236" customFormat="1" x14ac:dyDescent="0.3">
      <c r="A714" s="237" t="str">
        <f>name!E$12</f>
        <v>Elementary occupations</v>
      </c>
      <c r="B714" s="302">
        <v>3.9451953330067364</v>
      </c>
      <c r="C714" s="302">
        <v>4.6842026878598801</v>
      </c>
      <c r="D714" s="302">
        <v>1.3888738855076528</v>
      </c>
      <c r="E714" s="302">
        <f t="shared" si="308"/>
        <v>10.01827190637427</v>
      </c>
      <c r="F714" s="303"/>
      <c r="G714" s="302">
        <v>2.6610590146750548</v>
      </c>
      <c r="H714" s="302">
        <v>2.2313637394795278</v>
      </c>
      <c r="I714" s="302">
        <v>1.6297696758171869</v>
      </c>
      <c r="J714" s="302">
        <f t="shared" si="311"/>
        <v>6.5221924299717688</v>
      </c>
      <c r="K714" s="303"/>
      <c r="L714" s="302">
        <v>1.733483222833347</v>
      </c>
      <c r="M714" s="302">
        <v>1.6979749922112686</v>
      </c>
      <c r="N714" s="302">
        <v>1.623502528945002</v>
      </c>
      <c r="O714" s="302">
        <f t="shared" si="310"/>
        <v>5.0549607439896178</v>
      </c>
    </row>
    <row r="715" spans="1:15" s="236" customFormat="1" x14ac:dyDescent="0.3">
      <c r="A715" s="237"/>
      <c r="B715" s="302"/>
      <c r="C715" s="302"/>
      <c r="D715" s="302"/>
      <c r="E715" s="302"/>
      <c r="F715" s="303"/>
      <c r="G715" s="302"/>
      <c r="H715" s="302"/>
      <c r="I715" s="302"/>
      <c r="J715" s="302"/>
      <c r="K715" s="303"/>
      <c r="L715" s="302"/>
      <c r="M715" s="302"/>
      <c r="N715" s="302"/>
      <c r="O715" s="302"/>
    </row>
    <row r="716" spans="1:15" s="236" customFormat="1" x14ac:dyDescent="0.3">
      <c r="A716" s="244" t="s">
        <v>32</v>
      </c>
      <c r="B716" s="311">
        <f>SUM(B706:B714)</f>
        <v>100.34499999882622</v>
      </c>
      <c r="C716" s="311">
        <f t="shared" ref="C716:E716" si="312">SUM(C706:C714)</f>
        <v>27.228000000045885</v>
      </c>
      <c r="D716" s="311">
        <f t="shared" si="312"/>
        <v>45.328000000495742</v>
      </c>
      <c r="E716" s="311">
        <f t="shared" si="312"/>
        <v>172.90099999936783</v>
      </c>
      <c r="F716" s="311"/>
      <c r="G716" s="311">
        <f t="shared" ref="G716:J716" si="313">SUM(G706:G714)</f>
        <v>98.404999999770737</v>
      </c>
      <c r="H716" s="311">
        <f t="shared" si="313"/>
        <v>19.353999999987781</v>
      </c>
      <c r="I716" s="311">
        <f t="shared" si="313"/>
        <v>40.990000000117163</v>
      </c>
      <c r="J716" s="311">
        <f t="shared" si="313"/>
        <v>158.74899999987568</v>
      </c>
      <c r="K716" s="311"/>
      <c r="L716" s="311">
        <f t="shared" ref="L716:O716" si="314">SUM(L706:L714)</f>
        <v>99.216000000044858</v>
      </c>
      <c r="M716" s="311">
        <f t="shared" si="314"/>
        <v>20.502999999965343</v>
      </c>
      <c r="N716" s="311">
        <f t="shared" si="314"/>
        <v>40.046000000968384</v>
      </c>
      <c r="O716" s="311">
        <f t="shared" si="314"/>
        <v>159.76500000097857</v>
      </c>
    </row>
    <row r="717" spans="1:15" s="236" customFormat="1" x14ac:dyDescent="0.3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40"/>
    </row>
    <row r="718" spans="1:15" s="236" customFormat="1" x14ac:dyDescent="0.3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40"/>
      <c r="O718" s="251" t="s">
        <v>35</v>
      </c>
    </row>
    <row r="719" spans="1:15" s="236" customFormat="1" x14ac:dyDescent="0.3">
      <c r="A719" s="242"/>
      <c r="B719" s="242"/>
      <c r="C719" s="242"/>
      <c r="D719" s="242"/>
      <c r="E719" s="242"/>
      <c r="F719" s="242"/>
      <c r="G719" s="242"/>
      <c r="H719" s="242"/>
      <c r="I719" s="242"/>
      <c r="J719" s="242"/>
      <c r="K719" s="242"/>
      <c r="L719" s="242"/>
      <c r="M719" s="242"/>
      <c r="N719" s="242"/>
      <c r="O719" s="242"/>
    </row>
    <row r="720" spans="1:15" s="236" customFormat="1" x14ac:dyDescent="0.3">
      <c r="A720" s="241" t="str">
        <f>name!A45</f>
        <v>Film and music</v>
      </c>
      <c r="B720" s="375">
        <f>$B$6</f>
        <v>2015</v>
      </c>
      <c r="C720" s="375"/>
      <c r="D720" s="375"/>
      <c r="E720" s="375"/>
      <c r="F720" s="263"/>
      <c r="G720" s="375">
        <f>$G$6</f>
        <v>2020</v>
      </c>
      <c r="H720" s="375"/>
      <c r="I720" s="375"/>
      <c r="J720" s="375"/>
      <c r="K720" s="263"/>
      <c r="L720" s="375">
        <f>$L$6</f>
        <v>2035</v>
      </c>
      <c r="M720" s="375"/>
      <c r="N720" s="375"/>
      <c r="O720" s="375"/>
    </row>
    <row r="721" spans="1:15" s="236" customFormat="1" x14ac:dyDescent="0.3">
      <c r="A721" s="254"/>
      <c r="B721" s="268" t="str">
        <f>$B$7</f>
        <v>FT</v>
      </c>
      <c r="C721" s="268" t="str">
        <f>$C$7</f>
        <v>PT</v>
      </c>
      <c r="D721" s="268" t="str">
        <f>$D$7</f>
        <v>SE</v>
      </c>
      <c r="E721" s="268" t="str">
        <f>$E$7</f>
        <v>Total</v>
      </c>
      <c r="F721" s="268"/>
      <c r="G721" s="268" t="str">
        <f>$G$7</f>
        <v>FT</v>
      </c>
      <c r="H721" s="268" t="str">
        <f>$H$7</f>
        <v>PT</v>
      </c>
      <c r="I721" s="268" t="str">
        <f>$I$7</f>
        <v>SE</v>
      </c>
      <c r="J721" s="268" t="str">
        <f>$J$7</f>
        <v>Total</v>
      </c>
      <c r="K721" s="268"/>
      <c r="L721" s="268" t="str">
        <f>$L$7</f>
        <v>FT</v>
      </c>
      <c r="M721" s="268" t="str">
        <f>$M$7</f>
        <v>PT</v>
      </c>
      <c r="N721" s="268" t="str">
        <f>$N$7</f>
        <v>SE</v>
      </c>
      <c r="O721" s="268" t="str">
        <f>$O$7</f>
        <v>Total</v>
      </c>
    </row>
    <row r="722" spans="1:15" s="236" customFormat="1" x14ac:dyDescent="0.3">
      <c r="A722" s="258"/>
      <c r="B722" s="239"/>
      <c r="C722" s="239"/>
      <c r="D722" s="239"/>
      <c r="E722" s="239"/>
      <c r="F722" s="239"/>
      <c r="G722" s="239"/>
      <c r="H722" s="239"/>
      <c r="I722" s="239"/>
      <c r="J722" s="239"/>
      <c r="K722" s="239"/>
      <c r="L722" s="239"/>
      <c r="M722" s="239"/>
      <c r="N722" s="239"/>
      <c r="O722" s="239"/>
    </row>
    <row r="723" spans="1:15" s="236" customFormat="1" x14ac:dyDescent="0.3">
      <c r="A723" s="237" t="str">
        <f>name!E$4</f>
        <v>Managers, directors and senior officials</v>
      </c>
      <c r="B723" s="302">
        <v>13.426815089469191</v>
      </c>
      <c r="C723" s="302">
        <v>1.4830231521977668</v>
      </c>
      <c r="D723" s="302">
        <v>2.5322437942853204</v>
      </c>
      <c r="E723" s="302">
        <f>SUM(B723:D723)</f>
        <v>17.442082035952279</v>
      </c>
      <c r="F723" s="303"/>
      <c r="G723" s="302">
        <v>14.332418670687918</v>
      </c>
      <c r="H723" s="302">
        <v>2.6133768642139277</v>
      </c>
      <c r="I723" s="302">
        <v>2.4640683924916083</v>
      </c>
      <c r="J723" s="302">
        <f>SUM(G723:I723)</f>
        <v>19.409863927393456</v>
      </c>
      <c r="K723" s="303"/>
      <c r="L723" s="302">
        <v>15.942050658049896</v>
      </c>
      <c r="M723" s="302">
        <v>3.505364766839298</v>
      </c>
      <c r="N723" s="302">
        <v>2.778322660822266</v>
      </c>
      <c r="O723" s="302">
        <f>SUM(L723:N723)</f>
        <v>22.225738085711459</v>
      </c>
    </row>
    <row r="724" spans="1:15" s="236" customFormat="1" x14ac:dyDescent="0.3">
      <c r="A724" s="237" t="str">
        <f>name!E$5</f>
        <v>Professional occupations</v>
      </c>
      <c r="B724" s="302">
        <v>18.72677225148162</v>
      </c>
      <c r="C724" s="302">
        <v>2.1865827387312868</v>
      </c>
      <c r="D724" s="302">
        <v>6.3281993463194972</v>
      </c>
      <c r="E724" s="302">
        <f t="shared" ref="E724:E731" si="315">SUM(B724:D724)</f>
        <v>27.241554336532403</v>
      </c>
      <c r="F724" s="303"/>
      <c r="G724" s="302">
        <v>24.722618953273475</v>
      </c>
      <c r="H724" s="302">
        <v>4.2223774450881306</v>
      </c>
      <c r="I724" s="302">
        <v>6.0298790851603501</v>
      </c>
      <c r="J724" s="302">
        <f t="shared" ref="J724:J726" si="316">SUM(G724:I724)</f>
        <v>34.974875483521956</v>
      </c>
      <c r="K724" s="303"/>
      <c r="L724" s="302">
        <v>28.906350648177007</v>
      </c>
      <c r="M724" s="302">
        <v>5.7736487560186953</v>
      </c>
      <c r="N724" s="302">
        <v>5.4090518531508787</v>
      </c>
      <c r="O724" s="302">
        <f t="shared" ref="O724:O731" si="317">SUM(L724:N724)</f>
        <v>40.089051257346583</v>
      </c>
    </row>
    <row r="725" spans="1:15" s="236" customFormat="1" x14ac:dyDescent="0.3">
      <c r="A725" s="237" t="str">
        <f>name!E$6</f>
        <v>Associate professional occupations</v>
      </c>
      <c r="B725" s="302">
        <v>21.501652539465432</v>
      </c>
      <c r="C725" s="302">
        <v>3.6130301296271714</v>
      </c>
      <c r="D725" s="302">
        <v>18.476522787477546</v>
      </c>
      <c r="E725" s="302">
        <f t="shared" si="315"/>
        <v>43.591205456570151</v>
      </c>
      <c r="F725" s="303"/>
      <c r="G725" s="302">
        <v>25.496866792968373</v>
      </c>
      <c r="H725" s="302">
        <v>5.4681688265062363</v>
      </c>
      <c r="I725" s="302">
        <v>17.986899706898569</v>
      </c>
      <c r="J725" s="302">
        <f t="shared" si="316"/>
        <v>48.951935326373174</v>
      </c>
      <c r="K725" s="303"/>
      <c r="L725" s="302">
        <v>25.887282418143695</v>
      </c>
      <c r="M725" s="302">
        <v>5.900342341524567</v>
      </c>
      <c r="N725" s="302">
        <v>17.958861892783116</v>
      </c>
      <c r="O725" s="302">
        <f t="shared" si="317"/>
        <v>49.746486652451381</v>
      </c>
    </row>
    <row r="726" spans="1:15" s="236" customFormat="1" x14ac:dyDescent="0.3">
      <c r="A726" s="237" t="str">
        <f>name!E$7</f>
        <v>Administrative and secretarial occupations</v>
      </c>
      <c r="B726" s="302">
        <v>10.484587959890408</v>
      </c>
      <c r="C726" s="302">
        <v>5.2107737030232428</v>
      </c>
      <c r="D726" s="302">
        <v>0.56096889282485396</v>
      </c>
      <c r="E726" s="302">
        <f t="shared" si="315"/>
        <v>16.256330555738504</v>
      </c>
      <c r="F726" s="303"/>
      <c r="G726" s="302">
        <v>11.107163842614622</v>
      </c>
      <c r="H726" s="302">
        <v>7.3479138454954951</v>
      </c>
      <c r="I726" s="302">
        <v>0.45250630562370664</v>
      </c>
      <c r="J726" s="302">
        <f t="shared" si="316"/>
        <v>18.907583993733823</v>
      </c>
      <c r="K726" s="303"/>
      <c r="L726" s="302">
        <v>8.3090829013361525</v>
      </c>
      <c r="M726" s="302">
        <v>6.5682445397998963</v>
      </c>
      <c r="N726" s="302">
        <v>0.94902804404194074</v>
      </c>
      <c r="O726" s="302">
        <f t="shared" si="317"/>
        <v>15.82635548517799</v>
      </c>
    </row>
    <row r="727" spans="1:15" s="236" customFormat="1" x14ac:dyDescent="0.3">
      <c r="A727" s="237" t="str">
        <f>name!E$8</f>
        <v>Skilled trades occupations</v>
      </c>
      <c r="B727" s="302">
        <v>5.4535807596666475</v>
      </c>
      <c r="C727" s="302">
        <v>0.94044508988395947</v>
      </c>
      <c r="D727" s="302">
        <v>2.7122123028868947</v>
      </c>
      <c r="E727" s="302">
        <f t="shared" si="315"/>
        <v>9.106238152437502</v>
      </c>
      <c r="F727" s="303"/>
      <c r="G727" s="302">
        <v>5.0479514696238779</v>
      </c>
      <c r="H727" s="302">
        <v>1.0711294843881305</v>
      </c>
      <c r="I727" s="302">
        <v>2.3905407521774142</v>
      </c>
      <c r="J727" s="302">
        <f>SUM(G727:I727)</f>
        <v>8.5096217061894226</v>
      </c>
      <c r="K727" s="303"/>
      <c r="L727" s="302">
        <v>4.2618568265950012</v>
      </c>
      <c r="M727" s="302">
        <v>1.6157722844395848</v>
      </c>
      <c r="N727" s="302">
        <v>2.4319442406364642</v>
      </c>
      <c r="O727" s="302">
        <f t="shared" si="317"/>
        <v>8.3095733516710499</v>
      </c>
    </row>
    <row r="728" spans="1:15" s="236" customFormat="1" x14ac:dyDescent="0.3">
      <c r="A728" s="237" t="str">
        <f>name!E$9</f>
        <v>Caring, leisure and other service occupations</v>
      </c>
      <c r="B728" s="302">
        <v>5.196724716358224</v>
      </c>
      <c r="C728" s="302">
        <v>3.1526816046808799</v>
      </c>
      <c r="D728" s="302">
        <v>0.74089280761853393</v>
      </c>
      <c r="E728" s="302">
        <f t="shared" si="315"/>
        <v>9.0902991286576391</v>
      </c>
      <c r="F728" s="303"/>
      <c r="G728" s="302">
        <v>4.9366678908477724</v>
      </c>
      <c r="H728" s="302">
        <v>4.0061013614740748</v>
      </c>
      <c r="I728" s="302">
        <v>0.79714212639335158</v>
      </c>
      <c r="J728" s="302">
        <f t="shared" ref="J728:J731" si="318">SUM(G728:I728)</f>
        <v>9.739911378715199</v>
      </c>
      <c r="K728" s="303"/>
      <c r="L728" s="302">
        <v>4.959370619891879</v>
      </c>
      <c r="M728" s="302">
        <v>3.8509226343561735</v>
      </c>
      <c r="N728" s="302">
        <v>0.95639622215592746</v>
      </c>
      <c r="O728" s="302">
        <f t="shared" si="317"/>
        <v>9.7666894764039789</v>
      </c>
    </row>
    <row r="729" spans="1:15" s="236" customFormat="1" x14ac:dyDescent="0.3">
      <c r="A729" s="237" t="str">
        <f>name!E$10</f>
        <v>Sales and customer service occupations</v>
      </c>
      <c r="B729" s="302">
        <v>5.0648092080151494</v>
      </c>
      <c r="C729" s="302">
        <v>2.0917305205697305</v>
      </c>
      <c r="D729" s="302">
        <v>0.58769673907235542</v>
      </c>
      <c r="E729" s="302">
        <f t="shared" si="315"/>
        <v>7.7442364676572355</v>
      </c>
      <c r="F729" s="303"/>
      <c r="G729" s="302">
        <v>5.2723657169331943</v>
      </c>
      <c r="H729" s="302">
        <v>2.9543252222581313</v>
      </c>
      <c r="I729" s="302">
        <v>0.41531526500109023</v>
      </c>
      <c r="J729" s="302">
        <f t="shared" si="318"/>
        <v>8.6420062041924162</v>
      </c>
      <c r="K729" s="303"/>
      <c r="L729" s="302">
        <v>5.6235823627049015</v>
      </c>
      <c r="M729" s="302">
        <v>3.4185406611575155</v>
      </c>
      <c r="N729" s="302">
        <v>0.38634777924955643</v>
      </c>
      <c r="O729" s="302">
        <f t="shared" si="317"/>
        <v>9.4284708031119724</v>
      </c>
    </row>
    <row r="730" spans="1:15" s="236" customFormat="1" x14ac:dyDescent="0.3">
      <c r="A730" s="237" t="str">
        <f>name!E$11</f>
        <v>Process, plant and machine operatives</v>
      </c>
      <c r="B730" s="302">
        <v>1.0363009540703956</v>
      </c>
      <c r="C730" s="302">
        <v>0.39690558963405953</v>
      </c>
      <c r="D730" s="302">
        <v>0.18044424362388478</v>
      </c>
      <c r="E730" s="302">
        <f t="shared" si="315"/>
        <v>1.6136507873283397</v>
      </c>
      <c r="F730" s="303"/>
      <c r="G730" s="302">
        <v>1.0837209721252186</v>
      </c>
      <c r="H730" s="302">
        <v>0.59430499232267087</v>
      </c>
      <c r="I730" s="302">
        <v>0.19394433564260116</v>
      </c>
      <c r="J730" s="302">
        <f t="shared" si="318"/>
        <v>1.8719703000904906</v>
      </c>
      <c r="K730" s="303"/>
      <c r="L730" s="302">
        <v>1.0354584580944899</v>
      </c>
      <c r="M730" s="302">
        <v>0.86687171600317692</v>
      </c>
      <c r="N730" s="302">
        <v>0.23790759105472462</v>
      </c>
      <c r="O730" s="302">
        <f t="shared" si="317"/>
        <v>2.1402377651523916</v>
      </c>
    </row>
    <row r="731" spans="1:15" s="236" customFormat="1" x14ac:dyDescent="0.3">
      <c r="A731" s="237" t="str">
        <f>name!E$12</f>
        <v>Elementary occupations</v>
      </c>
      <c r="B731" s="302">
        <v>7.3967565211129465</v>
      </c>
      <c r="C731" s="302">
        <v>8.6788274719160245</v>
      </c>
      <c r="D731" s="302">
        <v>2.8578190865231234</v>
      </c>
      <c r="E731" s="302">
        <f t="shared" si="315"/>
        <v>18.933403079552093</v>
      </c>
      <c r="F731" s="303"/>
      <c r="G731" s="302">
        <v>7.5222256908801572</v>
      </c>
      <c r="H731" s="302">
        <v>9.6493019584130781</v>
      </c>
      <c r="I731" s="302">
        <v>2.1447040312063899</v>
      </c>
      <c r="J731" s="302">
        <f t="shared" si="318"/>
        <v>19.316231680499627</v>
      </c>
      <c r="K731" s="303"/>
      <c r="L731" s="302">
        <v>7.4519651072466981</v>
      </c>
      <c r="M731" s="302">
        <v>8.4482922998314098</v>
      </c>
      <c r="N731" s="302">
        <v>3.0481397177335889</v>
      </c>
      <c r="O731" s="302">
        <f t="shared" si="317"/>
        <v>18.948397124811699</v>
      </c>
    </row>
    <row r="732" spans="1:15" s="236" customFormat="1" x14ac:dyDescent="0.3">
      <c r="A732" s="237"/>
      <c r="B732" s="302"/>
      <c r="C732" s="302"/>
      <c r="D732" s="302"/>
      <c r="E732" s="302"/>
      <c r="F732" s="303"/>
      <c r="G732" s="302"/>
      <c r="H732" s="302"/>
      <c r="I732" s="302"/>
      <c r="J732" s="302"/>
      <c r="K732" s="303"/>
      <c r="L732" s="302"/>
      <c r="M732" s="302"/>
      <c r="N732" s="302"/>
      <c r="O732" s="302"/>
    </row>
    <row r="733" spans="1:15" s="236" customFormat="1" x14ac:dyDescent="0.3">
      <c r="A733" s="244" t="s">
        <v>32</v>
      </c>
      <c r="B733" s="311">
        <f>SUM(B723:B731)</f>
        <v>88.287999999530015</v>
      </c>
      <c r="C733" s="311">
        <f t="shared" ref="C733:E733" si="319">SUM(C723:C731)</f>
        <v>27.754000000264121</v>
      </c>
      <c r="D733" s="311">
        <f t="shared" si="319"/>
        <v>34.977000000632003</v>
      </c>
      <c r="E733" s="311">
        <f t="shared" si="319"/>
        <v>151.01900000042616</v>
      </c>
      <c r="F733" s="311"/>
      <c r="G733" s="311">
        <f t="shared" ref="G733:J733" si="320">SUM(G723:G731)</f>
        <v>99.52199999995463</v>
      </c>
      <c r="H733" s="311">
        <f t="shared" si="320"/>
        <v>37.927000000159872</v>
      </c>
      <c r="I733" s="311">
        <f t="shared" si="320"/>
        <v>32.87500000059508</v>
      </c>
      <c r="J733" s="311">
        <f t="shared" si="320"/>
        <v>170.32400000070959</v>
      </c>
      <c r="K733" s="311"/>
      <c r="L733" s="311">
        <f t="shared" ref="L733:O733" si="321">SUM(L723:L731)</f>
        <v>102.37700000023973</v>
      </c>
      <c r="M733" s="311">
        <f t="shared" si="321"/>
        <v>39.947999999970321</v>
      </c>
      <c r="N733" s="311">
        <f t="shared" si="321"/>
        <v>34.156000001628463</v>
      </c>
      <c r="O733" s="311">
        <f t="shared" si="321"/>
        <v>176.48100000183848</v>
      </c>
    </row>
    <row r="734" spans="1:15" s="236" customFormat="1" x14ac:dyDescent="0.3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40"/>
    </row>
    <row r="735" spans="1:15" s="236" customFormat="1" x14ac:dyDescent="0.3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40"/>
      <c r="O735" s="251" t="s">
        <v>35</v>
      </c>
    </row>
    <row r="736" spans="1:15" s="236" customFormat="1" x14ac:dyDescent="0.3">
      <c r="A736" s="242"/>
      <c r="B736" s="242"/>
      <c r="C736" s="242"/>
      <c r="D736" s="242"/>
      <c r="E736" s="242"/>
      <c r="F736" s="242"/>
      <c r="G736" s="242"/>
      <c r="H736" s="242"/>
      <c r="I736" s="242"/>
      <c r="J736" s="242"/>
      <c r="K736" s="242"/>
      <c r="L736" s="242"/>
      <c r="M736" s="242"/>
      <c r="N736" s="242"/>
      <c r="O736" s="242"/>
    </row>
    <row r="737" spans="1:15" s="236" customFormat="1" x14ac:dyDescent="0.3">
      <c r="A737" s="241" t="str">
        <f>name!A46</f>
        <v>Broadcasting</v>
      </c>
      <c r="B737" s="375">
        <f>$B$6</f>
        <v>2015</v>
      </c>
      <c r="C737" s="375"/>
      <c r="D737" s="375"/>
      <c r="E737" s="375"/>
      <c r="F737" s="263"/>
      <c r="G737" s="375">
        <f>$G$6</f>
        <v>2020</v>
      </c>
      <c r="H737" s="375"/>
      <c r="I737" s="375"/>
      <c r="J737" s="375"/>
      <c r="K737" s="263"/>
      <c r="L737" s="375">
        <f>$L$6</f>
        <v>2035</v>
      </c>
      <c r="M737" s="375"/>
      <c r="N737" s="375"/>
      <c r="O737" s="375"/>
    </row>
    <row r="738" spans="1:15" s="236" customFormat="1" x14ac:dyDescent="0.3">
      <c r="A738" s="254"/>
      <c r="B738" s="268" t="str">
        <f>$B$7</f>
        <v>FT</v>
      </c>
      <c r="C738" s="268" t="str">
        <f>$C$7</f>
        <v>PT</v>
      </c>
      <c r="D738" s="268" t="str">
        <f>$D$7</f>
        <v>SE</v>
      </c>
      <c r="E738" s="268" t="str">
        <f>$E$7</f>
        <v>Total</v>
      </c>
      <c r="F738" s="268"/>
      <c r="G738" s="268" t="str">
        <f>$G$7</f>
        <v>FT</v>
      </c>
      <c r="H738" s="268" t="str">
        <f>$H$7</f>
        <v>PT</v>
      </c>
      <c r="I738" s="268" t="str">
        <f>$I$7</f>
        <v>SE</v>
      </c>
      <c r="J738" s="268" t="str">
        <f>$J$7</f>
        <v>Total</v>
      </c>
      <c r="K738" s="268"/>
      <c r="L738" s="268" t="str">
        <f>$L$7</f>
        <v>FT</v>
      </c>
      <c r="M738" s="268" t="str">
        <f>$M$7</f>
        <v>PT</v>
      </c>
      <c r="N738" s="268" t="str">
        <f>$N$7</f>
        <v>SE</v>
      </c>
      <c r="O738" s="268" t="str">
        <f>$O$7</f>
        <v>Total</v>
      </c>
    </row>
    <row r="739" spans="1:15" s="236" customFormat="1" x14ac:dyDescent="0.3">
      <c r="A739" s="258"/>
      <c r="B739" s="239"/>
      <c r="C739" s="239"/>
      <c r="D739" s="239"/>
      <c r="E739" s="239"/>
      <c r="F739" s="239"/>
      <c r="G739" s="239"/>
      <c r="H739" s="239"/>
      <c r="I739" s="239"/>
      <c r="J739" s="239"/>
      <c r="K739" s="239"/>
      <c r="L739" s="239"/>
      <c r="M739" s="239"/>
      <c r="N739" s="239"/>
      <c r="O739" s="239"/>
    </row>
    <row r="740" spans="1:15" s="236" customFormat="1" x14ac:dyDescent="0.3">
      <c r="A740" s="237" t="str">
        <f>name!E$4</f>
        <v>Managers, directors and senior officials</v>
      </c>
      <c r="B740" s="302">
        <v>4.580017934441619</v>
      </c>
      <c r="C740" s="302">
        <v>0.11587392856844243</v>
      </c>
      <c r="D740" s="302">
        <v>0.79046971842044966</v>
      </c>
      <c r="E740" s="302">
        <f>SUM(B740:D740)</f>
        <v>5.4863615814305113</v>
      </c>
      <c r="F740" s="303"/>
      <c r="G740" s="302">
        <v>4.8272627016233347</v>
      </c>
      <c r="H740" s="302">
        <v>0.27944494478277704</v>
      </c>
      <c r="I740" s="302">
        <v>1.2390232815800652</v>
      </c>
      <c r="J740" s="302">
        <f>SUM(G740:I740)</f>
        <v>6.3457309279861773</v>
      </c>
      <c r="K740" s="303"/>
      <c r="L740" s="302">
        <v>4.9841929408409138</v>
      </c>
      <c r="M740" s="302">
        <v>0.38045284183628258</v>
      </c>
      <c r="N740" s="302">
        <v>1.388300568447693</v>
      </c>
      <c r="O740" s="302">
        <f>SUM(L740:N740)</f>
        <v>6.7529463511248888</v>
      </c>
    </row>
    <row r="741" spans="1:15" s="236" customFormat="1" x14ac:dyDescent="0.3">
      <c r="A741" s="237" t="str">
        <f>name!E$5</f>
        <v>Professional occupations</v>
      </c>
      <c r="B741" s="302">
        <v>7.0630288620510511</v>
      </c>
      <c r="C741" s="302">
        <v>0.340401806299724</v>
      </c>
      <c r="D741" s="302">
        <v>2.2383362775342395</v>
      </c>
      <c r="E741" s="302">
        <f t="shared" ref="E741:E748" si="322">SUM(B741:D741)</f>
        <v>9.6417669458850135</v>
      </c>
      <c r="F741" s="303"/>
      <c r="G741" s="302">
        <v>8.4196908579007363</v>
      </c>
      <c r="H741" s="302">
        <v>0.81379106604328055</v>
      </c>
      <c r="I741" s="302">
        <v>2.8978303099286182</v>
      </c>
      <c r="J741" s="302">
        <f t="shared" ref="J741:J743" si="323">SUM(G741:I741)</f>
        <v>12.131312233872636</v>
      </c>
      <c r="K741" s="303"/>
      <c r="L741" s="302">
        <v>9.8322910696714025</v>
      </c>
      <c r="M741" s="302">
        <v>1.2276855968004026</v>
      </c>
      <c r="N741" s="302">
        <v>2.5172803278843676</v>
      </c>
      <c r="O741" s="302">
        <f t="shared" ref="O741:O748" si="324">SUM(L741:N741)</f>
        <v>13.577256994356173</v>
      </c>
    </row>
    <row r="742" spans="1:15" s="236" customFormat="1" x14ac:dyDescent="0.3">
      <c r="A742" s="237" t="str">
        <f>name!E$6</f>
        <v>Associate professional occupations</v>
      </c>
      <c r="B742" s="302">
        <v>7.0041005212588807</v>
      </c>
      <c r="C742" s="302">
        <v>0.62306397948952297</v>
      </c>
      <c r="D742" s="302">
        <v>5.7988510475905901</v>
      </c>
      <c r="E742" s="302">
        <f t="shared" si="322"/>
        <v>13.426015548338993</v>
      </c>
      <c r="F742" s="303"/>
      <c r="G742" s="302">
        <v>6.9927739835067859</v>
      </c>
      <c r="H742" s="302">
        <v>1.1409081851679541</v>
      </c>
      <c r="I742" s="302">
        <v>8.3785125136647132</v>
      </c>
      <c r="J742" s="302">
        <f t="shared" si="323"/>
        <v>16.512194682339455</v>
      </c>
      <c r="K742" s="303"/>
      <c r="L742" s="302">
        <v>6.6131009034722199</v>
      </c>
      <c r="M742" s="302">
        <v>1.2732501990835317</v>
      </c>
      <c r="N742" s="302">
        <v>8.2114390134521127</v>
      </c>
      <c r="O742" s="302">
        <f t="shared" si="324"/>
        <v>16.097790116007864</v>
      </c>
    </row>
    <row r="743" spans="1:15" s="236" customFormat="1" x14ac:dyDescent="0.3">
      <c r="A743" s="237" t="str">
        <f>name!E$7</f>
        <v>Administrative and secretarial occupations</v>
      </c>
      <c r="B743" s="302">
        <v>2.2933646535251135</v>
      </c>
      <c r="C743" s="302">
        <v>0.51070593339617276</v>
      </c>
      <c r="D743" s="302">
        <v>0.12248816760262968</v>
      </c>
      <c r="E743" s="302">
        <f t="shared" si="322"/>
        <v>2.9265587545239158</v>
      </c>
      <c r="F743" s="303"/>
      <c r="G743" s="302">
        <v>2.3397155476620828</v>
      </c>
      <c r="H743" s="302">
        <v>0.77781002300798785</v>
      </c>
      <c r="I743" s="302">
        <v>0.24854029811095785</v>
      </c>
      <c r="J743" s="302">
        <f t="shared" si="323"/>
        <v>3.3660658687810288</v>
      </c>
      <c r="K743" s="303"/>
      <c r="L743" s="302">
        <v>2.0466185701399473</v>
      </c>
      <c r="M743" s="302">
        <v>0.62608427633536645</v>
      </c>
      <c r="N743" s="302">
        <v>0.23191085801723255</v>
      </c>
      <c r="O743" s="302">
        <f t="shared" si="324"/>
        <v>2.9046137044925464</v>
      </c>
    </row>
    <row r="744" spans="1:15" s="236" customFormat="1" x14ac:dyDescent="0.3">
      <c r="A744" s="237" t="str">
        <f>name!E$8</f>
        <v>Skilled trades occupations</v>
      </c>
      <c r="B744" s="302">
        <v>2.9794330820043391</v>
      </c>
      <c r="C744" s="302">
        <v>0.13476711262158519</v>
      </c>
      <c r="D744" s="302">
        <v>0.77030504785100451</v>
      </c>
      <c r="E744" s="302">
        <f t="shared" si="322"/>
        <v>3.8845052424769286</v>
      </c>
      <c r="F744" s="303"/>
      <c r="G744" s="302">
        <v>2.5999080085884665</v>
      </c>
      <c r="H744" s="302">
        <v>0.1844234413921145</v>
      </c>
      <c r="I744" s="302">
        <v>1.1591266436437915</v>
      </c>
      <c r="J744" s="302">
        <f>SUM(G744:I744)</f>
        <v>3.9434580936243728</v>
      </c>
      <c r="K744" s="303"/>
      <c r="L744" s="302">
        <v>2.1938249424918235</v>
      </c>
      <c r="M744" s="302">
        <v>0.23551349832982557</v>
      </c>
      <c r="N744" s="302">
        <v>1.254197971402218</v>
      </c>
      <c r="O744" s="302">
        <f t="shared" si="324"/>
        <v>3.6835364122238667</v>
      </c>
    </row>
    <row r="745" spans="1:15" s="236" customFormat="1" x14ac:dyDescent="0.3">
      <c r="A745" s="237" t="str">
        <f>name!E$9</f>
        <v>Caring, leisure and other service occupations</v>
      </c>
      <c r="B745" s="302">
        <v>1.2506337738622262</v>
      </c>
      <c r="C745" s="302">
        <v>0.33885380679319849</v>
      </c>
      <c r="D745" s="302">
        <v>0.13502236721950187</v>
      </c>
      <c r="E745" s="302">
        <f t="shared" si="322"/>
        <v>1.7245099478749266</v>
      </c>
      <c r="F745" s="303"/>
      <c r="G745" s="302">
        <v>1.205911458980748</v>
      </c>
      <c r="H745" s="302">
        <v>0.51134515343970988</v>
      </c>
      <c r="I745" s="302">
        <v>0.30307790663173345</v>
      </c>
      <c r="J745" s="302">
        <f t="shared" ref="J745:J748" si="325">SUM(G745:I745)</f>
        <v>2.0203345190521911</v>
      </c>
      <c r="K745" s="303"/>
      <c r="L745" s="302">
        <v>1.4143964683494965</v>
      </c>
      <c r="M745" s="302">
        <v>0.52575568160079422</v>
      </c>
      <c r="N745" s="302">
        <v>0.32891914153184237</v>
      </c>
      <c r="O745" s="302">
        <f t="shared" si="324"/>
        <v>2.2690712914821329</v>
      </c>
    </row>
    <row r="746" spans="1:15" s="236" customFormat="1" x14ac:dyDescent="0.3">
      <c r="A746" s="237" t="str">
        <f>name!E$10</f>
        <v>Sales and customer service occupations</v>
      </c>
      <c r="B746" s="302">
        <v>1.5813442439357857</v>
      </c>
      <c r="C746" s="302">
        <v>0.30545755515788348</v>
      </c>
      <c r="D746" s="302">
        <v>0.18965739117559602</v>
      </c>
      <c r="E746" s="302">
        <f t="shared" si="322"/>
        <v>2.0764591902692651</v>
      </c>
      <c r="F746" s="303"/>
      <c r="G746" s="302">
        <v>1.5504989344053901</v>
      </c>
      <c r="H746" s="302">
        <v>0.47498753518533193</v>
      </c>
      <c r="I746" s="302">
        <v>0.20893078499619258</v>
      </c>
      <c r="J746" s="302">
        <f t="shared" si="325"/>
        <v>2.2344172545869148</v>
      </c>
      <c r="K746" s="303"/>
      <c r="L746" s="302">
        <v>1.8365060771553239</v>
      </c>
      <c r="M746" s="302">
        <v>0.54360276807051799</v>
      </c>
      <c r="N746" s="302">
        <v>0.20032452105555351</v>
      </c>
      <c r="O746" s="302">
        <f t="shared" si="324"/>
        <v>2.5804333662813956</v>
      </c>
    </row>
    <row r="747" spans="1:15" s="236" customFormat="1" x14ac:dyDescent="0.3">
      <c r="A747" s="237" t="str">
        <f>name!E$11</f>
        <v>Process, plant and machine operatives</v>
      </c>
      <c r="B747" s="302">
        <v>0.20852536224576285</v>
      </c>
      <c r="C747" s="302">
        <v>3.517619150983238E-2</v>
      </c>
      <c r="D747" s="302">
        <v>4.727531926158899E-2</v>
      </c>
      <c r="E747" s="302">
        <f t="shared" si="322"/>
        <v>0.29097687301718422</v>
      </c>
      <c r="F747" s="303"/>
      <c r="G747" s="302">
        <v>0.20446662511097544</v>
      </c>
      <c r="H747" s="302">
        <v>6.0444733633674912E-2</v>
      </c>
      <c r="I747" s="302">
        <v>6.519987270114827E-2</v>
      </c>
      <c r="J747" s="302">
        <f t="shared" si="325"/>
        <v>0.33011123144579857</v>
      </c>
      <c r="K747" s="303"/>
      <c r="L747" s="302">
        <v>0.18335992543896953</v>
      </c>
      <c r="M747" s="302">
        <v>7.8691749916791481E-2</v>
      </c>
      <c r="N747" s="302">
        <v>8.0618570993042135E-2</v>
      </c>
      <c r="O747" s="302">
        <f t="shared" si="324"/>
        <v>0.34267024634880316</v>
      </c>
    </row>
    <row r="748" spans="1:15" s="236" customFormat="1" x14ac:dyDescent="0.3">
      <c r="A748" s="237" t="str">
        <f>name!E$12</f>
        <v>Elementary occupations</v>
      </c>
      <c r="B748" s="302">
        <v>0.63355156643286803</v>
      </c>
      <c r="C748" s="302">
        <v>0.59769968617772262</v>
      </c>
      <c r="D748" s="302">
        <v>0.12659466352310536</v>
      </c>
      <c r="E748" s="302">
        <f t="shared" si="322"/>
        <v>1.357845916133696</v>
      </c>
      <c r="F748" s="303"/>
      <c r="G748" s="302">
        <v>0.61577188221662915</v>
      </c>
      <c r="H748" s="302">
        <v>0.79784491734569285</v>
      </c>
      <c r="I748" s="302">
        <v>0.15275838895403138</v>
      </c>
      <c r="J748" s="302">
        <f t="shared" si="325"/>
        <v>1.5663751885163533</v>
      </c>
      <c r="K748" s="303"/>
      <c r="L748" s="302">
        <v>0.43770910252059958</v>
      </c>
      <c r="M748" s="302">
        <v>0.67296338802530353</v>
      </c>
      <c r="N748" s="302">
        <v>0.16800902781267726</v>
      </c>
      <c r="O748" s="302">
        <f t="shared" si="324"/>
        <v>1.2786815183585805</v>
      </c>
    </row>
    <row r="749" spans="1:15" s="236" customFormat="1" x14ac:dyDescent="0.3">
      <c r="A749" s="237"/>
      <c r="B749" s="302"/>
      <c r="C749" s="302"/>
      <c r="D749" s="302"/>
      <c r="E749" s="302"/>
      <c r="F749" s="303"/>
      <c r="G749" s="302"/>
      <c r="H749" s="302"/>
      <c r="I749" s="302"/>
      <c r="J749" s="302"/>
      <c r="K749" s="303"/>
      <c r="L749" s="302"/>
      <c r="M749" s="302"/>
      <c r="N749" s="302"/>
      <c r="O749" s="302"/>
    </row>
    <row r="750" spans="1:15" s="236" customFormat="1" x14ac:dyDescent="0.3">
      <c r="A750" s="244" t="s">
        <v>32</v>
      </c>
      <c r="B750" s="311">
        <f>SUM(B740:B748)</f>
        <v>27.593999999757642</v>
      </c>
      <c r="C750" s="311">
        <f t="shared" ref="C750:E750" si="326">SUM(C740:C748)</f>
        <v>3.0020000000140841</v>
      </c>
      <c r="D750" s="311">
        <f t="shared" si="326"/>
        <v>10.219000000178704</v>
      </c>
      <c r="E750" s="311">
        <f t="shared" si="326"/>
        <v>40.814999999950444</v>
      </c>
      <c r="F750" s="311"/>
      <c r="G750" s="311">
        <f t="shared" ref="G750:J750" si="327">SUM(G740:G748)</f>
        <v>28.755999999995147</v>
      </c>
      <c r="H750" s="311">
        <f t="shared" si="327"/>
        <v>5.0409999999985242</v>
      </c>
      <c r="I750" s="311">
        <f t="shared" si="327"/>
        <v>14.653000000211252</v>
      </c>
      <c r="J750" s="311">
        <f t="shared" si="327"/>
        <v>48.45000000020493</v>
      </c>
      <c r="K750" s="311"/>
      <c r="L750" s="311">
        <f t="shared" ref="L750:O750" si="328">SUM(L740:L748)</f>
        <v>29.542000000080698</v>
      </c>
      <c r="M750" s="311">
        <f t="shared" si="328"/>
        <v>5.563999999998817</v>
      </c>
      <c r="N750" s="311">
        <f t="shared" si="328"/>
        <v>14.381000000596741</v>
      </c>
      <c r="O750" s="311">
        <f t="shared" si="328"/>
        <v>49.487000000676254</v>
      </c>
    </row>
    <row r="751" spans="1:15" s="236" customFormat="1" x14ac:dyDescent="0.3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40"/>
    </row>
    <row r="752" spans="1:15" s="236" customFormat="1" x14ac:dyDescent="0.3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40"/>
      <c r="O752" s="251" t="s">
        <v>35</v>
      </c>
    </row>
    <row r="753" spans="1:15" s="236" customFormat="1" x14ac:dyDescent="0.3">
      <c r="A753" s="242"/>
      <c r="B753" s="242"/>
      <c r="C753" s="242"/>
      <c r="D753" s="242"/>
      <c r="E753" s="242"/>
      <c r="F753" s="242"/>
      <c r="G753" s="242"/>
      <c r="H753" s="242"/>
      <c r="I753" s="242"/>
      <c r="J753" s="242"/>
      <c r="K753" s="242"/>
      <c r="L753" s="242"/>
      <c r="M753" s="242"/>
      <c r="N753" s="242"/>
      <c r="O753" s="242"/>
    </row>
    <row r="754" spans="1:15" s="236" customFormat="1" x14ac:dyDescent="0.3">
      <c r="A754" s="241" t="str">
        <f>name!A47</f>
        <v>Telecommunications</v>
      </c>
      <c r="B754" s="375">
        <f>$B$6</f>
        <v>2015</v>
      </c>
      <c r="C754" s="375"/>
      <c r="D754" s="375"/>
      <c r="E754" s="375"/>
      <c r="F754" s="263"/>
      <c r="G754" s="375">
        <f>$G$6</f>
        <v>2020</v>
      </c>
      <c r="H754" s="375"/>
      <c r="I754" s="375"/>
      <c r="J754" s="375"/>
      <c r="K754" s="263"/>
      <c r="L754" s="375">
        <f>$L$6</f>
        <v>2035</v>
      </c>
      <c r="M754" s="375"/>
      <c r="N754" s="375"/>
      <c r="O754" s="375"/>
    </row>
    <row r="755" spans="1:15" s="236" customFormat="1" x14ac:dyDescent="0.3">
      <c r="A755" s="254"/>
      <c r="B755" s="268" t="str">
        <f>$B$7</f>
        <v>FT</v>
      </c>
      <c r="C755" s="268" t="str">
        <f>$C$7</f>
        <v>PT</v>
      </c>
      <c r="D755" s="268" t="str">
        <f>$D$7</f>
        <v>SE</v>
      </c>
      <c r="E755" s="268" t="str">
        <f>$E$7</f>
        <v>Total</v>
      </c>
      <c r="F755" s="268"/>
      <c r="G755" s="268" t="str">
        <f>$G$7</f>
        <v>FT</v>
      </c>
      <c r="H755" s="268" t="str">
        <f>$H$7</f>
        <v>PT</v>
      </c>
      <c r="I755" s="268" t="str">
        <f>$I$7</f>
        <v>SE</v>
      </c>
      <c r="J755" s="268" t="str">
        <f>$J$7</f>
        <v>Total</v>
      </c>
      <c r="K755" s="268"/>
      <c r="L755" s="268" t="str">
        <f>$L$7</f>
        <v>FT</v>
      </c>
      <c r="M755" s="268" t="str">
        <f>$M$7</f>
        <v>PT</v>
      </c>
      <c r="N755" s="268" t="str">
        <f>$N$7</f>
        <v>SE</v>
      </c>
      <c r="O755" s="268" t="str">
        <f>$O$7</f>
        <v>Total</v>
      </c>
    </row>
    <row r="756" spans="1:15" s="236" customFormat="1" x14ac:dyDescent="0.3">
      <c r="A756" s="258"/>
      <c r="B756" s="239"/>
      <c r="C756" s="239"/>
      <c r="D756" s="239"/>
      <c r="E756" s="239"/>
      <c r="F756" s="239"/>
      <c r="G756" s="239"/>
      <c r="H756" s="239"/>
      <c r="I756" s="239"/>
      <c r="J756" s="239"/>
      <c r="K756" s="239"/>
      <c r="L756" s="239"/>
      <c r="M756" s="239"/>
      <c r="N756" s="239"/>
      <c r="O756" s="239"/>
    </row>
    <row r="757" spans="1:15" s="236" customFormat="1" x14ac:dyDescent="0.3">
      <c r="A757" s="237" t="str">
        <f>name!E$4</f>
        <v>Managers, directors and senior officials</v>
      </c>
      <c r="B757" s="302">
        <v>35.854052431550983</v>
      </c>
      <c r="C757" s="302">
        <v>1.4471946218476592</v>
      </c>
      <c r="D757" s="302">
        <v>3.7436183387594411</v>
      </c>
      <c r="E757" s="302">
        <f>SUM(B757:D757)</f>
        <v>41.04486539215808</v>
      </c>
      <c r="F757" s="303"/>
      <c r="G757" s="302">
        <v>36.062204075857295</v>
      </c>
      <c r="H757" s="302">
        <v>1.4329723465258217</v>
      </c>
      <c r="I757" s="302">
        <v>3.1295886548695826</v>
      </c>
      <c r="J757" s="302">
        <f>SUM(G757:I757)</f>
        <v>40.624765077252704</v>
      </c>
      <c r="K757" s="303"/>
      <c r="L757" s="302">
        <v>40.007178046503597</v>
      </c>
      <c r="M757" s="302">
        <v>1.5513273833316685</v>
      </c>
      <c r="N757" s="302">
        <v>4.0622561449391714</v>
      </c>
      <c r="O757" s="302">
        <f>SUM(L757:N757)</f>
        <v>45.620761574774434</v>
      </c>
    </row>
    <row r="758" spans="1:15" s="236" customFormat="1" x14ac:dyDescent="0.3">
      <c r="A758" s="237" t="str">
        <f>name!E$5</f>
        <v>Professional occupations</v>
      </c>
      <c r="B758" s="302">
        <v>57.475013337210122</v>
      </c>
      <c r="C758" s="302">
        <v>0.92264019780676321</v>
      </c>
      <c r="D758" s="302">
        <v>7.798380120481184</v>
      </c>
      <c r="E758" s="302">
        <f t="shared" ref="E758:E765" si="329">SUM(B758:D758)</f>
        <v>66.19603365549807</v>
      </c>
      <c r="F758" s="303"/>
      <c r="G758" s="302">
        <v>64.323804787795524</v>
      </c>
      <c r="H758" s="302">
        <v>0.85604290622886203</v>
      </c>
      <c r="I758" s="302">
        <v>6.1327950444402468</v>
      </c>
      <c r="J758" s="302">
        <f t="shared" ref="J758:J760" si="330">SUM(G758:I758)</f>
        <v>71.312642738464632</v>
      </c>
      <c r="K758" s="303"/>
      <c r="L758" s="302">
        <v>81.715096957306287</v>
      </c>
      <c r="M758" s="302">
        <v>1.0761936267152308</v>
      </c>
      <c r="N758" s="302">
        <v>5.5889291995973949</v>
      </c>
      <c r="O758" s="302">
        <f t="shared" ref="O758:O765" si="331">SUM(L758:N758)</f>
        <v>88.380219783618912</v>
      </c>
    </row>
    <row r="759" spans="1:15" s="236" customFormat="1" x14ac:dyDescent="0.3">
      <c r="A759" s="237" t="str">
        <f>name!E$6</f>
        <v>Associate professional occupations</v>
      </c>
      <c r="B759" s="302">
        <v>26.657535450875745</v>
      </c>
      <c r="C759" s="302">
        <v>1.5400926939011099</v>
      </c>
      <c r="D759" s="302">
        <v>2.5518144032194461</v>
      </c>
      <c r="E759" s="302">
        <f t="shared" si="329"/>
        <v>30.749442547996299</v>
      </c>
      <c r="F759" s="303"/>
      <c r="G759" s="302">
        <v>27.865400927573909</v>
      </c>
      <c r="H759" s="302">
        <v>1.249758157400682</v>
      </c>
      <c r="I759" s="302">
        <v>1.66548519722245</v>
      </c>
      <c r="J759" s="302">
        <f t="shared" si="330"/>
        <v>30.780644282197038</v>
      </c>
      <c r="K759" s="303"/>
      <c r="L759" s="302">
        <v>30.298148003554523</v>
      </c>
      <c r="M759" s="302">
        <v>1.2169610812674423</v>
      </c>
      <c r="N759" s="302">
        <v>2.047566864224013</v>
      </c>
      <c r="O759" s="302">
        <f t="shared" si="331"/>
        <v>33.562675949045982</v>
      </c>
    </row>
    <row r="760" spans="1:15" s="236" customFormat="1" x14ac:dyDescent="0.3">
      <c r="A760" s="237" t="str">
        <f>name!E$7</f>
        <v>Administrative and secretarial occupations</v>
      </c>
      <c r="B760" s="302">
        <v>11.71371413624493</v>
      </c>
      <c r="C760" s="302">
        <v>2.3503799840911235</v>
      </c>
      <c r="D760" s="302">
        <v>1.2578412710044322</v>
      </c>
      <c r="E760" s="302">
        <f t="shared" si="329"/>
        <v>15.321935391340485</v>
      </c>
      <c r="F760" s="303"/>
      <c r="G760" s="302">
        <v>11.39161038024128</v>
      </c>
      <c r="H760" s="302">
        <v>1.7451932735960056</v>
      </c>
      <c r="I760" s="302">
        <v>0.40548188427379933</v>
      </c>
      <c r="J760" s="302">
        <f t="shared" si="330"/>
        <v>13.542285538111084</v>
      </c>
      <c r="K760" s="303"/>
      <c r="L760" s="302">
        <v>12.075791839006293</v>
      </c>
      <c r="M760" s="302">
        <v>1.5293225939196888</v>
      </c>
      <c r="N760" s="302">
        <v>0.46671137350736758</v>
      </c>
      <c r="O760" s="302">
        <f t="shared" si="331"/>
        <v>14.071825806433349</v>
      </c>
    </row>
    <row r="761" spans="1:15" s="236" customFormat="1" x14ac:dyDescent="0.3">
      <c r="A761" s="237" t="str">
        <f>name!E$8</f>
        <v>Skilled trades occupations</v>
      </c>
      <c r="B761" s="302">
        <v>25.96189242246675</v>
      </c>
      <c r="C761" s="302">
        <v>0.73448005449893583</v>
      </c>
      <c r="D761" s="302">
        <v>2.6689365899204778</v>
      </c>
      <c r="E761" s="302">
        <f t="shared" si="329"/>
        <v>29.365309066886162</v>
      </c>
      <c r="F761" s="303"/>
      <c r="G761" s="302">
        <v>19.179265090234491</v>
      </c>
      <c r="H761" s="302">
        <v>0.36288563694511278</v>
      </c>
      <c r="I761" s="302">
        <v>1.6576410516597027</v>
      </c>
      <c r="J761" s="302">
        <f>SUM(G761:I761)</f>
        <v>21.199791778839305</v>
      </c>
      <c r="K761" s="303"/>
      <c r="L761" s="302">
        <v>13.981111596001545</v>
      </c>
      <c r="M761" s="302">
        <v>0.32102149821610582</v>
      </c>
      <c r="N761" s="302">
        <v>2.4389665460356693</v>
      </c>
      <c r="O761" s="302">
        <f t="shared" si="331"/>
        <v>16.741099640253321</v>
      </c>
    </row>
    <row r="762" spans="1:15" s="236" customFormat="1" x14ac:dyDescent="0.3">
      <c r="A762" s="237" t="str">
        <f>name!E$9</f>
        <v>Caring, leisure and other service occupations</v>
      </c>
      <c r="B762" s="302">
        <v>5.0740574557560638</v>
      </c>
      <c r="C762" s="302">
        <v>0.64971198845863531</v>
      </c>
      <c r="D762" s="302">
        <v>0.61332541148731989</v>
      </c>
      <c r="E762" s="302">
        <f t="shared" si="329"/>
        <v>6.3370948557020199</v>
      </c>
      <c r="F762" s="303"/>
      <c r="G762" s="302">
        <v>4.5634266077035415</v>
      </c>
      <c r="H762" s="302">
        <v>0.39593170182627152</v>
      </c>
      <c r="I762" s="302">
        <v>0.22944980299946341</v>
      </c>
      <c r="J762" s="302">
        <f t="shared" ref="J762:J765" si="332">SUM(G762:I762)</f>
        <v>5.1888081125292764</v>
      </c>
      <c r="K762" s="303"/>
      <c r="L762" s="302">
        <v>6.763809431790194</v>
      </c>
      <c r="M762" s="302">
        <v>0.38053111947056084</v>
      </c>
      <c r="N762" s="302">
        <v>0.4621850467462823</v>
      </c>
      <c r="O762" s="302">
        <f t="shared" si="331"/>
        <v>7.6065255980070372</v>
      </c>
    </row>
    <row r="763" spans="1:15" s="236" customFormat="1" x14ac:dyDescent="0.3">
      <c r="A763" s="237" t="str">
        <f>name!E$10</f>
        <v>Sales and customer service occupations</v>
      </c>
      <c r="B763" s="302">
        <v>17.182967467527028</v>
      </c>
      <c r="C763" s="302">
        <v>9.0841800445478729</v>
      </c>
      <c r="D763" s="302">
        <v>1.3288055277568958</v>
      </c>
      <c r="E763" s="302">
        <f t="shared" si="329"/>
        <v>27.595953039831794</v>
      </c>
      <c r="F763" s="303"/>
      <c r="G763" s="302">
        <v>15.226262601186566</v>
      </c>
      <c r="H763" s="302">
        <v>6.6061741097881042</v>
      </c>
      <c r="I763" s="302">
        <v>0.62746656614801777</v>
      </c>
      <c r="J763" s="302">
        <f t="shared" si="332"/>
        <v>22.459903277122688</v>
      </c>
      <c r="K763" s="303"/>
      <c r="L763" s="302">
        <v>21.11273386444951</v>
      </c>
      <c r="M763" s="302">
        <v>8.3761126918078155</v>
      </c>
      <c r="N763" s="302">
        <v>0.71663587900293702</v>
      </c>
      <c r="O763" s="302">
        <f t="shared" si="331"/>
        <v>30.205482435260262</v>
      </c>
    </row>
    <row r="764" spans="1:15" s="236" customFormat="1" x14ac:dyDescent="0.3">
      <c r="A764" s="237" t="str">
        <f>name!E$11</f>
        <v>Process, plant and machine operatives</v>
      </c>
      <c r="B764" s="302">
        <v>1.679789276726251</v>
      </c>
      <c r="C764" s="302">
        <v>0.55339947691458835</v>
      </c>
      <c r="D764" s="302">
        <v>0.65072592317410372</v>
      </c>
      <c r="E764" s="302">
        <f t="shared" si="329"/>
        <v>2.8839146768149431</v>
      </c>
      <c r="F764" s="303"/>
      <c r="G764" s="302">
        <v>1.1949656098282353</v>
      </c>
      <c r="H764" s="302">
        <v>0.30701245236357183</v>
      </c>
      <c r="I764" s="302">
        <v>0.42117458797127472</v>
      </c>
      <c r="J764" s="302">
        <f t="shared" si="332"/>
        <v>1.9231526501630818</v>
      </c>
      <c r="K764" s="303"/>
      <c r="L764" s="302">
        <v>1.3132826164819447</v>
      </c>
      <c r="M764" s="302">
        <v>0.44479289830058588</v>
      </c>
      <c r="N764" s="302">
        <v>0.81744997810575382</v>
      </c>
      <c r="O764" s="302">
        <f t="shared" si="331"/>
        <v>2.5755254928882847</v>
      </c>
    </row>
    <row r="765" spans="1:15" s="236" customFormat="1" x14ac:dyDescent="0.3">
      <c r="A765" s="237" t="str">
        <f>name!E$12</f>
        <v>Elementary occupations</v>
      </c>
      <c r="B765" s="302">
        <v>1.4899780191761178</v>
      </c>
      <c r="C765" s="302">
        <v>0.69492093812093825</v>
      </c>
      <c r="D765" s="302">
        <v>1.9485524143084003</v>
      </c>
      <c r="E765" s="302">
        <f t="shared" si="329"/>
        <v>4.1334513716054566</v>
      </c>
      <c r="F765" s="303"/>
      <c r="G765" s="302">
        <v>1.0620599183018693</v>
      </c>
      <c r="H765" s="302">
        <v>0.39002941540652369</v>
      </c>
      <c r="I765" s="302">
        <v>1.1629172105953443</v>
      </c>
      <c r="J765" s="302">
        <f t="shared" si="332"/>
        <v>2.6150065443037374</v>
      </c>
      <c r="K765" s="303"/>
      <c r="L765" s="302">
        <v>0.89784764378034421</v>
      </c>
      <c r="M765" s="302">
        <v>0.29773710707909629</v>
      </c>
      <c r="N765" s="302">
        <v>1.7352989680582132</v>
      </c>
      <c r="O765" s="302">
        <f t="shared" si="331"/>
        <v>2.930883718917654</v>
      </c>
    </row>
    <row r="766" spans="1:15" s="236" customFormat="1" x14ac:dyDescent="0.3">
      <c r="A766" s="237"/>
      <c r="B766" s="302"/>
      <c r="C766" s="302"/>
      <c r="D766" s="302"/>
      <c r="E766" s="302"/>
      <c r="F766" s="303"/>
      <c r="G766" s="302"/>
      <c r="H766" s="302"/>
      <c r="I766" s="302"/>
      <c r="J766" s="302"/>
      <c r="K766" s="303"/>
      <c r="L766" s="302"/>
      <c r="M766" s="302"/>
      <c r="N766" s="302"/>
      <c r="O766" s="302"/>
    </row>
    <row r="767" spans="1:15" s="236" customFormat="1" x14ac:dyDescent="0.3">
      <c r="A767" s="244" t="s">
        <v>32</v>
      </c>
      <c r="B767" s="311">
        <f>SUM(B757:B765)</f>
        <v>183.08899999753396</v>
      </c>
      <c r="C767" s="311">
        <f t="shared" ref="C767:E767" si="333">SUM(C757:C765)</f>
        <v>17.977000000187626</v>
      </c>
      <c r="D767" s="311">
        <f t="shared" si="333"/>
        <v>22.562000000111702</v>
      </c>
      <c r="E767" s="311">
        <f t="shared" si="333"/>
        <v>223.62799999783329</v>
      </c>
      <c r="F767" s="311"/>
      <c r="G767" s="311">
        <f t="shared" ref="G767:J767" si="334">SUM(G757:G765)</f>
        <v>180.8689999987227</v>
      </c>
      <c r="H767" s="311">
        <f t="shared" si="334"/>
        <v>13.346000000080956</v>
      </c>
      <c r="I767" s="311">
        <f t="shared" si="334"/>
        <v>15.43200000017988</v>
      </c>
      <c r="J767" s="311">
        <f t="shared" si="334"/>
        <v>209.64699999898355</v>
      </c>
      <c r="K767" s="311"/>
      <c r="L767" s="311">
        <f t="shared" ref="L767:O767" si="335">SUM(L757:L765)</f>
        <v>208.16499999887426</v>
      </c>
      <c r="M767" s="311">
        <f t="shared" si="335"/>
        <v>15.194000000108193</v>
      </c>
      <c r="N767" s="311">
        <f t="shared" si="335"/>
        <v>18.336000000216803</v>
      </c>
      <c r="O767" s="311">
        <f t="shared" si="335"/>
        <v>241.69499999919918</v>
      </c>
    </row>
    <row r="768" spans="1:15" s="236" customFormat="1" x14ac:dyDescent="0.3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40"/>
    </row>
    <row r="769" spans="1:15" s="236" customFormat="1" x14ac:dyDescent="0.3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40"/>
      <c r="O769" s="251" t="s">
        <v>35</v>
      </c>
    </row>
    <row r="770" spans="1:15" s="236" customFormat="1" x14ac:dyDescent="0.3">
      <c r="A770" s="242"/>
      <c r="B770" s="242"/>
      <c r="C770" s="242"/>
      <c r="D770" s="242"/>
      <c r="E770" s="242"/>
      <c r="F770" s="242"/>
      <c r="G770" s="242"/>
      <c r="H770" s="242"/>
      <c r="I770" s="242"/>
      <c r="J770" s="242"/>
      <c r="K770" s="242"/>
      <c r="L770" s="242"/>
      <c r="M770" s="242"/>
      <c r="N770" s="242"/>
      <c r="O770" s="242"/>
    </row>
    <row r="771" spans="1:15" s="236" customFormat="1" x14ac:dyDescent="0.3">
      <c r="A771" s="241" t="str">
        <f>name!A48</f>
        <v>Computing services</v>
      </c>
      <c r="B771" s="375">
        <f>$B$6</f>
        <v>2015</v>
      </c>
      <c r="C771" s="375"/>
      <c r="D771" s="375"/>
      <c r="E771" s="375"/>
      <c r="F771" s="263"/>
      <c r="G771" s="375">
        <f>$G$6</f>
        <v>2020</v>
      </c>
      <c r="H771" s="375"/>
      <c r="I771" s="375"/>
      <c r="J771" s="375"/>
      <c r="K771" s="263"/>
      <c r="L771" s="375">
        <f>$L$6</f>
        <v>2035</v>
      </c>
      <c r="M771" s="375"/>
      <c r="N771" s="375"/>
      <c r="O771" s="375"/>
    </row>
    <row r="772" spans="1:15" s="236" customFormat="1" x14ac:dyDescent="0.3">
      <c r="A772" s="254"/>
      <c r="B772" s="268" t="str">
        <f>$B$7</f>
        <v>FT</v>
      </c>
      <c r="C772" s="268" t="str">
        <f>$C$7</f>
        <v>PT</v>
      </c>
      <c r="D772" s="268" t="str">
        <f>$D$7</f>
        <v>SE</v>
      </c>
      <c r="E772" s="268" t="str">
        <f>$E$7</f>
        <v>Total</v>
      </c>
      <c r="F772" s="268"/>
      <c r="G772" s="268" t="str">
        <f>$G$7</f>
        <v>FT</v>
      </c>
      <c r="H772" s="268" t="str">
        <f>$H$7</f>
        <v>PT</v>
      </c>
      <c r="I772" s="268" t="str">
        <f>$I$7</f>
        <v>SE</v>
      </c>
      <c r="J772" s="268" t="str">
        <f>$J$7</f>
        <v>Total</v>
      </c>
      <c r="K772" s="268"/>
      <c r="L772" s="268" t="str">
        <f>$L$7</f>
        <v>FT</v>
      </c>
      <c r="M772" s="268" t="str">
        <f>$M$7</f>
        <v>PT</v>
      </c>
      <c r="N772" s="268" t="str">
        <f>$N$7</f>
        <v>SE</v>
      </c>
      <c r="O772" s="268" t="str">
        <f>$O$7</f>
        <v>Total</v>
      </c>
    </row>
    <row r="773" spans="1:15" s="236" customFormat="1" x14ac:dyDescent="0.3">
      <c r="A773" s="258"/>
      <c r="B773" s="239"/>
      <c r="C773" s="239"/>
      <c r="D773" s="239"/>
      <c r="E773" s="239"/>
      <c r="F773" s="239"/>
      <c r="G773" s="239"/>
      <c r="H773" s="239"/>
      <c r="I773" s="239"/>
      <c r="J773" s="239"/>
      <c r="K773" s="239"/>
      <c r="L773" s="239"/>
      <c r="M773" s="239"/>
      <c r="N773" s="239"/>
      <c r="O773" s="239"/>
    </row>
    <row r="774" spans="1:15" s="236" customFormat="1" x14ac:dyDescent="0.3">
      <c r="A774" s="237" t="str">
        <f>name!E$4</f>
        <v>Managers, directors and senior officials</v>
      </c>
      <c r="B774" s="302">
        <v>88.062151662024235</v>
      </c>
      <c r="C774" s="302">
        <v>10.152300859182128</v>
      </c>
      <c r="D774" s="302">
        <v>10.68923838599202</v>
      </c>
      <c r="E774" s="302">
        <f>SUM(B774:D774)</f>
        <v>108.90369090719838</v>
      </c>
      <c r="F774" s="303"/>
      <c r="G774" s="302">
        <v>98.839610979640099</v>
      </c>
      <c r="H774" s="302">
        <v>15.991616129499267</v>
      </c>
      <c r="I774" s="302">
        <v>12.730744212735166</v>
      </c>
      <c r="J774" s="302">
        <f>SUM(G774:I774)</f>
        <v>127.56197132187452</v>
      </c>
      <c r="K774" s="303"/>
      <c r="L774" s="302">
        <v>110.80030217045301</v>
      </c>
      <c r="M774" s="302">
        <v>19.452739828401363</v>
      </c>
      <c r="N774" s="302">
        <v>14.982413946214951</v>
      </c>
      <c r="O774" s="302">
        <f>SUM(L774:N774)</f>
        <v>145.23545594506933</v>
      </c>
    </row>
    <row r="775" spans="1:15" s="236" customFormat="1" x14ac:dyDescent="0.3">
      <c r="A775" s="237" t="str">
        <f>name!E$5</f>
        <v>Professional occupations</v>
      </c>
      <c r="B775" s="302">
        <v>286.40122660338676</v>
      </c>
      <c r="C775" s="302">
        <v>16.176049857086678</v>
      </c>
      <c r="D775" s="302">
        <v>27.808065281753848</v>
      </c>
      <c r="E775" s="302">
        <f t="shared" ref="E775:E782" si="336">SUM(B775:D775)</f>
        <v>330.3853417422273</v>
      </c>
      <c r="F775" s="303"/>
      <c r="G775" s="302">
        <v>350.707685461702</v>
      </c>
      <c r="H775" s="302">
        <v>22.421877802472142</v>
      </c>
      <c r="I775" s="302">
        <v>28.956483645660299</v>
      </c>
      <c r="J775" s="302">
        <f t="shared" ref="J775:J777" si="337">SUM(G775:I775)</f>
        <v>402.08604690983441</v>
      </c>
      <c r="K775" s="303"/>
      <c r="L775" s="302">
        <v>433.65274318981642</v>
      </c>
      <c r="M775" s="302">
        <v>29.477953232426852</v>
      </c>
      <c r="N775" s="302">
        <v>28.09563230675268</v>
      </c>
      <c r="O775" s="302">
        <f t="shared" ref="O775:O782" si="338">SUM(L775:N775)</f>
        <v>491.22632872899595</v>
      </c>
    </row>
    <row r="776" spans="1:15" s="236" customFormat="1" x14ac:dyDescent="0.3">
      <c r="A776" s="237" t="str">
        <f>name!E$6</f>
        <v>Associate professional occupations</v>
      </c>
      <c r="B776" s="302">
        <v>105.2229539439622</v>
      </c>
      <c r="C776" s="302">
        <v>11.502982870475753</v>
      </c>
      <c r="D776" s="302">
        <v>14.354946236817868</v>
      </c>
      <c r="E776" s="302">
        <f t="shared" si="336"/>
        <v>131.08088305125582</v>
      </c>
      <c r="F776" s="303"/>
      <c r="G776" s="302">
        <v>122.59606278522307</v>
      </c>
      <c r="H776" s="302">
        <v>14.027347985805177</v>
      </c>
      <c r="I776" s="302">
        <v>15.937727284748071</v>
      </c>
      <c r="J776" s="302">
        <f t="shared" si="337"/>
        <v>152.5611380557763</v>
      </c>
      <c r="K776" s="303"/>
      <c r="L776" s="302">
        <v>135.02245786582813</v>
      </c>
      <c r="M776" s="302">
        <v>14.153412772353088</v>
      </c>
      <c r="N776" s="302">
        <v>20.194708549593894</v>
      </c>
      <c r="O776" s="302">
        <f t="shared" si="338"/>
        <v>169.37057918777509</v>
      </c>
    </row>
    <row r="777" spans="1:15" s="236" customFormat="1" x14ac:dyDescent="0.3">
      <c r="A777" s="237" t="str">
        <f>name!E$7</f>
        <v>Administrative and secretarial occupations</v>
      </c>
      <c r="B777" s="302">
        <v>33.514738535241285</v>
      </c>
      <c r="C777" s="302">
        <v>18.842480368625871</v>
      </c>
      <c r="D777" s="302">
        <v>1.6794068221442597</v>
      </c>
      <c r="E777" s="302">
        <f t="shared" si="336"/>
        <v>54.036625726011415</v>
      </c>
      <c r="F777" s="303"/>
      <c r="G777" s="302">
        <v>33.481203369993587</v>
      </c>
      <c r="H777" s="302">
        <v>16.118137653297751</v>
      </c>
      <c r="I777" s="302">
        <v>1.7719702572755385</v>
      </c>
      <c r="J777" s="302">
        <f t="shared" si="337"/>
        <v>51.371311280566879</v>
      </c>
      <c r="K777" s="303"/>
      <c r="L777" s="302">
        <v>28.471126041199536</v>
      </c>
      <c r="M777" s="302">
        <v>13.559998571321536</v>
      </c>
      <c r="N777" s="302">
        <v>1.4421011189156732</v>
      </c>
      <c r="O777" s="302">
        <f t="shared" si="338"/>
        <v>43.473225731436742</v>
      </c>
    </row>
    <row r="778" spans="1:15" s="236" customFormat="1" x14ac:dyDescent="0.3">
      <c r="A778" s="237" t="str">
        <f>name!E$8</f>
        <v>Skilled trades occupations</v>
      </c>
      <c r="B778" s="302">
        <v>25.106844621300695</v>
      </c>
      <c r="C778" s="302">
        <v>2.8895899549986441</v>
      </c>
      <c r="D778" s="302">
        <v>8.5979933771382413</v>
      </c>
      <c r="E778" s="302">
        <f t="shared" si="336"/>
        <v>36.594427953437581</v>
      </c>
      <c r="F778" s="303"/>
      <c r="G778" s="302">
        <v>20.852743221984557</v>
      </c>
      <c r="H778" s="302">
        <v>2.3828750896643984</v>
      </c>
      <c r="I778" s="302">
        <v>7.1403982688108378</v>
      </c>
      <c r="J778" s="302">
        <f>SUM(G778:I778)</f>
        <v>30.376016580459794</v>
      </c>
      <c r="K778" s="303"/>
      <c r="L778" s="302">
        <v>17.007324099927143</v>
      </c>
      <c r="M778" s="302">
        <v>2.9716359949500708</v>
      </c>
      <c r="N778" s="302">
        <v>13.404960250982613</v>
      </c>
      <c r="O778" s="302">
        <f t="shared" si="338"/>
        <v>33.383920345859828</v>
      </c>
    </row>
    <row r="779" spans="1:15" s="236" customFormat="1" x14ac:dyDescent="0.3">
      <c r="A779" s="237" t="str">
        <f>name!E$9</f>
        <v>Caring, leisure and other service occupations</v>
      </c>
      <c r="B779" s="302">
        <v>10.442345958263143</v>
      </c>
      <c r="C779" s="302">
        <v>1.9284824787930042</v>
      </c>
      <c r="D779" s="302">
        <v>1.0854699066290032</v>
      </c>
      <c r="E779" s="302">
        <f t="shared" si="336"/>
        <v>13.45629834368515</v>
      </c>
      <c r="F779" s="303"/>
      <c r="G779" s="302">
        <v>10.083740007768169</v>
      </c>
      <c r="H779" s="302">
        <v>2.0064049421433645</v>
      </c>
      <c r="I779" s="302">
        <v>1.2907972460494674</v>
      </c>
      <c r="J779" s="302">
        <f t="shared" ref="J779:J782" si="339">SUM(G779:I779)</f>
        <v>13.380942195961001</v>
      </c>
      <c r="K779" s="303"/>
      <c r="L779" s="302">
        <v>14.372374599584164</v>
      </c>
      <c r="M779" s="302">
        <v>2.2227893694014504</v>
      </c>
      <c r="N779" s="302">
        <v>2.1511603670811863</v>
      </c>
      <c r="O779" s="302">
        <f t="shared" si="338"/>
        <v>18.746324336066802</v>
      </c>
    </row>
    <row r="780" spans="1:15" s="236" customFormat="1" x14ac:dyDescent="0.3">
      <c r="A780" s="237" t="str">
        <f>name!E$10</f>
        <v>Sales and customer service occupations</v>
      </c>
      <c r="B780" s="302">
        <v>11.599871126966551</v>
      </c>
      <c r="C780" s="302">
        <v>4.1323164566557775</v>
      </c>
      <c r="D780" s="302">
        <v>0.89230425716494122</v>
      </c>
      <c r="E780" s="302">
        <f t="shared" si="336"/>
        <v>16.624491840787272</v>
      </c>
      <c r="F780" s="303"/>
      <c r="G780" s="302">
        <v>10.968659976128246</v>
      </c>
      <c r="H780" s="302">
        <v>4.1898777689309199</v>
      </c>
      <c r="I780" s="302">
        <v>0.77837973662646009</v>
      </c>
      <c r="J780" s="302">
        <f t="shared" si="339"/>
        <v>15.936917481685626</v>
      </c>
      <c r="K780" s="303"/>
      <c r="L780" s="302">
        <v>13.687092713108129</v>
      </c>
      <c r="M780" s="302">
        <v>5.7907283619422776</v>
      </c>
      <c r="N780" s="302">
        <v>1.0638461277539237</v>
      </c>
      <c r="O780" s="302">
        <f t="shared" si="338"/>
        <v>20.54166720280433</v>
      </c>
    </row>
    <row r="781" spans="1:15" s="236" customFormat="1" x14ac:dyDescent="0.3">
      <c r="A781" s="237" t="str">
        <f>name!E$11</f>
        <v>Process, plant and machine operatives</v>
      </c>
      <c r="B781" s="302">
        <v>2.2746607698028609</v>
      </c>
      <c r="C781" s="302">
        <v>1.837279370197618</v>
      </c>
      <c r="D781" s="302">
        <v>2.4599245953396927</v>
      </c>
      <c r="E781" s="302">
        <f t="shared" si="336"/>
        <v>6.5718647353401725</v>
      </c>
      <c r="F781" s="303"/>
      <c r="G781" s="302">
        <v>1.7815325213767905</v>
      </c>
      <c r="H781" s="302">
        <v>2.4319194030723783</v>
      </c>
      <c r="I781" s="302">
        <v>2.7788511569694818</v>
      </c>
      <c r="J781" s="302">
        <f t="shared" si="339"/>
        <v>6.9923030814186511</v>
      </c>
      <c r="K781" s="303"/>
      <c r="L781" s="302">
        <v>2.2297573771221337</v>
      </c>
      <c r="M781" s="302">
        <v>2.8011196833818097</v>
      </c>
      <c r="N781" s="302">
        <v>4.2984268011225009</v>
      </c>
      <c r="O781" s="302">
        <f t="shared" si="338"/>
        <v>9.3293038616264443</v>
      </c>
    </row>
    <row r="782" spans="1:15" s="236" customFormat="1" x14ac:dyDescent="0.3">
      <c r="A782" s="237" t="str">
        <f>name!E$12</f>
        <v>Elementary occupations</v>
      </c>
      <c r="B782" s="302">
        <v>3.0012067697942175</v>
      </c>
      <c r="C782" s="302">
        <v>1.4835177830682358</v>
      </c>
      <c r="D782" s="302">
        <v>2.3166511374946088</v>
      </c>
      <c r="E782" s="302">
        <f t="shared" si="336"/>
        <v>6.8013756903570624</v>
      </c>
      <c r="F782" s="303"/>
      <c r="G782" s="302">
        <v>2.2107616730150292</v>
      </c>
      <c r="H782" s="302">
        <v>1.2019432247212312</v>
      </c>
      <c r="I782" s="302">
        <v>1.738648191842715</v>
      </c>
      <c r="J782" s="302">
        <f t="shared" si="339"/>
        <v>5.1513530895789756</v>
      </c>
      <c r="K782" s="303"/>
      <c r="L782" s="302">
        <v>1.8318219398105344</v>
      </c>
      <c r="M782" s="302">
        <v>0.88462218570692552</v>
      </c>
      <c r="N782" s="302">
        <v>2.3377505330538515</v>
      </c>
      <c r="O782" s="302">
        <f t="shared" si="338"/>
        <v>5.054194658571312</v>
      </c>
    </row>
    <row r="783" spans="1:15" s="236" customFormat="1" x14ac:dyDescent="0.3">
      <c r="A783" s="237"/>
      <c r="B783" s="302"/>
      <c r="C783" s="302"/>
      <c r="D783" s="302"/>
      <c r="E783" s="302"/>
      <c r="F783" s="303"/>
      <c r="G783" s="302"/>
      <c r="H783" s="302"/>
      <c r="I783" s="302"/>
      <c r="J783" s="302"/>
      <c r="K783" s="303"/>
      <c r="L783" s="302"/>
      <c r="M783" s="302"/>
      <c r="N783" s="302"/>
      <c r="O783" s="302"/>
    </row>
    <row r="784" spans="1:15" s="236" customFormat="1" x14ac:dyDescent="0.3">
      <c r="A784" s="244" t="s">
        <v>32</v>
      </c>
      <c r="B784" s="311">
        <f>SUM(B774:B782)</f>
        <v>565.62599999074178</v>
      </c>
      <c r="C784" s="311">
        <f t="shared" ref="C784:E784" si="340">SUM(C774:C782)</f>
        <v>68.944999999083706</v>
      </c>
      <c r="D784" s="311">
        <f t="shared" si="340"/>
        <v>69.884000000474458</v>
      </c>
      <c r="E784" s="311">
        <f t="shared" si="340"/>
        <v>704.45499999030028</v>
      </c>
      <c r="F784" s="311"/>
      <c r="G784" s="311">
        <f t="shared" ref="G784:J784" si="341">SUM(G774:G782)</f>
        <v>651.5219999968316</v>
      </c>
      <c r="H784" s="311">
        <f t="shared" si="341"/>
        <v>80.771999999606621</v>
      </c>
      <c r="I784" s="311">
        <f t="shared" si="341"/>
        <v>73.124000000718041</v>
      </c>
      <c r="J784" s="311">
        <f t="shared" si="341"/>
        <v>805.41799999715602</v>
      </c>
      <c r="K784" s="311"/>
      <c r="L784" s="311">
        <f t="shared" ref="L784:O784" si="342">SUM(L774:L782)</f>
        <v>757.07499999684921</v>
      </c>
      <c r="M784" s="311">
        <f t="shared" si="342"/>
        <v>91.314999999885387</v>
      </c>
      <c r="N784" s="311">
        <f t="shared" si="342"/>
        <v>87.971000001471268</v>
      </c>
      <c r="O784" s="311">
        <f t="shared" si="342"/>
        <v>936.36099999820578</v>
      </c>
    </row>
    <row r="785" spans="1:15" s="236" customFormat="1" x14ac:dyDescent="0.3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40"/>
    </row>
    <row r="786" spans="1:15" s="236" customFormat="1" x14ac:dyDescent="0.3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40"/>
      <c r="O786" s="251" t="s">
        <v>35</v>
      </c>
    </row>
    <row r="787" spans="1:15" s="236" customFormat="1" x14ac:dyDescent="0.3">
      <c r="A787" s="242"/>
      <c r="B787" s="242"/>
      <c r="C787" s="242"/>
      <c r="D787" s="242"/>
      <c r="E787" s="242"/>
      <c r="F787" s="242"/>
      <c r="G787" s="242"/>
      <c r="H787" s="242"/>
      <c r="I787" s="242"/>
      <c r="J787" s="242"/>
      <c r="K787" s="242"/>
      <c r="L787" s="242"/>
      <c r="M787" s="242"/>
      <c r="N787" s="242"/>
      <c r="O787" s="242"/>
    </row>
    <row r="788" spans="1:15" s="236" customFormat="1" x14ac:dyDescent="0.3">
      <c r="A788" s="241" t="str">
        <f>name!A49</f>
        <v>Information services</v>
      </c>
      <c r="B788" s="375">
        <f>$B$6</f>
        <v>2015</v>
      </c>
      <c r="C788" s="375"/>
      <c r="D788" s="375"/>
      <c r="E788" s="375"/>
      <c r="F788" s="263"/>
      <c r="G788" s="375">
        <f>$G$6</f>
        <v>2020</v>
      </c>
      <c r="H788" s="375"/>
      <c r="I788" s="375"/>
      <c r="J788" s="375"/>
      <c r="K788" s="263"/>
      <c r="L788" s="375">
        <f>$L$6</f>
        <v>2035</v>
      </c>
      <c r="M788" s="375"/>
      <c r="N788" s="375"/>
      <c r="O788" s="375"/>
    </row>
    <row r="789" spans="1:15" s="236" customFormat="1" x14ac:dyDescent="0.3">
      <c r="A789" s="254"/>
      <c r="B789" s="268" t="str">
        <f>$B$7</f>
        <v>FT</v>
      </c>
      <c r="C789" s="268" t="str">
        <f>$C$7</f>
        <v>PT</v>
      </c>
      <c r="D789" s="268" t="str">
        <f>$D$7</f>
        <v>SE</v>
      </c>
      <c r="E789" s="268" t="str">
        <f>$E$7</f>
        <v>Total</v>
      </c>
      <c r="F789" s="268"/>
      <c r="G789" s="268" t="str">
        <f>$G$7</f>
        <v>FT</v>
      </c>
      <c r="H789" s="268" t="str">
        <f>$H$7</f>
        <v>PT</v>
      </c>
      <c r="I789" s="268" t="str">
        <f>$I$7</f>
        <v>SE</v>
      </c>
      <c r="J789" s="268" t="str">
        <f>$J$7</f>
        <v>Total</v>
      </c>
      <c r="K789" s="268"/>
      <c r="L789" s="268" t="str">
        <f>$L$7</f>
        <v>FT</v>
      </c>
      <c r="M789" s="268" t="str">
        <f>$M$7</f>
        <v>PT</v>
      </c>
      <c r="N789" s="268" t="str">
        <f>$N$7</f>
        <v>SE</v>
      </c>
      <c r="O789" s="268" t="str">
        <f>$O$7</f>
        <v>Total</v>
      </c>
    </row>
    <row r="790" spans="1:15" s="236" customFormat="1" x14ac:dyDescent="0.3">
      <c r="A790" s="258"/>
      <c r="B790" s="239"/>
      <c r="C790" s="239"/>
      <c r="D790" s="239"/>
      <c r="E790" s="239"/>
      <c r="F790" s="239"/>
      <c r="G790" s="239"/>
      <c r="H790" s="239"/>
      <c r="I790" s="239"/>
      <c r="J790" s="239"/>
      <c r="K790" s="239"/>
      <c r="L790" s="239"/>
      <c r="M790" s="239"/>
      <c r="N790" s="239"/>
      <c r="O790" s="239"/>
    </row>
    <row r="791" spans="1:15" s="236" customFormat="1" x14ac:dyDescent="0.3">
      <c r="A791" s="237" t="str">
        <f>name!E$4</f>
        <v>Managers, directors and senior officials</v>
      </c>
      <c r="B791" s="302">
        <v>12.098799244421446</v>
      </c>
      <c r="C791" s="302">
        <v>0.56219816796376298</v>
      </c>
      <c r="D791" s="302">
        <v>1.1869592603590033</v>
      </c>
      <c r="E791" s="302">
        <f>SUM(B791:D791)</f>
        <v>13.847956672744212</v>
      </c>
      <c r="F791" s="303"/>
      <c r="G791" s="302">
        <v>12.114156383036283</v>
      </c>
      <c r="H791" s="302">
        <v>1.0412902600037941</v>
      </c>
      <c r="I791" s="302">
        <v>1.1501294395699404</v>
      </c>
      <c r="J791" s="302">
        <f>SUM(G791:I791)</f>
        <v>14.305576082610019</v>
      </c>
      <c r="K791" s="303"/>
      <c r="L791" s="302">
        <v>14.468130043211</v>
      </c>
      <c r="M791" s="302">
        <v>1.3900386632305579</v>
      </c>
      <c r="N791" s="302">
        <v>1.3926903340855654</v>
      </c>
      <c r="O791" s="302">
        <f>SUM(L791:N791)</f>
        <v>17.250859040527121</v>
      </c>
    </row>
    <row r="792" spans="1:15" s="236" customFormat="1" x14ac:dyDescent="0.3">
      <c r="A792" s="237" t="str">
        <f>name!E$5</f>
        <v>Professional occupations</v>
      </c>
      <c r="B792" s="302">
        <v>30.686464827360137</v>
      </c>
      <c r="C792" s="302">
        <v>0.83112843637831657</v>
      </c>
      <c r="D792" s="302">
        <v>2.1722752100120735</v>
      </c>
      <c r="E792" s="302">
        <f t="shared" ref="E792:E799" si="343">SUM(B792:D792)</f>
        <v>33.689868473750529</v>
      </c>
      <c r="F792" s="303"/>
      <c r="G792" s="302">
        <v>34.432272738079639</v>
      </c>
      <c r="H792" s="302">
        <v>1.3654547006248443</v>
      </c>
      <c r="I792" s="302">
        <v>1.9284357008775375</v>
      </c>
      <c r="J792" s="302">
        <f t="shared" ref="J792:J794" si="344">SUM(G792:I792)</f>
        <v>37.72616313958202</v>
      </c>
      <c r="K792" s="303"/>
      <c r="L792" s="302">
        <v>44.12361773775514</v>
      </c>
      <c r="M792" s="302">
        <v>1.9845678657952281</v>
      </c>
      <c r="N792" s="302">
        <v>1.789983918796209</v>
      </c>
      <c r="O792" s="302">
        <f t="shared" ref="O792:O799" si="345">SUM(L792:N792)</f>
        <v>47.898169522346578</v>
      </c>
    </row>
    <row r="793" spans="1:15" s="236" customFormat="1" x14ac:dyDescent="0.3">
      <c r="A793" s="237" t="str">
        <f>name!E$6</f>
        <v>Associate professional occupations</v>
      </c>
      <c r="B793" s="302">
        <v>15.230945484550757</v>
      </c>
      <c r="C793" s="302">
        <v>0.76038722033135631</v>
      </c>
      <c r="D793" s="302">
        <v>1.7070330625711359</v>
      </c>
      <c r="E793" s="302">
        <f t="shared" si="343"/>
        <v>17.69836576745325</v>
      </c>
      <c r="F793" s="303"/>
      <c r="G793" s="302">
        <v>16.061769808543087</v>
      </c>
      <c r="H793" s="302">
        <v>1.1182903839764469</v>
      </c>
      <c r="I793" s="302">
        <v>1.5389185763738196</v>
      </c>
      <c r="J793" s="302">
        <f t="shared" si="344"/>
        <v>18.718978768893354</v>
      </c>
      <c r="K793" s="303"/>
      <c r="L793" s="302">
        <v>17.879337807024299</v>
      </c>
      <c r="M793" s="302">
        <v>1.2602692528493036</v>
      </c>
      <c r="N793" s="302">
        <v>1.7429908120399629</v>
      </c>
      <c r="O793" s="302">
        <f t="shared" si="345"/>
        <v>20.882597871913568</v>
      </c>
    </row>
    <row r="794" spans="1:15" s="236" customFormat="1" x14ac:dyDescent="0.3">
      <c r="A794" s="237" t="str">
        <f>name!E$7</f>
        <v>Administrative and secretarial occupations</v>
      </c>
      <c r="B794" s="302">
        <v>7.0155812473264962</v>
      </c>
      <c r="C794" s="302">
        <v>1.159171051534919</v>
      </c>
      <c r="D794" s="302">
        <v>0.21750547560364977</v>
      </c>
      <c r="E794" s="302">
        <f t="shared" si="343"/>
        <v>8.3922577744650653</v>
      </c>
      <c r="F794" s="303"/>
      <c r="G794" s="302">
        <v>6.3064612987079016</v>
      </c>
      <c r="H794" s="302">
        <v>1.2742465540463204</v>
      </c>
      <c r="I794" s="302">
        <v>0.18594583531340569</v>
      </c>
      <c r="J794" s="302">
        <f t="shared" si="344"/>
        <v>7.7666536880676276</v>
      </c>
      <c r="K794" s="303"/>
      <c r="L794" s="302">
        <v>5.4522814496592726</v>
      </c>
      <c r="M794" s="302">
        <v>1.2915579722525221</v>
      </c>
      <c r="N794" s="302">
        <v>0.15842449042197354</v>
      </c>
      <c r="O794" s="302">
        <f t="shared" si="345"/>
        <v>6.9022639123337681</v>
      </c>
    </row>
    <row r="795" spans="1:15" s="236" customFormat="1" x14ac:dyDescent="0.3">
      <c r="A795" s="237" t="str">
        <f>name!E$8</f>
        <v>Skilled trades occupations</v>
      </c>
      <c r="B795" s="302">
        <v>2.8425251334733423</v>
      </c>
      <c r="C795" s="302">
        <v>0.1864113577297479</v>
      </c>
      <c r="D795" s="302">
        <v>0.88845135155497246</v>
      </c>
      <c r="E795" s="302">
        <f t="shared" si="343"/>
        <v>3.9173878427580626</v>
      </c>
      <c r="F795" s="303"/>
      <c r="G795" s="302">
        <v>2.2471034619650814</v>
      </c>
      <c r="H795" s="302">
        <v>0.19440691559239659</v>
      </c>
      <c r="I795" s="302">
        <v>0.61688088824688381</v>
      </c>
      <c r="J795" s="302">
        <f>SUM(G795:I795)</f>
        <v>3.0583912658043615</v>
      </c>
      <c r="K795" s="303"/>
      <c r="L795" s="302">
        <v>2.0078834943681994</v>
      </c>
      <c r="M795" s="302">
        <v>0.27752559099923996</v>
      </c>
      <c r="N795" s="302">
        <v>1.0373047917073506</v>
      </c>
      <c r="O795" s="302">
        <f t="shared" si="345"/>
        <v>3.3227138770747899</v>
      </c>
    </row>
    <row r="796" spans="1:15" s="236" customFormat="1" x14ac:dyDescent="0.3">
      <c r="A796" s="237" t="str">
        <f>name!E$9</f>
        <v>Caring, leisure and other service occupations</v>
      </c>
      <c r="B796" s="302">
        <v>2.6457990314610291</v>
      </c>
      <c r="C796" s="302">
        <v>0.52775243997734644</v>
      </c>
      <c r="D796" s="302">
        <v>0.31258807187833326</v>
      </c>
      <c r="E796" s="302">
        <f t="shared" si="343"/>
        <v>3.4861395433167091</v>
      </c>
      <c r="F796" s="303"/>
      <c r="G796" s="302">
        <v>2.2745815681804165</v>
      </c>
      <c r="H796" s="302">
        <v>0.64789344244137259</v>
      </c>
      <c r="I796" s="302">
        <v>0.32816462052858814</v>
      </c>
      <c r="J796" s="302">
        <f t="shared" ref="J796:J799" si="346">SUM(G796:I796)</f>
        <v>3.2506396311503774</v>
      </c>
      <c r="K796" s="303"/>
      <c r="L796" s="302">
        <v>3.0407451161130519</v>
      </c>
      <c r="M796" s="302">
        <v>0.78043870562039774</v>
      </c>
      <c r="N796" s="302">
        <v>0.47805616666800954</v>
      </c>
      <c r="O796" s="302">
        <f t="shared" si="345"/>
        <v>4.2992399884014594</v>
      </c>
    </row>
    <row r="797" spans="1:15" s="236" customFormat="1" x14ac:dyDescent="0.3">
      <c r="A797" s="237" t="str">
        <f>name!E$10</f>
        <v>Sales and customer service occupations</v>
      </c>
      <c r="B797" s="302">
        <v>3.1855909766340873</v>
      </c>
      <c r="C797" s="302">
        <v>0.45267344740913479</v>
      </c>
      <c r="D797" s="302">
        <v>0.16155195497570771</v>
      </c>
      <c r="E797" s="302">
        <f t="shared" si="343"/>
        <v>3.7998163790189299</v>
      </c>
      <c r="F797" s="303"/>
      <c r="G797" s="302">
        <v>2.7885503469864341</v>
      </c>
      <c r="H797" s="302">
        <v>0.67764545992877645</v>
      </c>
      <c r="I797" s="302">
        <v>9.9915071586158075E-2</v>
      </c>
      <c r="J797" s="302">
        <f t="shared" si="346"/>
        <v>3.5661108785013687</v>
      </c>
      <c r="K797" s="303"/>
      <c r="L797" s="302">
        <v>3.5612516164628913</v>
      </c>
      <c r="M797" s="302">
        <v>1.1462628773536649</v>
      </c>
      <c r="N797" s="302">
        <v>9.9173101969351987E-2</v>
      </c>
      <c r="O797" s="302">
        <f t="shared" si="345"/>
        <v>4.8066875957859079</v>
      </c>
    </row>
    <row r="798" spans="1:15" s="236" customFormat="1" x14ac:dyDescent="0.3">
      <c r="A798" s="237" t="str">
        <f>name!E$11</f>
        <v>Process, plant and machine operatives</v>
      </c>
      <c r="B798" s="302">
        <v>1.0979817274314401</v>
      </c>
      <c r="C798" s="302">
        <v>0.25837881703858917</v>
      </c>
      <c r="D798" s="302">
        <v>0.22719802711994969</v>
      </c>
      <c r="E798" s="302">
        <f t="shared" si="343"/>
        <v>1.5835585715899789</v>
      </c>
      <c r="F798" s="303"/>
      <c r="G798" s="302">
        <v>0.78121429008614474</v>
      </c>
      <c r="H798" s="302">
        <v>0.45981984750008154</v>
      </c>
      <c r="I798" s="302">
        <v>0.22366660573230748</v>
      </c>
      <c r="J798" s="302">
        <f t="shared" si="346"/>
        <v>1.4647007433185339</v>
      </c>
      <c r="K798" s="303"/>
      <c r="L798" s="302">
        <v>0.89816152006286076</v>
      </c>
      <c r="M798" s="302">
        <v>0.60852288571068502</v>
      </c>
      <c r="N798" s="302">
        <v>0.33351205296262548</v>
      </c>
      <c r="O798" s="302">
        <f t="shared" si="345"/>
        <v>1.8401964587361712</v>
      </c>
    </row>
    <row r="799" spans="1:15" s="236" customFormat="1" x14ac:dyDescent="0.3">
      <c r="A799" s="237" t="str">
        <f>name!E$12</f>
        <v>Elementary occupations</v>
      </c>
      <c r="B799" s="302">
        <v>6.8933123264910012</v>
      </c>
      <c r="C799" s="302">
        <v>2.6318990616796665</v>
      </c>
      <c r="D799" s="302">
        <v>1.1564375860197935</v>
      </c>
      <c r="E799" s="302">
        <f t="shared" si="343"/>
        <v>10.681648974190461</v>
      </c>
      <c r="F799" s="303"/>
      <c r="G799" s="302">
        <v>5.6028901042216841</v>
      </c>
      <c r="H799" s="302">
        <v>3.1029524359254355</v>
      </c>
      <c r="I799" s="302">
        <v>0.854943261830729</v>
      </c>
      <c r="J799" s="302">
        <f t="shared" si="346"/>
        <v>9.5607858019778487</v>
      </c>
      <c r="K799" s="303"/>
      <c r="L799" s="302">
        <v>6.6445912152839206</v>
      </c>
      <c r="M799" s="302">
        <v>2.5188161862188494</v>
      </c>
      <c r="N799" s="302">
        <v>1.2498643315019611</v>
      </c>
      <c r="O799" s="302">
        <f t="shared" si="345"/>
        <v>10.413271733004731</v>
      </c>
    </row>
    <row r="800" spans="1:15" s="236" customFormat="1" x14ac:dyDescent="0.3">
      <c r="A800" s="237"/>
      <c r="B800" s="302"/>
      <c r="C800" s="302"/>
      <c r="D800" s="302"/>
      <c r="E800" s="302"/>
      <c r="F800" s="303"/>
      <c r="G800" s="302"/>
      <c r="H800" s="302"/>
      <c r="I800" s="302"/>
      <c r="J800" s="302"/>
      <c r="K800" s="303"/>
      <c r="L800" s="302"/>
      <c r="M800" s="302"/>
      <c r="N800" s="302"/>
      <c r="O800" s="302"/>
    </row>
    <row r="801" spans="1:15" s="236" customFormat="1" x14ac:dyDescent="0.3">
      <c r="A801" s="244" t="s">
        <v>32</v>
      </c>
      <c r="B801" s="311">
        <f>SUM(B791:B799)</f>
        <v>81.696999999149739</v>
      </c>
      <c r="C801" s="311">
        <f t="shared" ref="C801:E801" si="347">SUM(C791:C799)</f>
        <v>7.3700000000428396</v>
      </c>
      <c r="D801" s="311">
        <f t="shared" si="347"/>
        <v>8.0300000000946188</v>
      </c>
      <c r="E801" s="311">
        <f t="shared" si="347"/>
        <v>97.096999999287206</v>
      </c>
      <c r="F801" s="311"/>
      <c r="G801" s="311">
        <f t="shared" ref="G801:J801" si="348">SUM(G791:G799)</f>
        <v>82.608999999806684</v>
      </c>
      <c r="H801" s="311">
        <f t="shared" si="348"/>
        <v>9.8820000000394685</v>
      </c>
      <c r="I801" s="311">
        <f t="shared" si="348"/>
        <v>6.927000000059369</v>
      </c>
      <c r="J801" s="311">
        <f t="shared" si="348"/>
        <v>99.417999999905504</v>
      </c>
      <c r="K801" s="311"/>
      <c r="L801" s="311">
        <f t="shared" ref="L801:O801" si="349">SUM(L791:L799)</f>
        <v>98.075999999940649</v>
      </c>
      <c r="M801" s="311">
        <f t="shared" si="349"/>
        <v>11.258000000030449</v>
      </c>
      <c r="N801" s="311">
        <f t="shared" si="349"/>
        <v>8.2820000001530101</v>
      </c>
      <c r="O801" s="311">
        <f t="shared" si="349"/>
        <v>117.61600000012407</v>
      </c>
    </row>
    <row r="802" spans="1:15" s="236" customFormat="1" x14ac:dyDescent="0.3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40"/>
    </row>
    <row r="803" spans="1:15" s="236" customFormat="1" x14ac:dyDescent="0.3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40"/>
      <c r="O803" s="251" t="s">
        <v>35</v>
      </c>
    </row>
    <row r="804" spans="1:15" s="236" customFormat="1" x14ac:dyDescent="0.3">
      <c r="A804" s="242"/>
      <c r="B804" s="242"/>
      <c r="C804" s="242"/>
      <c r="D804" s="242"/>
      <c r="E804" s="242"/>
      <c r="F804" s="242"/>
      <c r="G804" s="242"/>
      <c r="H804" s="242"/>
      <c r="I804" s="242"/>
      <c r="J804" s="242"/>
      <c r="K804" s="242"/>
      <c r="L804" s="242"/>
      <c r="M804" s="242"/>
      <c r="N804" s="242"/>
      <c r="O804" s="242"/>
    </row>
    <row r="805" spans="1:15" s="236" customFormat="1" x14ac:dyDescent="0.3">
      <c r="A805" s="241" t="str">
        <f>name!A50</f>
        <v>Financial services</v>
      </c>
      <c r="B805" s="375">
        <f>$B$6</f>
        <v>2015</v>
      </c>
      <c r="C805" s="375"/>
      <c r="D805" s="375"/>
      <c r="E805" s="375"/>
      <c r="F805" s="263"/>
      <c r="G805" s="375">
        <f>$G$6</f>
        <v>2020</v>
      </c>
      <c r="H805" s="375"/>
      <c r="I805" s="375"/>
      <c r="J805" s="375"/>
      <c r="K805" s="263"/>
      <c r="L805" s="375">
        <f>$L$6</f>
        <v>2035</v>
      </c>
      <c r="M805" s="375"/>
      <c r="N805" s="375"/>
      <c r="O805" s="375"/>
    </row>
    <row r="806" spans="1:15" s="236" customFormat="1" x14ac:dyDescent="0.3">
      <c r="A806" s="254"/>
      <c r="B806" s="268" t="str">
        <f>$B$7</f>
        <v>FT</v>
      </c>
      <c r="C806" s="268" t="str">
        <f>$C$7</f>
        <v>PT</v>
      </c>
      <c r="D806" s="268" t="str">
        <f>$D$7</f>
        <v>SE</v>
      </c>
      <c r="E806" s="268" t="str">
        <f>$E$7</f>
        <v>Total</v>
      </c>
      <c r="F806" s="268"/>
      <c r="G806" s="268" t="str">
        <f>$G$7</f>
        <v>FT</v>
      </c>
      <c r="H806" s="268" t="str">
        <f>$H$7</f>
        <v>PT</v>
      </c>
      <c r="I806" s="268" t="str">
        <f>$I$7</f>
        <v>SE</v>
      </c>
      <c r="J806" s="268" t="str">
        <f>$J$7</f>
        <v>Total</v>
      </c>
      <c r="K806" s="268"/>
      <c r="L806" s="268" t="str">
        <f>$L$7</f>
        <v>FT</v>
      </c>
      <c r="M806" s="268" t="str">
        <f>$M$7</f>
        <v>PT</v>
      </c>
      <c r="N806" s="268" t="str">
        <f>$N$7</f>
        <v>SE</v>
      </c>
      <c r="O806" s="268" t="str">
        <f>$O$7</f>
        <v>Total</v>
      </c>
    </row>
    <row r="807" spans="1:15" s="236" customFormat="1" x14ac:dyDescent="0.3">
      <c r="A807" s="258"/>
      <c r="B807" s="239"/>
      <c r="C807" s="239"/>
      <c r="D807" s="239"/>
      <c r="E807" s="239"/>
      <c r="F807" s="239"/>
      <c r="G807" s="239"/>
      <c r="H807" s="239"/>
      <c r="I807" s="239"/>
      <c r="J807" s="239"/>
      <c r="K807" s="239"/>
      <c r="L807" s="239"/>
      <c r="M807" s="239"/>
      <c r="N807" s="239"/>
      <c r="O807" s="239"/>
    </row>
    <row r="808" spans="1:15" s="236" customFormat="1" x14ac:dyDescent="0.3">
      <c r="A808" s="237" t="str">
        <f>name!E$4</f>
        <v>Managers, directors and senior officials</v>
      </c>
      <c r="B808" s="302">
        <v>81.622847668803431</v>
      </c>
      <c r="C808" s="302">
        <v>7.4882938196293694</v>
      </c>
      <c r="D808" s="302">
        <v>5.8960609830448254</v>
      </c>
      <c r="E808" s="302">
        <f>SUM(B808:D808)</f>
        <v>95.007202471477612</v>
      </c>
      <c r="F808" s="303"/>
      <c r="G808" s="302">
        <v>83.198537346668857</v>
      </c>
      <c r="H808" s="302">
        <v>9.6972716115067747</v>
      </c>
      <c r="I808" s="302">
        <v>3.7013750729987214</v>
      </c>
      <c r="J808" s="302">
        <f>SUM(G808:I808)</f>
        <v>96.597184031174351</v>
      </c>
      <c r="K808" s="303"/>
      <c r="L808" s="302">
        <v>81.391642119436881</v>
      </c>
      <c r="M808" s="302">
        <v>11.970987950742192</v>
      </c>
      <c r="N808" s="302">
        <v>3.9564046762565659</v>
      </c>
      <c r="O808" s="302">
        <f>SUM(L808:N808)</f>
        <v>97.319034746435648</v>
      </c>
    </row>
    <row r="809" spans="1:15" s="236" customFormat="1" x14ac:dyDescent="0.3">
      <c r="A809" s="237" t="str">
        <f>name!E$5</f>
        <v>Professional occupations</v>
      </c>
      <c r="B809" s="302">
        <v>91.20733655006191</v>
      </c>
      <c r="C809" s="302">
        <v>4.687683079595157</v>
      </c>
      <c r="D809" s="302">
        <v>10.165211619335562</v>
      </c>
      <c r="E809" s="302">
        <f t="shared" ref="E809:E816" si="350">SUM(B809:D809)</f>
        <v>106.06023124899264</v>
      </c>
      <c r="F809" s="303"/>
      <c r="G809" s="302">
        <v>107.04184015351612</v>
      </c>
      <c r="H809" s="302">
        <v>5.6396492430145964</v>
      </c>
      <c r="I809" s="302">
        <v>4.022928960698188</v>
      </c>
      <c r="J809" s="302">
        <f t="shared" ref="J809:J811" si="351">SUM(G809:I809)</f>
        <v>116.70441835722892</v>
      </c>
      <c r="K809" s="303"/>
      <c r="L809" s="302">
        <v>126.20494959630041</v>
      </c>
      <c r="M809" s="302">
        <v>6.9404628652411935</v>
      </c>
      <c r="N809" s="302">
        <v>3.5611132198505522</v>
      </c>
      <c r="O809" s="302">
        <f t="shared" ref="O809:O816" si="352">SUM(L809:N809)</f>
        <v>136.70652568139215</v>
      </c>
    </row>
    <row r="810" spans="1:15" s="236" customFormat="1" x14ac:dyDescent="0.3">
      <c r="A810" s="237" t="str">
        <f>name!E$6</f>
        <v>Associate professional occupations</v>
      </c>
      <c r="B810" s="302">
        <v>86.236485493895017</v>
      </c>
      <c r="C810" s="302">
        <v>10.781950061702553</v>
      </c>
      <c r="D810" s="302">
        <v>6.1076757907320998</v>
      </c>
      <c r="E810" s="302">
        <f t="shared" si="350"/>
        <v>103.12611134632967</v>
      </c>
      <c r="F810" s="303"/>
      <c r="G810" s="302">
        <v>88.683525969917682</v>
      </c>
      <c r="H810" s="302">
        <v>10.399442070558688</v>
      </c>
      <c r="I810" s="302">
        <v>2.7050596170977053</v>
      </c>
      <c r="J810" s="302">
        <f t="shared" si="351"/>
        <v>101.78802765757408</v>
      </c>
      <c r="K810" s="303"/>
      <c r="L810" s="302">
        <v>82.660753140384131</v>
      </c>
      <c r="M810" s="302">
        <v>11.503680479484146</v>
      </c>
      <c r="N810" s="302">
        <v>2.2042689127633821</v>
      </c>
      <c r="O810" s="302">
        <f t="shared" si="352"/>
        <v>96.368702532631659</v>
      </c>
    </row>
    <row r="811" spans="1:15" s="236" customFormat="1" x14ac:dyDescent="0.3">
      <c r="A811" s="237" t="str">
        <f>name!E$7</f>
        <v>Administrative and secretarial occupations</v>
      </c>
      <c r="B811" s="302">
        <v>109.15745162327138</v>
      </c>
      <c r="C811" s="302">
        <v>53.895451483584075</v>
      </c>
      <c r="D811" s="302">
        <v>1.3909360671309359</v>
      </c>
      <c r="E811" s="302">
        <f t="shared" si="350"/>
        <v>164.44383917398639</v>
      </c>
      <c r="F811" s="303"/>
      <c r="G811" s="302">
        <v>96.833667976306785</v>
      </c>
      <c r="H811" s="302">
        <v>45.992216051868994</v>
      </c>
      <c r="I811" s="302">
        <v>0.56415586424060449</v>
      </c>
      <c r="J811" s="302">
        <f t="shared" si="351"/>
        <v>143.39003989241638</v>
      </c>
      <c r="K811" s="303"/>
      <c r="L811" s="302">
        <v>79.286738493352061</v>
      </c>
      <c r="M811" s="302">
        <v>36.920903001829622</v>
      </c>
      <c r="N811" s="302">
        <v>0.59803776935338993</v>
      </c>
      <c r="O811" s="302">
        <f t="shared" si="352"/>
        <v>116.80567926453509</v>
      </c>
    </row>
    <row r="812" spans="1:15" s="236" customFormat="1" x14ac:dyDescent="0.3">
      <c r="A812" s="237" t="str">
        <f>name!E$8</f>
        <v>Skilled trades occupations</v>
      </c>
      <c r="B812" s="302">
        <v>5.3108744199542635</v>
      </c>
      <c r="C812" s="302">
        <v>0.49397484464689773</v>
      </c>
      <c r="D812" s="302">
        <v>1.378484135597555</v>
      </c>
      <c r="E812" s="302">
        <f t="shared" si="350"/>
        <v>7.1833334001987161</v>
      </c>
      <c r="F812" s="303"/>
      <c r="G812" s="302">
        <v>3.7930211811459182</v>
      </c>
      <c r="H812" s="302">
        <v>0.28673376746623014</v>
      </c>
      <c r="I812" s="302">
        <v>0.53455327019700183</v>
      </c>
      <c r="J812" s="302">
        <f>SUM(G812:I812)</f>
        <v>4.6143082188091498</v>
      </c>
      <c r="K812" s="303"/>
      <c r="L812" s="302">
        <v>3.717748615743742</v>
      </c>
      <c r="M812" s="302">
        <v>0.54331917159790089</v>
      </c>
      <c r="N812" s="302">
        <v>0.61958638300915903</v>
      </c>
      <c r="O812" s="302">
        <f t="shared" si="352"/>
        <v>4.8806541703508017</v>
      </c>
    </row>
    <row r="813" spans="1:15" s="236" customFormat="1" x14ac:dyDescent="0.3">
      <c r="A813" s="237" t="str">
        <f>name!E$9</f>
        <v>Caring, leisure and other service occupations</v>
      </c>
      <c r="B813" s="302">
        <v>0.89420220218846314</v>
      </c>
      <c r="C813" s="302">
        <v>0.27375250129319834</v>
      </c>
      <c r="D813" s="302">
        <v>0.44516649478788434</v>
      </c>
      <c r="E813" s="302">
        <f t="shared" si="350"/>
        <v>1.6131211982695459</v>
      </c>
      <c r="F813" s="303"/>
      <c r="G813" s="302">
        <v>0.77124348058225178</v>
      </c>
      <c r="H813" s="302">
        <v>0.20642303143606833</v>
      </c>
      <c r="I813" s="302">
        <v>0.32979176204824973</v>
      </c>
      <c r="J813" s="302">
        <f t="shared" ref="J813:J816" si="353">SUM(G813:I813)</f>
        <v>1.3074582740665699</v>
      </c>
      <c r="K813" s="303"/>
      <c r="L813" s="302">
        <v>0.80176385118335725</v>
      </c>
      <c r="M813" s="302">
        <v>0.1892299521932034</v>
      </c>
      <c r="N813" s="302">
        <v>0.51759138376742764</v>
      </c>
      <c r="O813" s="302">
        <f t="shared" si="352"/>
        <v>1.5085851871439884</v>
      </c>
    </row>
    <row r="814" spans="1:15" s="236" customFormat="1" x14ac:dyDescent="0.3">
      <c r="A814" s="237" t="str">
        <f>name!E$10</f>
        <v>Sales and customer service occupations</v>
      </c>
      <c r="B814" s="302">
        <v>22.634623553748938</v>
      </c>
      <c r="C814" s="302">
        <v>14.41250355251178</v>
      </c>
      <c r="D814" s="302">
        <v>5.4002604773160794</v>
      </c>
      <c r="E814" s="302">
        <f t="shared" si="350"/>
        <v>42.447387583576798</v>
      </c>
      <c r="F814" s="303"/>
      <c r="G814" s="302">
        <v>19.444316762575816</v>
      </c>
      <c r="H814" s="302">
        <v>13.517662683270824</v>
      </c>
      <c r="I814" s="302">
        <v>2.6517119862405982</v>
      </c>
      <c r="J814" s="302">
        <f t="shared" si="353"/>
        <v>35.613691432087236</v>
      </c>
      <c r="K814" s="303"/>
      <c r="L814" s="302">
        <v>22.117233412152839</v>
      </c>
      <c r="M814" s="302">
        <v>16.390292116293832</v>
      </c>
      <c r="N814" s="302">
        <v>2.3139364305330545</v>
      </c>
      <c r="O814" s="302">
        <f t="shared" si="352"/>
        <v>40.821461958979725</v>
      </c>
    </row>
    <row r="815" spans="1:15" s="236" customFormat="1" x14ac:dyDescent="0.3">
      <c r="A815" s="237" t="str">
        <f>name!E$11</f>
        <v>Process, plant and machine operatives</v>
      </c>
      <c r="B815" s="302">
        <v>1.5754257966942165</v>
      </c>
      <c r="C815" s="302">
        <v>0.31981538545782506</v>
      </c>
      <c r="D815" s="302">
        <v>0.49330389640344385</v>
      </c>
      <c r="E815" s="302">
        <f t="shared" si="350"/>
        <v>2.3885450785554854</v>
      </c>
      <c r="F815" s="303"/>
      <c r="G815" s="302">
        <v>1.088697964441204</v>
      </c>
      <c r="H815" s="302">
        <v>0.23792552787935733</v>
      </c>
      <c r="I815" s="302">
        <v>0.20553268302499325</v>
      </c>
      <c r="J815" s="302">
        <f t="shared" si="353"/>
        <v>1.5321561753455546</v>
      </c>
      <c r="K815" s="303"/>
      <c r="L815" s="302">
        <v>1.1274221707541523</v>
      </c>
      <c r="M815" s="302">
        <v>0.39514499978556888</v>
      </c>
      <c r="N815" s="302">
        <v>0.27775917935736683</v>
      </c>
      <c r="O815" s="302">
        <f t="shared" si="352"/>
        <v>1.8003263498970881</v>
      </c>
    </row>
    <row r="816" spans="1:15" s="236" customFormat="1" x14ac:dyDescent="0.3">
      <c r="A816" s="237" t="str">
        <f>name!E$12</f>
        <v>Elementary occupations</v>
      </c>
      <c r="B816" s="302">
        <v>3.7667526858339762</v>
      </c>
      <c r="C816" s="302">
        <v>0.99057527202070272</v>
      </c>
      <c r="D816" s="302">
        <v>0.96490053610241</v>
      </c>
      <c r="E816" s="302">
        <f t="shared" si="350"/>
        <v>5.7222284939570889</v>
      </c>
      <c r="F816" s="303"/>
      <c r="G816" s="302">
        <v>2.6901491630925101</v>
      </c>
      <c r="H816" s="302">
        <v>0.63767601327696311</v>
      </c>
      <c r="I816" s="302">
        <v>0.50689078362431572</v>
      </c>
      <c r="J816" s="302">
        <f t="shared" si="353"/>
        <v>3.8347159599937886</v>
      </c>
      <c r="K816" s="303"/>
      <c r="L816" s="302">
        <v>2.4427486018899747</v>
      </c>
      <c r="M816" s="302">
        <v>0.49597946268193704</v>
      </c>
      <c r="N816" s="302">
        <v>0.53830204546201765</v>
      </c>
      <c r="O816" s="302">
        <f t="shared" si="352"/>
        <v>3.4770301100339291</v>
      </c>
    </row>
    <row r="817" spans="1:15" s="236" customFormat="1" x14ac:dyDescent="0.3">
      <c r="A817" s="237"/>
      <c r="B817" s="302"/>
      <c r="C817" s="302"/>
      <c r="D817" s="302"/>
      <c r="E817" s="302"/>
      <c r="F817" s="303"/>
      <c r="G817" s="302"/>
      <c r="H817" s="302"/>
      <c r="I817" s="302"/>
      <c r="J817" s="302"/>
      <c r="K817" s="303"/>
      <c r="L817" s="302"/>
      <c r="M817" s="302"/>
      <c r="N817" s="302"/>
      <c r="O817" s="302"/>
    </row>
    <row r="818" spans="1:15" s="236" customFormat="1" x14ac:dyDescent="0.3">
      <c r="A818" s="244" t="s">
        <v>32</v>
      </c>
      <c r="B818" s="311">
        <f>SUM(B808:B816)</f>
        <v>402.40599999445163</v>
      </c>
      <c r="C818" s="311">
        <f t="shared" ref="C818:E818" si="354">SUM(C808:C816)</f>
        <v>93.344000000441568</v>
      </c>
      <c r="D818" s="311">
        <f t="shared" si="354"/>
        <v>32.242000000450794</v>
      </c>
      <c r="E818" s="311">
        <f t="shared" si="354"/>
        <v>527.99199999534392</v>
      </c>
      <c r="F818" s="311"/>
      <c r="G818" s="311">
        <f t="shared" ref="G818:J818" si="355">SUM(G808:G816)</f>
        <v>403.54499999824719</v>
      </c>
      <c r="H818" s="311">
        <f t="shared" si="355"/>
        <v>86.615000000278499</v>
      </c>
      <c r="I818" s="311">
        <f t="shared" si="355"/>
        <v>15.222000000170379</v>
      </c>
      <c r="J818" s="311">
        <f t="shared" si="355"/>
        <v>505.38199999869602</v>
      </c>
      <c r="K818" s="311"/>
      <c r="L818" s="311">
        <f t="shared" ref="L818:O818" si="356">SUM(L808:L816)</f>
        <v>399.75100000119755</v>
      </c>
      <c r="M818" s="311">
        <f t="shared" si="356"/>
        <v>85.349999999849587</v>
      </c>
      <c r="N818" s="311">
        <f t="shared" si="356"/>
        <v>14.587000000352916</v>
      </c>
      <c r="O818" s="311">
        <f t="shared" si="356"/>
        <v>499.68800000140004</v>
      </c>
    </row>
    <row r="819" spans="1:15" s="236" customFormat="1" x14ac:dyDescent="0.3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40"/>
    </row>
    <row r="820" spans="1:15" s="236" customFormat="1" x14ac:dyDescent="0.3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40"/>
      <c r="O820" s="251" t="s">
        <v>35</v>
      </c>
    </row>
    <row r="821" spans="1:15" s="236" customFormat="1" x14ac:dyDescent="0.3">
      <c r="A821" s="242"/>
      <c r="B821" s="242"/>
      <c r="C821" s="242"/>
      <c r="D821" s="242"/>
      <c r="E821" s="242"/>
      <c r="F821" s="242"/>
      <c r="G821" s="242"/>
      <c r="H821" s="242"/>
      <c r="I821" s="242"/>
      <c r="J821" s="242"/>
      <c r="K821" s="242"/>
      <c r="L821" s="242"/>
      <c r="M821" s="242"/>
      <c r="N821" s="242"/>
      <c r="O821" s="242"/>
    </row>
    <row r="822" spans="1:15" s="236" customFormat="1" x14ac:dyDescent="0.3">
      <c r="A822" s="241" t="str">
        <f>name!A51</f>
        <v>Insurance and pensions</v>
      </c>
      <c r="B822" s="375">
        <f>$B$6</f>
        <v>2015</v>
      </c>
      <c r="C822" s="375"/>
      <c r="D822" s="375"/>
      <c r="E822" s="375"/>
      <c r="F822" s="263"/>
      <c r="G822" s="375">
        <f>$G$6</f>
        <v>2020</v>
      </c>
      <c r="H822" s="375"/>
      <c r="I822" s="375"/>
      <c r="J822" s="375"/>
      <c r="K822" s="263"/>
      <c r="L822" s="375">
        <f>$L$6</f>
        <v>2035</v>
      </c>
      <c r="M822" s="375"/>
      <c r="N822" s="375"/>
      <c r="O822" s="375"/>
    </row>
    <row r="823" spans="1:15" s="236" customFormat="1" x14ac:dyDescent="0.3">
      <c r="A823" s="254"/>
      <c r="B823" s="268" t="str">
        <f>$B$7</f>
        <v>FT</v>
      </c>
      <c r="C823" s="268" t="str">
        <f>$C$7</f>
        <v>PT</v>
      </c>
      <c r="D823" s="268" t="str">
        <f>$D$7</f>
        <v>SE</v>
      </c>
      <c r="E823" s="268" t="str">
        <f>$E$7</f>
        <v>Total</v>
      </c>
      <c r="F823" s="268"/>
      <c r="G823" s="268" t="str">
        <f>$G$7</f>
        <v>FT</v>
      </c>
      <c r="H823" s="268" t="str">
        <f>$H$7</f>
        <v>PT</v>
      </c>
      <c r="I823" s="268" t="str">
        <f>$I$7</f>
        <v>SE</v>
      </c>
      <c r="J823" s="268" t="str">
        <f>$J$7</f>
        <v>Total</v>
      </c>
      <c r="K823" s="268"/>
      <c r="L823" s="268" t="str">
        <f>$L$7</f>
        <v>FT</v>
      </c>
      <c r="M823" s="268" t="str">
        <f>$M$7</f>
        <v>PT</v>
      </c>
      <c r="N823" s="268" t="str">
        <f>$N$7</f>
        <v>SE</v>
      </c>
      <c r="O823" s="268" t="str">
        <f>$O$7</f>
        <v>Total</v>
      </c>
    </row>
    <row r="824" spans="1:15" s="236" customFormat="1" x14ac:dyDescent="0.3">
      <c r="A824" s="258"/>
      <c r="B824" s="239"/>
      <c r="C824" s="239"/>
      <c r="D824" s="239"/>
      <c r="E824" s="239"/>
      <c r="F824" s="239"/>
      <c r="G824" s="239"/>
      <c r="H824" s="239"/>
      <c r="I824" s="239"/>
      <c r="J824" s="239"/>
      <c r="K824" s="239"/>
      <c r="L824" s="239"/>
      <c r="M824" s="239"/>
      <c r="N824" s="239"/>
      <c r="O824" s="239"/>
    </row>
    <row r="825" spans="1:15" s="236" customFormat="1" x14ac:dyDescent="0.3">
      <c r="A825" s="237" t="str">
        <f>name!E$4</f>
        <v>Managers, directors and senior officials</v>
      </c>
      <c r="B825" s="302">
        <v>11.293533230681042</v>
      </c>
      <c r="C825" s="302">
        <v>0.87656111944171122</v>
      </c>
      <c r="D825" s="302">
        <v>0.93844904653813688</v>
      </c>
      <c r="E825" s="302">
        <f>SUM(B825:D825)</f>
        <v>13.10854339666089</v>
      </c>
      <c r="F825" s="303"/>
      <c r="G825" s="302">
        <v>13.456820247362604</v>
      </c>
      <c r="H825" s="302">
        <v>1.2102852819990422</v>
      </c>
      <c r="I825" s="302">
        <v>0.64580287004528869</v>
      </c>
      <c r="J825" s="302">
        <f>SUM(G825:I825)</f>
        <v>15.312908399406934</v>
      </c>
      <c r="K825" s="303"/>
      <c r="L825" s="302">
        <v>13.272135301159718</v>
      </c>
      <c r="M825" s="302">
        <v>1.3593666841028991</v>
      </c>
      <c r="N825" s="302">
        <v>0.50616878010882338</v>
      </c>
      <c r="O825" s="302">
        <f>SUM(L825:N825)</f>
        <v>15.137670765371439</v>
      </c>
    </row>
    <row r="826" spans="1:15" s="236" customFormat="1" x14ac:dyDescent="0.3">
      <c r="A826" s="237" t="str">
        <f>name!E$5</f>
        <v>Professional occupations</v>
      </c>
      <c r="B826" s="302">
        <v>22.293732079810486</v>
      </c>
      <c r="C826" s="302">
        <v>1.4159070392521962</v>
      </c>
      <c r="D826" s="302">
        <v>0.99428530871894183</v>
      </c>
      <c r="E826" s="302">
        <f t="shared" ref="E826:E833" si="357">SUM(B826:D826)</f>
        <v>24.703924427781626</v>
      </c>
      <c r="F826" s="303"/>
      <c r="G826" s="302">
        <v>31.221553442812766</v>
      </c>
      <c r="H826" s="302">
        <v>1.7546709521903245</v>
      </c>
      <c r="I826" s="302">
        <v>0.60288067773056009</v>
      </c>
      <c r="J826" s="302">
        <f t="shared" ref="J826:J828" si="358">SUM(G826:I826)</f>
        <v>33.579105072733654</v>
      </c>
      <c r="K826" s="303"/>
      <c r="L826" s="302">
        <v>36.576619736892169</v>
      </c>
      <c r="M826" s="302">
        <v>1.9101446654944214</v>
      </c>
      <c r="N826" s="302">
        <v>0.39770093626974584</v>
      </c>
      <c r="O826" s="302">
        <f t="shared" ref="O826:O833" si="359">SUM(L826:N826)</f>
        <v>38.884465338656334</v>
      </c>
    </row>
    <row r="827" spans="1:15" s="236" customFormat="1" x14ac:dyDescent="0.3">
      <c r="A827" s="237" t="str">
        <f>name!E$6</f>
        <v>Associate professional occupations</v>
      </c>
      <c r="B827" s="302">
        <v>22.604846153518725</v>
      </c>
      <c r="C827" s="302">
        <v>2.8699213261704064</v>
      </c>
      <c r="D827" s="302">
        <v>1.9463045674759789</v>
      </c>
      <c r="E827" s="302">
        <f t="shared" si="357"/>
        <v>27.421072047165111</v>
      </c>
      <c r="F827" s="303"/>
      <c r="G827" s="302">
        <v>27.598599183109762</v>
      </c>
      <c r="H827" s="302">
        <v>3.0654732030694087</v>
      </c>
      <c r="I827" s="302">
        <v>0.97006985358735576</v>
      </c>
      <c r="J827" s="302">
        <f t="shared" si="358"/>
        <v>31.634142239766526</v>
      </c>
      <c r="K827" s="303"/>
      <c r="L827" s="302">
        <v>24.831663723105187</v>
      </c>
      <c r="M827" s="302">
        <v>3.1292599098803611</v>
      </c>
      <c r="N827" s="302">
        <v>0.51906420025676225</v>
      </c>
      <c r="O827" s="302">
        <f t="shared" si="359"/>
        <v>28.479987833242308</v>
      </c>
    </row>
    <row r="828" spans="1:15" s="236" customFormat="1" x14ac:dyDescent="0.3">
      <c r="A828" s="237" t="str">
        <f>name!E$7</f>
        <v>Administrative and secretarial occupations</v>
      </c>
      <c r="B828" s="302">
        <v>28.124087416501997</v>
      </c>
      <c r="C828" s="302">
        <v>4.2950926280030908</v>
      </c>
      <c r="D828" s="302">
        <v>0.70541286394972769</v>
      </c>
      <c r="E828" s="302">
        <f t="shared" si="357"/>
        <v>33.124592908454815</v>
      </c>
      <c r="F828" s="303"/>
      <c r="G828" s="302">
        <v>29.197908406543938</v>
      </c>
      <c r="H828" s="302">
        <v>3.954886848853485</v>
      </c>
      <c r="I828" s="302">
        <v>0.30181904147045902</v>
      </c>
      <c r="J828" s="302">
        <f t="shared" si="358"/>
        <v>33.454614296867881</v>
      </c>
      <c r="K828" s="303"/>
      <c r="L828" s="302">
        <v>22.50778320100887</v>
      </c>
      <c r="M828" s="302">
        <v>2.8599847797343929</v>
      </c>
      <c r="N828" s="302">
        <v>0.25070838850490557</v>
      </c>
      <c r="O828" s="302">
        <f t="shared" si="359"/>
        <v>25.618476369248167</v>
      </c>
    </row>
    <row r="829" spans="1:15" s="236" customFormat="1" x14ac:dyDescent="0.3">
      <c r="A829" s="237" t="str">
        <f>name!E$8</f>
        <v>Skilled trades occupations</v>
      </c>
      <c r="B829" s="302">
        <v>1.5553958131833878</v>
      </c>
      <c r="C829" s="302">
        <v>0.16354646491669875</v>
      </c>
      <c r="D829" s="302">
        <v>1.5515852516019295</v>
      </c>
      <c r="E829" s="302">
        <f t="shared" si="357"/>
        <v>3.270527529702016</v>
      </c>
      <c r="F829" s="303"/>
      <c r="G829" s="302">
        <v>1.4718395215784832</v>
      </c>
      <c r="H829" s="302">
        <v>0.11159584137800033</v>
      </c>
      <c r="I829" s="302">
        <v>0.83350470311126079</v>
      </c>
      <c r="J829" s="302">
        <f>SUM(G829:I829)</f>
        <v>2.4169400660677445</v>
      </c>
      <c r="K829" s="303"/>
      <c r="L829" s="302">
        <v>1.4607465417772556</v>
      </c>
      <c r="M829" s="302">
        <v>0.12381467726898075</v>
      </c>
      <c r="N829" s="302">
        <v>0.76671734057234942</v>
      </c>
      <c r="O829" s="302">
        <f t="shared" si="359"/>
        <v>2.3512785596185859</v>
      </c>
    </row>
    <row r="830" spans="1:15" s="236" customFormat="1" x14ac:dyDescent="0.3">
      <c r="A830" s="237" t="str">
        <f>name!E$9</f>
        <v>Caring, leisure and other service occupations</v>
      </c>
      <c r="B830" s="302">
        <v>3.4682098012160796</v>
      </c>
      <c r="C830" s="302">
        <v>9.5852762710851469E-2</v>
      </c>
      <c r="D830" s="302">
        <v>0.10565543485416751</v>
      </c>
      <c r="E830" s="302">
        <f t="shared" si="357"/>
        <v>3.6697179987810986</v>
      </c>
      <c r="F830" s="303"/>
      <c r="G830" s="302">
        <v>3.6398827609085131</v>
      </c>
      <c r="H830" s="302">
        <v>8.5997077832858232E-2</v>
      </c>
      <c r="I830" s="302">
        <v>0.17521779669554985</v>
      </c>
      <c r="J830" s="302">
        <f t="shared" ref="J830:J833" si="360">SUM(G830:I830)</f>
        <v>3.9010976354369213</v>
      </c>
      <c r="K830" s="303"/>
      <c r="L830" s="302">
        <v>4.2583667572496253</v>
      </c>
      <c r="M830" s="302">
        <v>6.8655934505973557E-2</v>
      </c>
      <c r="N830" s="302">
        <v>0.11848144375967581</v>
      </c>
      <c r="O830" s="302">
        <f t="shared" si="359"/>
        <v>4.4455041355152751</v>
      </c>
    </row>
    <row r="831" spans="1:15" s="236" customFormat="1" x14ac:dyDescent="0.3">
      <c r="A831" s="237" t="str">
        <f>name!E$10</f>
        <v>Sales and customer service occupations</v>
      </c>
      <c r="B831" s="302">
        <v>11.535302035307904</v>
      </c>
      <c r="C831" s="302">
        <v>3.0132744375732448</v>
      </c>
      <c r="D831" s="302">
        <v>0.7757123250448229</v>
      </c>
      <c r="E831" s="302">
        <f t="shared" si="357"/>
        <v>15.324288797925972</v>
      </c>
      <c r="F831" s="303"/>
      <c r="G831" s="302">
        <v>11.734260819236891</v>
      </c>
      <c r="H831" s="302">
        <v>3.004689648271945</v>
      </c>
      <c r="I831" s="302">
        <v>0.3055112467748568</v>
      </c>
      <c r="J831" s="302">
        <f t="shared" si="360"/>
        <v>15.044461714283694</v>
      </c>
      <c r="K831" s="303"/>
      <c r="L831" s="302">
        <v>12.40724869606224</v>
      </c>
      <c r="M831" s="302">
        <v>3.4611115082145316</v>
      </c>
      <c r="N831" s="302">
        <v>0.19852646573171689</v>
      </c>
      <c r="O831" s="302">
        <f t="shared" si="359"/>
        <v>16.06688667000849</v>
      </c>
    </row>
    <row r="832" spans="1:15" s="236" customFormat="1" x14ac:dyDescent="0.3">
      <c r="A832" s="237" t="str">
        <f>name!E$11</f>
        <v>Process, plant and machine operatives</v>
      </c>
      <c r="B832" s="302">
        <v>0.54294003211720654</v>
      </c>
      <c r="C832" s="302">
        <v>7.8629593086394528E-2</v>
      </c>
      <c r="D832" s="302">
        <v>0.12629502814044719</v>
      </c>
      <c r="E832" s="302">
        <f t="shared" si="357"/>
        <v>0.74786465334404828</v>
      </c>
      <c r="F832" s="303"/>
      <c r="G832" s="302">
        <v>0.44157487387033628</v>
      </c>
      <c r="H832" s="302">
        <v>6.6709299671809011E-2</v>
      </c>
      <c r="I832" s="302">
        <v>9.5134957726062203E-2</v>
      </c>
      <c r="J832" s="302">
        <f t="shared" si="360"/>
        <v>0.60341913126820745</v>
      </c>
      <c r="K832" s="303"/>
      <c r="L832" s="302">
        <v>0.43785961528341932</v>
      </c>
      <c r="M832" s="302">
        <v>0.11335602687011768</v>
      </c>
      <c r="N832" s="302">
        <v>0.10356344058418109</v>
      </c>
      <c r="O832" s="302">
        <f t="shared" si="359"/>
        <v>0.65477908273771812</v>
      </c>
    </row>
    <row r="833" spans="1:15" s="236" customFormat="1" x14ac:dyDescent="0.3">
      <c r="A833" s="237" t="str">
        <f>name!E$12</f>
        <v>Elementary occupations</v>
      </c>
      <c r="B833" s="302">
        <v>1.2879534365297647</v>
      </c>
      <c r="C833" s="302">
        <v>0.38921462890455555</v>
      </c>
      <c r="D833" s="302">
        <v>0.13630017374411199</v>
      </c>
      <c r="E833" s="302">
        <f t="shared" si="357"/>
        <v>1.8134682391784323</v>
      </c>
      <c r="F833" s="303"/>
      <c r="G833" s="302">
        <v>1.0795607438203834</v>
      </c>
      <c r="H833" s="302">
        <v>0.27669184676907066</v>
      </c>
      <c r="I833" s="302">
        <v>0.12705885288918944</v>
      </c>
      <c r="J833" s="302">
        <f t="shared" si="360"/>
        <v>1.4833114434786434</v>
      </c>
      <c r="K833" s="303"/>
      <c r="L833" s="302">
        <v>0.94757642745284465</v>
      </c>
      <c r="M833" s="302">
        <v>0.22130581393382806</v>
      </c>
      <c r="N833" s="302">
        <v>0.11506900424414405</v>
      </c>
      <c r="O833" s="302">
        <f t="shared" si="359"/>
        <v>1.2839512456308166</v>
      </c>
    </row>
    <row r="834" spans="1:15" s="236" customFormat="1" x14ac:dyDescent="0.3">
      <c r="A834" s="237"/>
      <c r="B834" s="302"/>
      <c r="C834" s="302"/>
      <c r="D834" s="302"/>
      <c r="E834" s="302"/>
      <c r="F834" s="303"/>
      <c r="G834" s="302"/>
      <c r="H834" s="302"/>
      <c r="I834" s="302"/>
      <c r="J834" s="302"/>
      <c r="K834" s="303"/>
      <c r="L834" s="302"/>
      <c r="M834" s="302"/>
      <c r="N834" s="302"/>
      <c r="O834" s="302"/>
    </row>
    <row r="835" spans="1:15" s="236" customFormat="1" x14ac:dyDescent="0.3">
      <c r="A835" s="244" t="s">
        <v>32</v>
      </c>
      <c r="B835" s="311">
        <f>SUM(B825:B833)</f>
        <v>102.70599999886657</v>
      </c>
      <c r="C835" s="311">
        <f t="shared" ref="C835:E835" si="361">SUM(C825:C833)</f>
        <v>13.19800000005915</v>
      </c>
      <c r="D835" s="311">
        <f t="shared" si="361"/>
        <v>7.2800000000682639</v>
      </c>
      <c r="E835" s="311">
        <f t="shared" si="361"/>
        <v>123.18399999899403</v>
      </c>
      <c r="F835" s="311"/>
      <c r="G835" s="311">
        <f t="shared" ref="G835:J835" si="362">SUM(G825:G833)</f>
        <v>119.84199999924368</v>
      </c>
      <c r="H835" s="311">
        <f t="shared" si="362"/>
        <v>13.531000000035942</v>
      </c>
      <c r="I835" s="311">
        <f t="shared" si="362"/>
        <v>4.057000000030583</v>
      </c>
      <c r="J835" s="311">
        <f t="shared" si="362"/>
        <v>137.42999999931018</v>
      </c>
      <c r="K835" s="311"/>
      <c r="L835" s="311">
        <f t="shared" ref="L835:O835" si="363">SUM(L825:L833)</f>
        <v>116.69999999999132</v>
      </c>
      <c r="M835" s="311">
        <f t="shared" si="363"/>
        <v>13.247000000005507</v>
      </c>
      <c r="N835" s="311">
        <f t="shared" si="363"/>
        <v>2.9760000000323044</v>
      </c>
      <c r="O835" s="311">
        <f t="shared" si="363"/>
        <v>132.92300000002916</v>
      </c>
    </row>
    <row r="836" spans="1:15" s="236" customFormat="1" x14ac:dyDescent="0.3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40"/>
    </row>
    <row r="837" spans="1:15" s="236" customFormat="1" x14ac:dyDescent="0.3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40"/>
      <c r="O837" s="251" t="s">
        <v>35</v>
      </c>
    </row>
    <row r="838" spans="1:15" s="236" customFormat="1" x14ac:dyDescent="0.3">
      <c r="A838" s="242"/>
      <c r="B838" s="242"/>
      <c r="C838" s="242"/>
      <c r="D838" s="242"/>
      <c r="E838" s="242"/>
      <c r="F838" s="242"/>
      <c r="G838" s="242"/>
      <c r="H838" s="242"/>
      <c r="I838" s="242"/>
      <c r="J838" s="242"/>
      <c r="K838" s="242"/>
      <c r="L838" s="242"/>
      <c r="M838" s="242"/>
      <c r="N838" s="242"/>
      <c r="O838" s="242"/>
    </row>
    <row r="839" spans="1:15" s="236" customFormat="1" x14ac:dyDescent="0.3">
      <c r="A839" s="241" t="str">
        <f>name!A52</f>
        <v>Auxiliary financial services</v>
      </c>
      <c r="B839" s="375">
        <f>$B$6</f>
        <v>2015</v>
      </c>
      <c r="C839" s="375"/>
      <c r="D839" s="375"/>
      <c r="E839" s="375"/>
      <c r="F839" s="263"/>
      <c r="G839" s="375">
        <f>$G$6</f>
        <v>2020</v>
      </c>
      <c r="H839" s="375"/>
      <c r="I839" s="375"/>
      <c r="J839" s="375"/>
      <c r="K839" s="263"/>
      <c r="L839" s="375">
        <f>$L$6</f>
        <v>2035</v>
      </c>
      <c r="M839" s="375"/>
      <c r="N839" s="375"/>
      <c r="O839" s="375"/>
    </row>
    <row r="840" spans="1:15" s="236" customFormat="1" x14ac:dyDescent="0.3">
      <c r="A840" s="254"/>
      <c r="B840" s="268" t="str">
        <f>$B$7</f>
        <v>FT</v>
      </c>
      <c r="C840" s="268" t="str">
        <f>$C$7</f>
        <v>PT</v>
      </c>
      <c r="D840" s="268" t="str">
        <f>$D$7</f>
        <v>SE</v>
      </c>
      <c r="E840" s="268" t="str">
        <f>$E$7</f>
        <v>Total</v>
      </c>
      <c r="F840" s="268"/>
      <c r="G840" s="268" t="str">
        <f>$G$7</f>
        <v>FT</v>
      </c>
      <c r="H840" s="268" t="str">
        <f>$H$7</f>
        <v>PT</v>
      </c>
      <c r="I840" s="268" t="str">
        <f>$I$7</f>
        <v>SE</v>
      </c>
      <c r="J840" s="268" t="str">
        <f>$J$7</f>
        <v>Total</v>
      </c>
      <c r="K840" s="268"/>
      <c r="L840" s="268" t="str">
        <f>$L$7</f>
        <v>FT</v>
      </c>
      <c r="M840" s="268" t="str">
        <f>$M$7</f>
        <v>PT</v>
      </c>
      <c r="N840" s="268" t="str">
        <f>$N$7</f>
        <v>SE</v>
      </c>
      <c r="O840" s="268" t="str">
        <f>$O$7</f>
        <v>Total</v>
      </c>
    </row>
    <row r="841" spans="1:15" s="236" customFormat="1" x14ac:dyDescent="0.3">
      <c r="A841" s="258"/>
      <c r="B841" s="239"/>
      <c r="C841" s="239"/>
      <c r="D841" s="239"/>
      <c r="E841" s="239"/>
      <c r="F841" s="239"/>
      <c r="G841" s="239"/>
      <c r="H841" s="239"/>
      <c r="I841" s="239"/>
      <c r="J841" s="239"/>
      <c r="K841" s="239"/>
      <c r="L841" s="239"/>
      <c r="M841" s="239"/>
      <c r="N841" s="239"/>
      <c r="O841" s="239"/>
    </row>
    <row r="842" spans="1:15" s="236" customFormat="1" x14ac:dyDescent="0.3">
      <c r="A842" s="237" t="str">
        <f>name!E$4</f>
        <v>Managers, directors and senior officials</v>
      </c>
      <c r="B842" s="302">
        <v>63.455875323193645</v>
      </c>
      <c r="C842" s="302">
        <v>4.4617197780102273</v>
      </c>
      <c r="D842" s="302">
        <v>5.6758627307368936</v>
      </c>
      <c r="E842" s="302">
        <f>SUM(B842:D842)</f>
        <v>73.593457831940768</v>
      </c>
      <c r="F842" s="303"/>
      <c r="G842" s="302">
        <v>68.625433450125882</v>
      </c>
      <c r="H842" s="302">
        <v>6.730501158937197</v>
      </c>
      <c r="I842" s="302">
        <v>9.0722046129309462</v>
      </c>
      <c r="J842" s="302">
        <f>SUM(G842:I842)</f>
        <v>84.42813922199403</v>
      </c>
      <c r="K842" s="303"/>
      <c r="L842" s="302">
        <v>66.562544055869196</v>
      </c>
      <c r="M842" s="302">
        <v>7.7611869506187396</v>
      </c>
      <c r="N842" s="302">
        <v>10.80160365877016</v>
      </c>
      <c r="O842" s="302">
        <f>SUM(L842:N842)</f>
        <v>85.125334665258094</v>
      </c>
    </row>
    <row r="843" spans="1:15" s="236" customFormat="1" x14ac:dyDescent="0.3">
      <c r="A843" s="237" t="str">
        <f>name!E$5</f>
        <v>Professional occupations</v>
      </c>
      <c r="B843" s="302">
        <v>83.63659011348831</v>
      </c>
      <c r="C843" s="302">
        <v>4.2150088101628933</v>
      </c>
      <c r="D843" s="302">
        <v>8.1133768498118251</v>
      </c>
      <c r="E843" s="302">
        <f t="shared" ref="E843:E850" si="364">SUM(B843:D843)</f>
        <v>95.964975773463038</v>
      </c>
      <c r="F843" s="303"/>
      <c r="G843" s="302">
        <v>106.90436606080291</v>
      </c>
      <c r="H843" s="302">
        <v>5.98019813515082</v>
      </c>
      <c r="I843" s="302">
        <v>11.532070739148461</v>
      </c>
      <c r="J843" s="302">
        <f t="shared" ref="J843:J845" si="365">SUM(G843:I843)</f>
        <v>124.41663493510219</v>
      </c>
      <c r="K843" s="303"/>
      <c r="L843" s="302">
        <v>127.55928607393216</v>
      </c>
      <c r="M843" s="302">
        <v>6.926219469683919</v>
      </c>
      <c r="N843" s="302">
        <v>12.975376442527411</v>
      </c>
      <c r="O843" s="302">
        <f t="shared" ref="O843:O850" si="366">SUM(L843:N843)</f>
        <v>147.46088198614351</v>
      </c>
    </row>
    <row r="844" spans="1:15" s="236" customFormat="1" x14ac:dyDescent="0.3">
      <c r="A844" s="237" t="str">
        <f>name!E$6</f>
        <v>Associate professional occupations</v>
      </c>
      <c r="B844" s="302">
        <v>111.51451276188983</v>
      </c>
      <c r="C844" s="302">
        <v>8.7679211285066128</v>
      </c>
      <c r="D844" s="302">
        <v>14.727195445178694</v>
      </c>
      <c r="E844" s="302">
        <f t="shared" si="364"/>
        <v>135.00962933557514</v>
      </c>
      <c r="F844" s="303"/>
      <c r="G844" s="302">
        <v>120.72623974313278</v>
      </c>
      <c r="H844" s="302">
        <v>9.7418669499320387</v>
      </c>
      <c r="I844" s="302">
        <v>18.960623203335121</v>
      </c>
      <c r="J844" s="302">
        <f t="shared" si="365"/>
        <v>149.42872989639994</v>
      </c>
      <c r="K844" s="303"/>
      <c r="L844" s="302">
        <v>113.87992757248875</v>
      </c>
      <c r="M844" s="302">
        <v>10.625982916229125</v>
      </c>
      <c r="N844" s="302">
        <v>18.869460837645285</v>
      </c>
      <c r="O844" s="302">
        <f t="shared" si="366"/>
        <v>143.37537132636317</v>
      </c>
    </row>
    <row r="845" spans="1:15" s="236" customFormat="1" x14ac:dyDescent="0.3">
      <c r="A845" s="237" t="str">
        <f>name!E$7</f>
        <v>Administrative and secretarial occupations</v>
      </c>
      <c r="B845" s="302">
        <v>79.57556602719491</v>
      </c>
      <c r="C845" s="302">
        <v>24.202569633186517</v>
      </c>
      <c r="D845" s="302">
        <v>3.9587622837664842</v>
      </c>
      <c r="E845" s="302">
        <f t="shared" si="364"/>
        <v>107.73689794414791</v>
      </c>
      <c r="F845" s="303"/>
      <c r="G845" s="302">
        <v>74.927862281416836</v>
      </c>
      <c r="H845" s="302">
        <v>23.833249069704753</v>
      </c>
      <c r="I845" s="302">
        <v>4.3561071391140542</v>
      </c>
      <c r="J845" s="302">
        <f t="shared" si="365"/>
        <v>103.11721849023564</v>
      </c>
      <c r="K845" s="303"/>
      <c r="L845" s="302">
        <v>53.95408339142741</v>
      </c>
      <c r="M845" s="302">
        <v>18.2783555359057</v>
      </c>
      <c r="N845" s="302">
        <v>3.6043881683959329</v>
      </c>
      <c r="O845" s="302">
        <f t="shared" si="366"/>
        <v>75.836827095729035</v>
      </c>
    </row>
    <row r="846" spans="1:15" s="236" customFormat="1" x14ac:dyDescent="0.3">
      <c r="A846" s="237" t="str">
        <f>name!E$8</f>
        <v>Skilled trades occupations</v>
      </c>
      <c r="B846" s="302">
        <v>4.3315187019105634</v>
      </c>
      <c r="C846" s="302">
        <v>1.4284702275611423</v>
      </c>
      <c r="D846" s="302">
        <v>2.4496349231952999</v>
      </c>
      <c r="E846" s="302">
        <f t="shared" si="364"/>
        <v>8.209623852667006</v>
      </c>
      <c r="F846" s="303"/>
      <c r="G846" s="302">
        <v>3.3988159039909602</v>
      </c>
      <c r="H846" s="302">
        <v>1.0052611199657</v>
      </c>
      <c r="I846" s="302">
        <v>2.3294031192008933</v>
      </c>
      <c r="J846" s="302">
        <f>SUM(G846:I846)</f>
        <v>6.7334801431575535</v>
      </c>
      <c r="K846" s="303"/>
      <c r="L846" s="302">
        <v>3.2082201833991202</v>
      </c>
      <c r="M846" s="302">
        <v>0.96597772609768873</v>
      </c>
      <c r="N846" s="302">
        <v>2.6660314101436073</v>
      </c>
      <c r="O846" s="302">
        <f t="shared" si="366"/>
        <v>6.8402293196404163</v>
      </c>
    </row>
    <row r="847" spans="1:15" s="236" customFormat="1" x14ac:dyDescent="0.3">
      <c r="A847" s="237" t="str">
        <f>name!E$9</f>
        <v>Caring, leisure and other service occupations</v>
      </c>
      <c r="B847" s="302">
        <v>1.5363020123181819</v>
      </c>
      <c r="C847" s="302">
        <v>0.33628459980794595</v>
      </c>
      <c r="D847" s="302">
        <v>1.3926672505427862</v>
      </c>
      <c r="E847" s="302">
        <f t="shared" si="364"/>
        <v>3.265253862668914</v>
      </c>
      <c r="F847" s="303"/>
      <c r="G847" s="302">
        <v>1.4150864694940803</v>
      </c>
      <c r="H847" s="302">
        <v>0.30971388022514973</v>
      </c>
      <c r="I847" s="302">
        <v>1.6988388080968866</v>
      </c>
      <c r="J847" s="302">
        <f t="shared" ref="J847:J850" si="367">SUM(G847:I847)</f>
        <v>3.4236391578161167</v>
      </c>
      <c r="K847" s="303"/>
      <c r="L847" s="302">
        <v>1.6854577478836728</v>
      </c>
      <c r="M847" s="302">
        <v>0.25481835819389237</v>
      </c>
      <c r="N847" s="302">
        <v>2.5454140470068904</v>
      </c>
      <c r="O847" s="302">
        <f t="shared" si="366"/>
        <v>4.4856901530844553</v>
      </c>
    </row>
    <row r="848" spans="1:15" s="236" customFormat="1" x14ac:dyDescent="0.3">
      <c r="A848" s="237" t="str">
        <f>name!E$10</f>
        <v>Sales and customer service occupations</v>
      </c>
      <c r="B848" s="302">
        <v>18.041955150962078</v>
      </c>
      <c r="C848" s="302">
        <v>5.1481902024009196</v>
      </c>
      <c r="D848" s="302">
        <v>2.2883995599780773</v>
      </c>
      <c r="E848" s="302">
        <f t="shared" si="364"/>
        <v>25.478544913341075</v>
      </c>
      <c r="F848" s="303"/>
      <c r="G848" s="302">
        <v>16.800505071082256</v>
      </c>
      <c r="H848" s="302">
        <v>5.7914528884259289</v>
      </c>
      <c r="I848" s="302">
        <v>2.2143017117502701</v>
      </c>
      <c r="J848" s="302">
        <f t="shared" si="367"/>
        <v>24.806259671258456</v>
      </c>
      <c r="K848" s="303"/>
      <c r="L848" s="302">
        <v>18.500362583756583</v>
      </c>
      <c r="M848" s="302">
        <v>7.2306784040000913</v>
      </c>
      <c r="N848" s="302">
        <v>2.0347503086937282</v>
      </c>
      <c r="O848" s="302">
        <f t="shared" si="366"/>
        <v>27.765791296450402</v>
      </c>
    </row>
    <row r="849" spans="1:15" s="236" customFormat="1" x14ac:dyDescent="0.3">
      <c r="A849" s="237" t="str">
        <f>name!E$11</f>
        <v>Process, plant and machine operatives</v>
      </c>
      <c r="B849" s="302">
        <v>2.5558251331396487</v>
      </c>
      <c r="C849" s="302">
        <v>0.35783627427812204</v>
      </c>
      <c r="D849" s="302">
        <v>1.4250705256852083</v>
      </c>
      <c r="E849" s="302">
        <f t="shared" si="364"/>
        <v>4.338731933102979</v>
      </c>
      <c r="F849" s="303"/>
      <c r="G849" s="302">
        <v>1.9017997627813994</v>
      </c>
      <c r="H849" s="302">
        <v>0.27352087689431892</v>
      </c>
      <c r="I849" s="302">
        <v>2.3324217902464648</v>
      </c>
      <c r="J849" s="302">
        <f t="shared" si="367"/>
        <v>4.5077424299221835</v>
      </c>
      <c r="K849" s="303"/>
      <c r="L849" s="302">
        <v>2.2519200444676373</v>
      </c>
      <c r="M849" s="302">
        <v>0.55896131961082929</v>
      </c>
      <c r="N849" s="302">
        <v>3.6668177382952445</v>
      </c>
      <c r="O849" s="302">
        <f t="shared" si="366"/>
        <v>6.4776991023737107</v>
      </c>
    </row>
    <row r="850" spans="1:15" s="236" customFormat="1" x14ac:dyDescent="0.3">
      <c r="A850" s="237" t="str">
        <f>name!E$12</f>
        <v>Elementary occupations</v>
      </c>
      <c r="B850" s="302">
        <v>5.136854770648192</v>
      </c>
      <c r="C850" s="302">
        <v>1.572999346234996</v>
      </c>
      <c r="D850" s="302">
        <v>1.4430304315752991</v>
      </c>
      <c r="E850" s="302">
        <f t="shared" si="364"/>
        <v>8.152884548458486</v>
      </c>
      <c r="F850" s="303"/>
      <c r="G850" s="302">
        <v>3.8218912554057636</v>
      </c>
      <c r="H850" s="302">
        <v>1.2802359208675353</v>
      </c>
      <c r="I850" s="302">
        <v>1.226028876737691</v>
      </c>
      <c r="J850" s="302">
        <f t="shared" si="367"/>
        <v>6.3281560530109902</v>
      </c>
      <c r="K850" s="303"/>
      <c r="L850" s="302">
        <v>3.440198347672411</v>
      </c>
      <c r="M850" s="302">
        <v>0.99281931958179304</v>
      </c>
      <c r="N850" s="302">
        <v>1.7051573900462815</v>
      </c>
      <c r="O850" s="302">
        <f t="shared" si="366"/>
        <v>6.1381750573004856</v>
      </c>
    </row>
    <row r="851" spans="1:15" s="236" customFormat="1" x14ac:dyDescent="0.3">
      <c r="A851" s="237"/>
      <c r="B851" s="302"/>
      <c r="C851" s="302"/>
      <c r="D851" s="302"/>
      <c r="E851" s="302"/>
      <c r="F851" s="303"/>
      <c r="G851" s="302"/>
      <c r="H851" s="302"/>
      <c r="I851" s="302"/>
      <c r="J851" s="302"/>
      <c r="K851" s="303"/>
      <c r="L851" s="302"/>
      <c r="M851" s="302"/>
      <c r="N851" s="302"/>
      <c r="O851" s="302"/>
    </row>
    <row r="852" spans="1:15" s="236" customFormat="1" x14ac:dyDescent="0.3">
      <c r="A852" s="244" t="s">
        <v>32</v>
      </c>
      <c r="B852" s="311">
        <f>SUM(B842:B850)</f>
        <v>369.78499999474531</v>
      </c>
      <c r="C852" s="311">
        <f t="shared" ref="C852:E852" si="368">SUM(C842:C850)</f>
        <v>50.49100000014937</v>
      </c>
      <c r="D852" s="311">
        <f t="shared" si="368"/>
        <v>41.474000000470561</v>
      </c>
      <c r="E852" s="311">
        <f t="shared" si="368"/>
        <v>461.74999999536533</v>
      </c>
      <c r="F852" s="311"/>
      <c r="G852" s="311">
        <f t="shared" ref="G852:J852" si="369">SUM(G842:G850)</f>
        <v>398.5219999982329</v>
      </c>
      <c r="H852" s="311">
        <f t="shared" si="369"/>
        <v>54.946000000103439</v>
      </c>
      <c r="I852" s="311">
        <f t="shared" si="369"/>
        <v>53.722000000560783</v>
      </c>
      <c r="J852" s="311">
        <f t="shared" si="369"/>
        <v>507.18999999889712</v>
      </c>
      <c r="K852" s="311"/>
      <c r="L852" s="311">
        <f t="shared" ref="L852:O852" si="370">SUM(L842:L850)</f>
        <v>391.04200000089691</v>
      </c>
      <c r="M852" s="311">
        <f t="shared" si="370"/>
        <v>53.594999999921789</v>
      </c>
      <c r="N852" s="311">
        <f t="shared" si="370"/>
        <v>58.869000001524554</v>
      </c>
      <c r="O852" s="311">
        <f t="shared" si="370"/>
        <v>503.50600000234334</v>
      </c>
    </row>
    <row r="853" spans="1:15" s="236" customFormat="1" x14ac:dyDescent="0.3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40"/>
    </row>
    <row r="854" spans="1:15" s="236" customFormat="1" x14ac:dyDescent="0.3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40"/>
      <c r="O854" s="251" t="s">
        <v>35</v>
      </c>
    </row>
    <row r="855" spans="1:15" s="236" customFormat="1" x14ac:dyDescent="0.3">
      <c r="A855" s="242"/>
      <c r="B855" s="242"/>
      <c r="C855" s="242"/>
      <c r="D855" s="242"/>
      <c r="E855" s="242"/>
      <c r="F855" s="242"/>
      <c r="G855" s="242"/>
      <c r="H855" s="242"/>
      <c r="I855" s="242"/>
      <c r="J855" s="242"/>
      <c r="K855" s="242"/>
      <c r="L855" s="242"/>
      <c r="M855" s="242"/>
      <c r="N855" s="242"/>
      <c r="O855" s="242"/>
    </row>
    <row r="856" spans="1:15" s="236" customFormat="1" x14ac:dyDescent="0.3">
      <c r="A856" s="241" t="str">
        <f>name!A53</f>
        <v>Real estate</v>
      </c>
      <c r="B856" s="375">
        <f>$B$6</f>
        <v>2015</v>
      </c>
      <c r="C856" s="375"/>
      <c r="D856" s="375"/>
      <c r="E856" s="375"/>
      <c r="F856" s="263"/>
      <c r="G856" s="375">
        <f>$G$6</f>
        <v>2020</v>
      </c>
      <c r="H856" s="375"/>
      <c r="I856" s="375"/>
      <c r="J856" s="375"/>
      <c r="K856" s="263"/>
      <c r="L856" s="375">
        <f>$L$6</f>
        <v>2035</v>
      </c>
      <c r="M856" s="375"/>
      <c r="N856" s="375"/>
      <c r="O856" s="375"/>
    </row>
    <row r="857" spans="1:15" s="236" customFormat="1" x14ac:dyDescent="0.3">
      <c r="A857" s="254"/>
      <c r="B857" s="268" t="str">
        <f>$B$7</f>
        <v>FT</v>
      </c>
      <c r="C857" s="268" t="str">
        <f>$C$7</f>
        <v>PT</v>
      </c>
      <c r="D857" s="268" t="str">
        <f>$D$7</f>
        <v>SE</v>
      </c>
      <c r="E857" s="268" t="str">
        <f>$E$7</f>
        <v>Total</v>
      </c>
      <c r="F857" s="268"/>
      <c r="G857" s="268" t="str">
        <f>$G$7</f>
        <v>FT</v>
      </c>
      <c r="H857" s="268" t="str">
        <f>$H$7</f>
        <v>PT</v>
      </c>
      <c r="I857" s="268" t="str">
        <f>$I$7</f>
        <v>SE</v>
      </c>
      <c r="J857" s="268" t="str">
        <f>$J$7</f>
        <v>Total</v>
      </c>
      <c r="K857" s="268"/>
      <c r="L857" s="268" t="str">
        <f>$L$7</f>
        <v>FT</v>
      </c>
      <c r="M857" s="268" t="str">
        <f>$M$7</f>
        <v>PT</v>
      </c>
      <c r="N857" s="268" t="str">
        <f>$N$7</f>
        <v>SE</v>
      </c>
      <c r="O857" s="268" t="str">
        <f>$O$7</f>
        <v>Total</v>
      </c>
    </row>
    <row r="858" spans="1:15" s="236" customFormat="1" x14ac:dyDescent="0.3">
      <c r="A858" s="258"/>
      <c r="B858" s="239"/>
      <c r="C858" s="239"/>
      <c r="D858" s="239"/>
      <c r="E858" s="239"/>
      <c r="F858" s="239"/>
      <c r="G858" s="239"/>
      <c r="H858" s="239"/>
      <c r="I858" s="239"/>
      <c r="J858" s="239"/>
      <c r="K858" s="239"/>
      <c r="L858" s="239"/>
      <c r="M858" s="239"/>
      <c r="N858" s="239"/>
      <c r="O858" s="239"/>
    </row>
    <row r="859" spans="1:15" s="236" customFormat="1" x14ac:dyDescent="0.3">
      <c r="A859" s="237" t="str">
        <f>name!E$4</f>
        <v>Managers, directors and senior officials</v>
      </c>
      <c r="B859" s="302">
        <v>68.9470547565939</v>
      </c>
      <c r="C859" s="302">
        <v>14.953743304637369</v>
      </c>
      <c r="D859" s="302">
        <v>27.440904065631816</v>
      </c>
      <c r="E859" s="302">
        <f>SUM(B859:D859)</f>
        <v>111.34170212686308</v>
      </c>
      <c r="F859" s="303"/>
      <c r="G859" s="302">
        <v>87.951407865330978</v>
      </c>
      <c r="H859" s="302">
        <v>21.380583532877733</v>
      </c>
      <c r="I859" s="302">
        <v>29.51797339067112</v>
      </c>
      <c r="J859" s="302">
        <f>SUM(G859:I859)</f>
        <v>138.84996478887984</v>
      </c>
      <c r="K859" s="303"/>
      <c r="L859" s="302">
        <v>100.57479631376536</v>
      </c>
      <c r="M859" s="302">
        <v>23.846193573300582</v>
      </c>
      <c r="N859" s="302">
        <v>34.526361292344433</v>
      </c>
      <c r="O859" s="302">
        <f>SUM(L859:N859)</f>
        <v>158.94735117941036</v>
      </c>
    </row>
    <row r="860" spans="1:15" s="236" customFormat="1" x14ac:dyDescent="0.3">
      <c r="A860" s="237" t="str">
        <f>name!E$5</f>
        <v>Professional occupations</v>
      </c>
      <c r="B860" s="302">
        <v>73.147663637071247</v>
      </c>
      <c r="C860" s="302">
        <v>12.782223769604244</v>
      </c>
      <c r="D860" s="302">
        <v>8.7427100032205676</v>
      </c>
      <c r="E860" s="302">
        <f t="shared" ref="E860:E867" si="371">SUM(B860:D860)</f>
        <v>94.672597409896056</v>
      </c>
      <c r="F860" s="303"/>
      <c r="G860" s="302">
        <v>105.69696730777888</v>
      </c>
      <c r="H860" s="302">
        <v>18.303368363873226</v>
      </c>
      <c r="I860" s="302">
        <v>8.0236914632279923</v>
      </c>
      <c r="J860" s="302">
        <f t="shared" ref="J860:J862" si="372">SUM(G860:I860)</f>
        <v>132.0240271348801</v>
      </c>
      <c r="K860" s="303"/>
      <c r="L860" s="302">
        <v>123.65026659654623</v>
      </c>
      <c r="M860" s="302">
        <v>20.146698995091487</v>
      </c>
      <c r="N860" s="302">
        <v>5.9081141176702152</v>
      </c>
      <c r="O860" s="302">
        <f t="shared" ref="O860:O867" si="373">SUM(L860:N860)</f>
        <v>149.70507970930794</v>
      </c>
    </row>
    <row r="861" spans="1:15" s="236" customFormat="1" x14ac:dyDescent="0.3">
      <c r="A861" s="237" t="str">
        <f>name!E$6</f>
        <v>Associate professional occupations</v>
      </c>
      <c r="B861" s="302">
        <v>64.671273020328215</v>
      </c>
      <c r="C861" s="302">
        <v>15.623767914818236</v>
      </c>
      <c r="D861" s="302">
        <v>7.4453117456570901</v>
      </c>
      <c r="E861" s="302">
        <f t="shared" si="371"/>
        <v>87.740352680803539</v>
      </c>
      <c r="F861" s="303"/>
      <c r="G861" s="302">
        <v>84.34648883343894</v>
      </c>
      <c r="H861" s="302">
        <v>19.594465756239622</v>
      </c>
      <c r="I861" s="302">
        <v>6.2672079295543472</v>
      </c>
      <c r="J861" s="302">
        <f t="shared" si="372"/>
        <v>110.20816251923291</v>
      </c>
      <c r="K861" s="303"/>
      <c r="L861" s="302">
        <v>87.251959545486045</v>
      </c>
      <c r="M861" s="302">
        <v>18.236398999838539</v>
      </c>
      <c r="N861" s="302">
        <v>5.083455136345898</v>
      </c>
      <c r="O861" s="302">
        <f t="shared" si="373"/>
        <v>110.57181368167049</v>
      </c>
    </row>
    <row r="862" spans="1:15" s="236" customFormat="1" x14ac:dyDescent="0.3">
      <c r="A862" s="237" t="str">
        <f>name!E$7</f>
        <v>Administrative and secretarial occupations</v>
      </c>
      <c r="B862" s="302">
        <v>56.159393908753394</v>
      </c>
      <c r="C862" s="302">
        <v>49.458801821715213</v>
      </c>
      <c r="D862" s="302">
        <v>4.9170709400782942</v>
      </c>
      <c r="E862" s="302">
        <f t="shared" si="371"/>
        <v>110.5352666705469</v>
      </c>
      <c r="F862" s="303"/>
      <c r="G862" s="302">
        <v>61.801361479842832</v>
      </c>
      <c r="H862" s="302">
        <v>44.43308616080509</v>
      </c>
      <c r="I862" s="302">
        <v>4.3297308669228487</v>
      </c>
      <c r="J862" s="302">
        <f t="shared" si="372"/>
        <v>110.56417850757076</v>
      </c>
      <c r="K862" s="303"/>
      <c r="L862" s="302">
        <v>51.61724045041192</v>
      </c>
      <c r="M862" s="302">
        <v>35.365431049839991</v>
      </c>
      <c r="N862" s="302">
        <v>4.3302814740778945</v>
      </c>
      <c r="O862" s="302">
        <f t="shared" si="373"/>
        <v>91.312952974329804</v>
      </c>
    </row>
    <row r="863" spans="1:15" s="236" customFormat="1" x14ac:dyDescent="0.3">
      <c r="A863" s="237" t="str">
        <f>name!E$8</f>
        <v>Skilled trades occupations</v>
      </c>
      <c r="B863" s="302">
        <v>22.601653824020534</v>
      </c>
      <c r="C863" s="302">
        <v>3.8201821071141322</v>
      </c>
      <c r="D863" s="302">
        <v>17.094335489523729</v>
      </c>
      <c r="E863" s="302">
        <f t="shared" si="371"/>
        <v>43.516171420658395</v>
      </c>
      <c r="F863" s="303"/>
      <c r="G863" s="302">
        <v>21.753341627640289</v>
      </c>
      <c r="H863" s="302">
        <v>3.5414386259141222</v>
      </c>
      <c r="I863" s="302">
        <v>13.720385619145034</v>
      </c>
      <c r="J863" s="302">
        <f>SUM(G863:I863)</f>
        <v>39.015165872699441</v>
      </c>
      <c r="K863" s="303"/>
      <c r="L863" s="302">
        <v>25.91397635931223</v>
      </c>
      <c r="M863" s="302">
        <v>5.6921726810507804</v>
      </c>
      <c r="N863" s="302">
        <v>16.458224271606774</v>
      </c>
      <c r="O863" s="302">
        <f t="shared" si="373"/>
        <v>48.064373311969788</v>
      </c>
    </row>
    <row r="864" spans="1:15" s="236" customFormat="1" x14ac:dyDescent="0.3">
      <c r="A864" s="237" t="str">
        <f>name!E$9</f>
        <v>Caring, leisure and other service occupations</v>
      </c>
      <c r="B864" s="302">
        <v>10.281955847113036</v>
      </c>
      <c r="C864" s="302">
        <v>5.2904896841731786</v>
      </c>
      <c r="D864" s="302">
        <v>2.8924220275256634</v>
      </c>
      <c r="E864" s="302">
        <f t="shared" si="371"/>
        <v>18.464867558811875</v>
      </c>
      <c r="F864" s="303"/>
      <c r="G864" s="302">
        <v>11.452944395150045</v>
      </c>
      <c r="H864" s="302">
        <v>4.9650091695854419</v>
      </c>
      <c r="I864" s="302">
        <v>2.6591464715800148</v>
      </c>
      <c r="J864" s="302">
        <f t="shared" ref="J864:J867" si="374">SUM(G864:I864)</f>
        <v>19.077100036315503</v>
      </c>
      <c r="K864" s="303"/>
      <c r="L864" s="302">
        <v>13.033958921106887</v>
      </c>
      <c r="M864" s="302">
        <v>4.4988846470275119</v>
      </c>
      <c r="N864" s="302">
        <v>4.6933140290557915</v>
      </c>
      <c r="O864" s="302">
        <f t="shared" si="373"/>
        <v>22.226157597190191</v>
      </c>
    </row>
    <row r="865" spans="1:15" s="236" customFormat="1" x14ac:dyDescent="0.3">
      <c r="A865" s="237" t="str">
        <f>name!E$10</f>
        <v>Sales and customer service occupations</v>
      </c>
      <c r="B865" s="302">
        <v>40.595965014214272</v>
      </c>
      <c r="C865" s="302">
        <v>19.517702608710636</v>
      </c>
      <c r="D865" s="302">
        <v>7.3000083836055181</v>
      </c>
      <c r="E865" s="302">
        <f t="shared" si="371"/>
        <v>67.413676006530423</v>
      </c>
      <c r="F865" s="303"/>
      <c r="G865" s="302">
        <v>39.94035698230995</v>
      </c>
      <c r="H865" s="302">
        <v>18.038102103346922</v>
      </c>
      <c r="I865" s="302">
        <v>5.7292494168700934</v>
      </c>
      <c r="J865" s="302">
        <f t="shared" si="374"/>
        <v>63.70770850252697</v>
      </c>
      <c r="K865" s="303"/>
      <c r="L865" s="302">
        <v>41.235415701565188</v>
      </c>
      <c r="M865" s="302">
        <v>18.000611625051658</v>
      </c>
      <c r="N865" s="302">
        <v>4.9524512912679075</v>
      </c>
      <c r="O865" s="302">
        <f t="shared" si="373"/>
        <v>64.188478617884755</v>
      </c>
    </row>
    <row r="866" spans="1:15" s="236" customFormat="1" x14ac:dyDescent="0.3">
      <c r="A866" s="237" t="str">
        <f>name!E$11</f>
        <v>Process, plant and machine operatives</v>
      </c>
      <c r="B866" s="302">
        <v>6.8439417958983171</v>
      </c>
      <c r="C866" s="302">
        <v>0.94283770420951785</v>
      </c>
      <c r="D866" s="302">
        <v>0.6637756677626494</v>
      </c>
      <c r="E866" s="302">
        <f t="shared" si="371"/>
        <v>8.4505551678704851</v>
      </c>
      <c r="F866" s="303"/>
      <c r="G866" s="302">
        <v>6.3121269401521527</v>
      </c>
      <c r="H866" s="302">
        <v>0.94274216956447521</v>
      </c>
      <c r="I866" s="302">
        <v>0.72833838981610743</v>
      </c>
      <c r="J866" s="302">
        <f t="shared" si="374"/>
        <v>7.9832074995327353</v>
      </c>
      <c r="K866" s="303"/>
      <c r="L866" s="302">
        <v>6.1764298456403273</v>
      </c>
      <c r="M866" s="302">
        <v>1.0582100756062316</v>
      </c>
      <c r="N866" s="302">
        <v>1.0230783757663757</v>
      </c>
      <c r="O866" s="302">
        <f t="shared" si="373"/>
        <v>8.2577182970129339</v>
      </c>
    </row>
    <row r="867" spans="1:15" s="236" customFormat="1" x14ac:dyDescent="0.3">
      <c r="A867" s="237" t="str">
        <f>name!E$12</f>
        <v>Elementary occupations</v>
      </c>
      <c r="B867" s="302">
        <v>10.452098192970402</v>
      </c>
      <c r="C867" s="302">
        <v>9.8732510857771132</v>
      </c>
      <c r="D867" s="302">
        <v>5.5034616775788985</v>
      </c>
      <c r="E867" s="302">
        <f t="shared" si="371"/>
        <v>25.828810956326414</v>
      </c>
      <c r="F867" s="303"/>
      <c r="G867" s="302">
        <v>9.8350045664399346</v>
      </c>
      <c r="H867" s="302">
        <v>7.7092041183469711</v>
      </c>
      <c r="I867" s="302">
        <v>4.0252764515820267</v>
      </c>
      <c r="J867" s="302">
        <f t="shared" si="374"/>
        <v>21.569485136368932</v>
      </c>
      <c r="K867" s="303"/>
      <c r="L867" s="302">
        <v>8.8639562661909554</v>
      </c>
      <c r="M867" s="302">
        <v>4.4153983529484702</v>
      </c>
      <c r="N867" s="302">
        <v>5.660720012009814</v>
      </c>
      <c r="O867" s="302">
        <f t="shared" si="373"/>
        <v>18.940074631149241</v>
      </c>
    </row>
    <row r="868" spans="1:15" s="236" customFormat="1" x14ac:dyDescent="0.3">
      <c r="A868" s="237"/>
      <c r="B868" s="302"/>
      <c r="C868" s="302"/>
      <c r="D868" s="302"/>
      <c r="E868" s="302"/>
      <c r="F868" s="303"/>
      <c r="G868" s="302"/>
      <c r="H868" s="302"/>
      <c r="I868" s="302"/>
      <c r="J868" s="302"/>
      <c r="K868" s="303"/>
      <c r="L868" s="302"/>
      <c r="M868" s="302"/>
      <c r="N868" s="302"/>
      <c r="O868" s="302"/>
    </row>
    <row r="869" spans="1:15" s="236" customFormat="1" x14ac:dyDescent="0.3">
      <c r="A869" s="244" t="s">
        <v>32</v>
      </c>
      <c r="B869" s="311">
        <f>SUM(B859:B867)</f>
        <v>353.70099999696333</v>
      </c>
      <c r="C869" s="311">
        <f t="shared" ref="C869:E869" si="375">SUM(C859:C867)</f>
        <v>132.26300000075966</v>
      </c>
      <c r="D869" s="311">
        <f t="shared" si="375"/>
        <v>82.000000000584237</v>
      </c>
      <c r="E869" s="311">
        <f t="shared" si="375"/>
        <v>567.96399999830714</v>
      </c>
      <c r="F869" s="311"/>
      <c r="G869" s="311">
        <f t="shared" ref="G869:J869" si="376">SUM(G859:G867)</f>
        <v>429.08999999808401</v>
      </c>
      <c r="H869" s="311">
        <f t="shared" si="376"/>
        <v>138.90800000055361</v>
      </c>
      <c r="I869" s="311">
        <f t="shared" si="376"/>
        <v>75.000999999369583</v>
      </c>
      <c r="J869" s="311">
        <f t="shared" si="376"/>
        <v>642.99899999800721</v>
      </c>
      <c r="K869" s="311"/>
      <c r="L869" s="311">
        <f t="shared" ref="L869:O869" si="377">SUM(L859:L867)</f>
        <v>458.31800000002511</v>
      </c>
      <c r="M869" s="311">
        <f t="shared" si="377"/>
        <v>131.25999999975522</v>
      </c>
      <c r="N869" s="311">
        <f t="shared" si="377"/>
        <v>82.636000000145103</v>
      </c>
      <c r="O869" s="311">
        <f t="shared" si="377"/>
        <v>672.21399999992559</v>
      </c>
    </row>
    <row r="870" spans="1:15" s="236" customFormat="1" x14ac:dyDescent="0.3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40"/>
    </row>
    <row r="871" spans="1:15" s="236" customFormat="1" x14ac:dyDescent="0.3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40"/>
      <c r="O871" s="251" t="s">
        <v>35</v>
      </c>
    </row>
    <row r="872" spans="1:15" s="236" customFormat="1" x14ac:dyDescent="0.3">
      <c r="A872" s="242"/>
      <c r="B872" s="242"/>
      <c r="C872" s="242"/>
      <c r="D872" s="242"/>
      <c r="E872" s="242"/>
      <c r="F872" s="242"/>
      <c r="G872" s="242"/>
      <c r="H872" s="242"/>
      <c r="I872" s="242"/>
      <c r="J872" s="242"/>
      <c r="K872" s="242"/>
      <c r="L872" s="242"/>
      <c r="M872" s="242"/>
      <c r="N872" s="242"/>
      <c r="O872" s="242"/>
    </row>
    <row r="873" spans="1:15" s="236" customFormat="1" x14ac:dyDescent="0.3">
      <c r="A873" s="241" t="str">
        <f>name!A54</f>
        <v>Legal and accounting</v>
      </c>
      <c r="B873" s="375">
        <f>$B$6</f>
        <v>2015</v>
      </c>
      <c r="C873" s="375"/>
      <c r="D873" s="375"/>
      <c r="E873" s="375"/>
      <c r="F873" s="263"/>
      <c r="G873" s="375">
        <f>$G$6</f>
        <v>2020</v>
      </c>
      <c r="H873" s="375"/>
      <c r="I873" s="375"/>
      <c r="J873" s="375"/>
      <c r="K873" s="263"/>
      <c r="L873" s="375">
        <f>$L$6</f>
        <v>2035</v>
      </c>
      <c r="M873" s="375"/>
      <c r="N873" s="375"/>
      <c r="O873" s="375"/>
    </row>
    <row r="874" spans="1:15" s="236" customFormat="1" x14ac:dyDescent="0.3">
      <c r="A874" s="254"/>
      <c r="B874" s="268" t="str">
        <f>$B$7</f>
        <v>FT</v>
      </c>
      <c r="C874" s="268" t="str">
        <f>$C$7</f>
        <v>PT</v>
      </c>
      <c r="D874" s="268" t="str">
        <f>$D$7</f>
        <v>SE</v>
      </c>
      <c r="E874" s="268" t="str">
        <f>$E$7</f>
        <v>Total</v>
      </c>
      <c r="F874" s="268"/>
      <c r="G874" s="268" t="str">
        <f>$G$7</f>
        <v>FT</v>
      </c>
      <c r="H874" s="268" t="str">
        <f>$H$7</f>
        <v>PT</v>
      </c>
      <c r="I874" s="268" t="str">
        <f>$I$7</f>
        <v>SE</v>
      </c>
      <c r="J874" s="268" t="str">
        <f>$J$7</f>
        <v>Total</v>
      </c>
      <c r="K874" s="268"/>
      <c r="L874" s="268" t="str">
        <f>$L$7</f>
        <v>FT</v>
      </c>
      <c r="M874" s="268" t="str">
        <f>$M$7</f>
        <v>PT</v>
      </c>
      <c r="N874" s="268" t="str">
        <f>$N$7</f>
        <v>SE</v>
      </c>
      <c r="O874" s="268" t="str">
        <f>$O$7</f>
        <v>Total</v>
      </c>
    </row>
    <row r="875" spans="1:15" s="236" customFormat="1" x14ac:dyDescent="0.3">
      <c r="A875" s="258"/>
      <c r="B875" s="239"/>
      <c r="C875" s="239"/>
      <c r="D875" s="239"/>
      <c r="E875" s="239"/>
      <c r="F875" s="239"/>
      <c r="G875" s="239"/>
      <c r="H875" s="239"/>
      <c r="I875" s="239"/>
      <c r="J875" s="239"/>
      <c r="K875" s="239"/>
      <c r="L875" s="239"/>
      <c r="M875" s="239"/>
      <c r="N875" s="239"/>
      <c r="O875" s="239"/>
    </row>
    <row r="876" spans="1:15" s="236" customFormat="1" x14ac:dyDescent="0.3">
      <c r="A876" s="237" t="str">
        <f>name!E$4</f>
        <v>Managers, directors and senior officials</v>
      </c>
      <c r="B876" s="302">
        <v>63.898629196306459</v>
      </c>
      <c r="C876" s="302">
        <v>11.943517585171891</v>
      </c>
      <c r="D876" s="302">
        <v>16.624286895437169</v>
      </c>
      <c r="E876" s="302">
        <f>SUM(B876:D876)</f>
        <v>92.466433676915514</v>
      </c>
      <c r="F876" s="303"/>
      <c r="G876" s="302">
        <v>65.991401684120206</v>
      </c>
      <c r="H876" s="302">
        <v>20.883061846485976</v>
      </c>
      <c r="I876" s="302">
        <v>19.034010411617572</v>
      </c>
      <c r="J876" s="302">
        <f>SUM(G876:I876)</f>
        <v>105.90847394222375</v>
      </c>
      <c r="K876" s="303"/>
      <c r="L876" s="302">
        <v>73.636109620355441</v>
      </c>
      <c r="M876" s="302">
        <v>27.600646261078143</v>
      </c>
      <c r="N876" s="302">
        <v>22.311706899954903</v>
      </c>
      <c r="O876" s="302">
        <f>SUM(L876:N876)</f>
        <v>123.54846278138848</v>
      </c>
    </row>
    <row r="877" spans="1:15" s="236" customFormat="1" x14ac:dyDescent="0.3">
      <c r="A877" s="237" t="str">
        <f>name!E$5</f>
        <v>Professional occupations</v>
      </c>
      <c r="B877" s="302">
        <v>186.77865104823732</v>
      </c>
      <c r="C877" s="302">
        <v>23.423520426260772</v>
      </c>
      <c r="D877" s="302">
        <v>57.774497071481875</v>
      </c>
      <c r="E877" s="302">
        <f t="shared" ref="E877:E884" si="378">SUM(B877:D877)</f>
        <v>267.97666854597998</v>
      </c>
      <c r="F877" s="303"/>
      <c r="G877" s="302">
        <v>228.05107382721371</v>
      </c>
      <c r="H877" s="302">
        <v>39.558342008500873</v>
      </c>
      <c r="I877" s="302">
        <v>55.122261365186247</v>
      </c>
      <c r="J877" s="302">
        <f t="shared" ref="J877:J879" si="379">SUM(G877:I877)</f>
        <v>322.73167720090083</v>
      </c>
      <c r="K877" s="303"/>
      <c r="L877" s="302">
        <v>287.81022983988049</v>
      </c>
      <c r="M877" s="302">
        <v>52.120235626232272</v>
      </c>
      <c r="N877" s="302">
        <v>55.314477697403333</v>
      </c>
      <c r="O877" s="302">
        <f t="shared" ref="O877:O884" si="380">SUM(L877:N877)</f>
        <v>395.2449431635161</v>
      </c>
    </row>
    <row r="878" spans="1:15" s="236" customFormat="1" x14ac:dyDescent="0.3">
      <c r="A878" s="237" t="str">
        <f>name!E$6</f>
        <v>Associate professional occupations</v>
      </c>
      <c r="B878" s="302">
        <v>98.911656363447165</v>
      </c>
      <c r="C878" s="302">
        <v>18.512944889354475</v>
      </c>
      <c r="D878" s="302">
        <v>25.445585027771092</v>
      </c>
      <c r="E878" s="302">
        <f t="shared" si="378"/>
        <v>142.87018628057274</v>
      </c>
      <c r="F878" s="303"/>
      <c r="G878" s="302">
        <v>107.44069293087257</v>
      </c>
      <c r="H878" s="302">
        <v>26.230684577895719</v>
      </c>
      <c r="I878" s="302">
        <v>24.54717408899279</v>
      </c>
      <c r="J878" s="302">
        <f t="shared" si="379"/>
        <v>158.21855159776109</v>
      </c>
      <c r="K878" s="303"/>
      <c r="L878" s="302">
        <v>114.25867733913654</v>
      </c>
      <c r="M878" s="302">
        <v>30.639696962465635</v>
      </c>
      <c r="N878" s="302">
        <v>27.25110486535349</v>
      </c>
      <c r="O878" s="302">
        <f t="shared" si="380"/>
        <v>172.14947916695567</v>
      </c>
    </row>
    <row r="879" spans="1:15" s="236" customFormat="1" x14ac:dyDescent="0.3">
      <c r="A879" s="237" t="str">
        <f>name!E$7</f>
        <v>Administrative and secretarial occupations</v>
      </c>
      <c r="B879" s="302">
        <v>93.310393523987813</v>
      </c>
      <c r="C879" s="302">
        <v>55.342977869439252</v>
      </c>
      <c r="D879" s="302">
        <v>14.135356824790932</v>
      </c>
      <c r="E879" s="302">
        <f t="shared" si="378"/>
        <v>162.78872821821798</v>
      </c>
      <c r="F879" s="303"/>
      <c r="G879" s="302">
        <v>87.550539770213575</v>
      </c>
      <c r="H879" s="302">
        <v>67.379946407298817</v>
      </c>
      <c r="I879" s="302">
        <v>13.291747989898507</v>
      </c>
      <c r="J879" s="302">
        <f t="shared" si="379"/>
        <v>168.2222341674109</v>
      </c>
      <c r="K879" s="303"/>
      <c r="L879" s="302">
        <v>63.949573215008421</v>
      </c>
      <c r="M879" s="302">
        <v>63.913570399780113</v>
      </c>
      <c r="N879" s="302">
        <v>12.846937848740394</v>
      </c>
      <c r="O879" s="302">
        <f t="shared" si="380"/>
        <v>140.71008146352892</v>
      </c>
    </row>
    <row r="880" spans="1:15" s="236" customFormat="1" x14ac:dyDescent="0.3">
      <c r="A880" s="237" t="str">
        <f>name!E$8</f>
        <v>Skilled trades occupations</v>
      </c>
      <c r="B880" s="302">
        <v>12.530585331078557</v>
      </c>
      <c r="C880" s="302">
        <v>2.7489040139238399</v>
      </c>
      <c r="D880" s="302">
        <v>3.62177222864287</v>
      </c>
      <c r="E880" s="302">
        <f t="shared" si="378"/>
        <v>18.901261573645264</v>
      </c>
      <c r="F880" s="303"/>
      <c r="G880" s="302">
        <v>9.4512511302598075</v>
      </c>
      <c r="H880" s="302">
        <v>1.9900072538959157</v>
      </c>
      <c r="I880" s="302">
        <v>3.0973204610978105</v>
      </c>
      <c r="J880" s="302">
        <f>SUM(G880:I880)</f>
        <v>14.538578845253534</v>
      </c>
      <c r="K880" s="303"/>
      <c r="L880" s="302">
        <v>10.129579189056868</v>
      </c>
      <c r="M880" s="302">
        <v>3.1373750358374974</v>
      </c>
      <c r="N880" s="302">
        <v>4.2380183151681647</v>
      </c>
      <c r="O880" s="302">
        <f t="shared" si="380"/>
        <v>17.504972540062528</v>
      </c>
    </row>
    <row r="881" spans="1:15" s="236" customFormat="1" x14ac:dyDescent="0.3">
      <c r="A881" s="237" t="str">
        <f>name!E$9</f>
        <v>Caring, leisure and other service occupations</v>
      </c>
      <c r="B881" s="302">
        <v>1.6250645273230724</v>
      </c>
      <c r="C881" s="302">
        <v>0.55227445115062934</v>
      </c>
      <c r="D881" s="302">
        <v>1.4036579976073746</v>
      </c>
      <c r="E881" s="302">
        <f t="shared" si="378"/>
        <v>3.5809969760810763</v>
      </c>
      <c r="F881" s="303"/>
      <c r="G881" s="302">
        <v>1.4201847078862107</v>
      </c>
      <c r="H881" s="302">
        <v>0.60375191618802015</v>
      </c>
      <c r="I881" s="302">
        <v>1.4962408119818884</v>
      </c>
      <c r="J881" s="302">
        <f t="shared" ref="J881:J884" si="381">SUM(G881:I881)</f>
        <v>3.5201774360561195</v>
      </c>
      <c r="K881" s="303"/>
      <c r="L881" s="302">
        <v>1.5857600469864848</v>
      </c>
      <c r="M881" s="302">
        <v>0.60290804148559884</v>
      </c>
      <c r="N881" s="302">
        <v>2.8176812696411462</v>
      </c>
      <c r="O881" s="302">
        <f t="shared" si="380"/>
        <v>5.0063493581132299</v>
      </c>
    </row>
    <row r="882" spans="1:15" s="236" customFormat="1" x14ac:dyDescent="0.3">
      <c r="A882" s="237" t="str">
        <f>name!E$10</f>
        <v>Sales and customer service occupations</v>
      </c>
      <c r="B882" s="302">
        <v>18.242756363373374</v>
      </c>
      <c r="C882" s="302">
        <v>8.8987580839049016</v>
      </c>
      <c r="D882" s="302">
        <v>4.0193245354431459</v>
      </c>
      <c r="E882" s="302">
        <f t="shared" si="378"/>
        <v>31.160838982721422</v>
      </c>
      <c r="F882" s="303"/>
      <c r="G882" s="302">
        <v>16.237501774264757</v>
      </c>
      <c r="H882" s="302">
        <v>10.784859030641286</v>
      </c>
      <c r="I882" s="302">
        <v>2.7955878935202101</v>
      </c>
      <c r="J882" s="302">
        <f t="shared" si="381"/>
        <v>29.817948698426253</v>
      </c>
      <c r="K882" s="303"/>
      <c r="L882" s="302">
        <v>17.244531089550296</v>
      </c>
      <c r="M882" s="302">
        <v>13.50512410058548</v>
      </c>
      <c r="N882" s="302">
        <v>2.5254045974891093</v>
      </c>
      <c r="O882" s="302">
        <f t="shared" si="380"/>
        <v>33.275059787624883</v>
      </c>
    </row>
    <row r="883" spans="1:15" s="236" customFormat="1" x14ac:dyDescent="0.3">
      <c r="A883" s="237" t="str">
        <f>name!E$11</f>
        <v>Process, plant and machine operatives</v>
      </c>
      <c r="B883" s="302">
        <v>4.5508726053927093</v>
      </c>
      <c r="C883" s="302">
        <v>2.007348776665383</v>
      </c>
      <c r="D883" s="302">
        <v>1.1290274919338776</v>
      </c>
      <c r="E883" s="302">
        <f t="shared" si="378"/>
        <v>7.6872488739919698</v>
      </c>
      <c r="F883" s="303"/>
      <c r="G883" s="302">
        <v>3.1282818741738039</v>
      </c>
      <c r="H883" s="302">
        <v>2.085121743681253</v>
      </c>
      <c r="I883" s="302">
        <v>1.2281623525241609</v>
      </c>
      <c r="J883" s="302">
        <f t="shared" si="381"/>
        <v>6.4415659703792185</v>
      </c>
      <c r="K883" s="303"/>
      <c r="L883" s="302">
        <v>3.3182782431375704</v>
      </c>
      <c r="M883" s="302">
        <v>3.1892755249684024</v>
      </c>
      <c r="N883" s="302">
        <v>1.8026495754021921</v>
      </c>
      <c r="O883" s="302">
        <f t="shared" si="380"/>
        <v>8.3102033435081655</v>
      </c>
    </row>
    <row r="884" spans="1:15" s="236" customFormat="1" x14ac:dyDescent="0.3">
      <c r="A884" s="237" t="str">
        <f>name!E$12</f>
        <v>Elementary occupations</v>
      </c>
      <c r="B884" s="302">
        <v>7.1913910307062912</v>
      </c>
      <c r="C884" s="302">
        <v>4.4907539034147357</v>
      </c>
      <c r="D884" s="302">
        <v>1.8474919277763786</v>
      </c>
      <c r="E884" s="302">
        <f t="shared" si="378"/>
        <v>13.529636861897405</v>
      </c>
      <c r="F884" s="303"/>
      <c r="G884" s="302">
        <v>5.8230722964822643</v>
      </c>
      <c r="H884" s="302">
        <v>4.3852252153482505</v>
      </c>
      <c r="I884" s="302">
        <v>1.3894946260471792</v>
      </c>
      <c r="J884" s="302">
        <f t="shared" si="381"/>
        <v>11.597792137877695</v>
      </c>
      <c r="K884" s="303"/>
      <c r="L884" s="302">
        <v>5.1812614176040066</v>
      </c>
      <c r="M884" s="302">
        <v>3.8031680485323069</v>
      </c>
      <c r="N884" s="302">
        <v>2.267018934583759</v>
      </c>
      <c r="O884" s="302">
        <f t="shared" si="380"/>
        <v>11.251448400720072</v>
      </c>
    </row>
    <row r="885" spans="1:15" s="236" customFormat="1" x14ac:dyDescent="0.3">
      <c r="A885" s="237"/>
      <c r="B885" s="302"/>
      <c r="C885" s="302"/>
      <c r="D885" s="302"/>
      <c r="E885" s="302"/>
      <c r="F885" s="303"/>
      <c r="G885" s="302"/>
      <c r="H885" s="302"/>
      <c r="I885" s="302"/>
      <c r="J885" s="302"/>
      <c r="K885" s="303"/>
      <c r="L885" s="302"/>
      <c r="M885" s="302"/>
      <c r="N885" s="302"/>
      <c r="O885" s="302"/>
    </row>
    <row r="886" spans="1:15" s="236" customFormat="1" x14ac:dyDescent="0.3">
      <c r="A886" s="244" t="s">
        <v>32</v>
      </c>
      <c r="B886" s="311">
        <f>SUM(B876:B884)</f>
        <v>487.03999998985279</v>
      </c>
      <c r="C886" s="311">
        <f t="shared" ref="C886:E886" si="382">SUM(C876:C884)</f>
        <v>127.92099999928588</v>
      </c>
      <c r="D886" s="311">
        <f t="shared" si="382"/>
        <v>126.0010000008847</v>
      </c>
      <c r="E886" s="311">
        <f t="shared" si="382"/>
        <v>740.9619999900234</v>
      </c>
      <c r="F886" s="311"/>
      <c r="G886" s="311">
        <f t="shared" ref="G886:J886" si="383">SUM(G876:G884)</f>
        <v>525.09399999548691</v>
      </c>
      <c r="H886" s="311">
        <f t="shared" si="383"/>
        <v>173.90099999993609</v>
      </c>
      <c r="I886" s="311">
        <f t="shared" si="383"/>
        <v>122.00200000086637</v>
      </c>
      <c r="J886" s="311">
        <f t="shared" si="383"/>
        <v>820.99699999628922</v>
      </c>
      <c r="K886" s="311"/>
      <c r="L886" s="311">
        <f t="shared" ref="L886:O886" si="384">SUM(L876:L884)</f>
        <v>577.11400000071603</v>
      </c>
      <c r="M886" s="311">
        <f t="shared" si="384"/>
        <v>198.51200000096543</v>
      </c>
      <c r="N886" s="311">
        <f t="shared" si="384"/>
        <v>131.37500000373649</v>
      </c>
      <c r="O886" s="311">
        <f t="shared" si="384"/>
        <v>907.00100000541806</v>
      </c>
    </row>
    <row r="887" spans="1:15" s="236" customFormat="1" x14ac:dyDescent="0.3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40"/>
    </row>
    <row r="888" spans="1:15" s="236" customFormat="1" x14ac:dyDescent="0.3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40"/>
      <c r="O888" s="251" t="s">
        <v>35</v>
      </c>
    </row>
    <row r="889" spans="1:15" s="236" customFormat="1" x14ac:dyDescent="0.3">
      <c r="A889" s="242"/>
      <c r="B889" s="242"/>
      <c r="C889" s="242"/>
      <c r="D889" s="242"/>
      <c r="E889" s="242"/>
      <c r="F889" s="242"/>
      <c r="G889" s="242"/>
      <c r="H889" s="242"/>
      <c r="I889" s="242"/>
      <c r="J889" s="242"/>
      <c r="K889" s="242"/>
      <c r="L889" s="242"/>
      <c r="M889" s="242"/>
      <c r="N889" s="242"/>
      <c r="O889" s="242"/>
    </row>
    <row r="890" spans="1:15" s="236" customFormat="1" x14ac:dyDescent="0.3">
      <c r="A890" s="241" t="str">
        <f>name!A55</f>
        <v>Head offices, etc</v>
      </c>
      <c r="B890" s="375">
        <f>$B$6</f>
        <v>2015</v>
      </c>
      <c r="C890" s="375"/>
      <c r="D890" s="375"/>
      <c r="E890" s="375"/>
      <c r="F890" s="263"/>
      <c r="G890" s="375">
        <f>$G$6</f>
        <v>2020</v>
      </c>
      <c r="H890" s="375"/>
      <c r="I890" s="375"/>
      <c r="J890" s="375"/>
      <c r="K890" s="263"/>
      <c r="L890" s="375">
        <f>$L$6</f>
        <v>2035</v>
      </c>
      <c r="M890" s="375"/>
      <c r="N890" s="375"/>
      <c r="O890" s="375"/>
    </row>
    <row r="891" spans="1:15" s="236" customFormat="1" x14ac:dyDescent="0.3">
      <c r="A891" s="254"/>
      <c r="B891" s="268" t="str">
        <f>$B$7</f>
        <v>FT</v>
      </c>
      <c r="C891" s="268" t="str">
        <f>$C$7</f>
        <v>PT</v>
      </c>
      <c r="D891" s="268" t="str">
        <f>$D$7</f>
        <v>SE</v>
      </c>
      <c r="E891" s="268" t="str">
        <f>$E$7</f>
        <v>Total</v>
      </c>
      <c r="F891" s="268"/>
      <c r="G891" s="268" t="str">
        <f>$G$7</f>
        <v>FT</v>
      </c>
      <c r="H891" s="268" t="str">
        <f>$H$7</f>
        <v>PT</v>
      </c>
      <c r="I891" s="268" t="str">
        <f>$I$7</f>
        <v>SE</v>
      </c>
      <c r="J891" s="268" t="str">
        <f>$J$7</f>
        <v>Total</v>
      </c>
      <c r="K891" s="268"/>
      <c r="L891" s="268" t="str">
        <f>$L$7</f>
        <v>FT</v>
      </c>
      <c r="M891" s="268" t="str">
        <f>$M$7</f>
        <v>PT</v>
      </c>
      <c r="N891" s="268" t="str">
        <f>$N$7</f>
        <v>SE</v>
      </c>
      <c r="O891" s="268" t="str">
        <f>$O$7</f>
        <v>Total</v>
      </c>
    </row>
    <row r="892" spans="1:15" s="236" customFormat="1" x14ac:dyDescent="0.3">
      <c r="A892" s="258"/>
      <c r="B892" s="239"/>
      <c r="C892" s="239"/>
      <c r="D892" s="239"/>
      <c r="E892" s="239"/>
      <c r="F892" s="239"/>
      <c r="G892" s="239"/>
      <c r="H892" s="239"/>
      <c r="I892" s="239"/>
      <c r="J892" s="239"/>
      <c r="K892" s="239"/>
      <c r="L892" s="239"/>
      <c r="M892" s="239"/>
      <c r="N892" s="239"/>
      <c r="O892" s="239"/>
    </row>
    <row r="893" spans="1:15" s="236" customFormat="1" x14ac:dyDescent="0.3">
      <c r="A893" s="237" t="str">
        <f>name!E$4</f>
        <v>Managers, directors and senior officials</v>
      </c>
      <c r="B893" s="302">
        <v>78.959933460161523</v>
      </c>
      <c r="C893" s="302">
        <v>18.233411762152851</v>
      </c>
      <c r="D893" s="302">
        <v>13.147551540454945</v>
      </c>
      <c r="E893" s="302">
        <f>SUM(B893:D893)</f>
        <v>110.34089676276932</v>
      </c>
      <c r="F893" s="303"/>
      <c r="G893" s="302">
        <v>79.755349813096913</v>
      </c>
      <c r="H893" s="302">
        <v>26.409366664321361</v>
      </c>
      <c r="I893" s="302">
        <v>13.994061770168724</v>
      </c>
      <c r="J893" s="302">
        <f>SUM(G893:I893)</f>
        <v>120.15877824758699</v>
      </c>
      <c r="K893" s="303"/>
      <c r="L893" s="302">
        <v>82.392595764289169</v>
      </c>
      <c r="M893" s="302">
        <v>34.339736850971036</v>
      </c>
      <c r="N893" s="302">
        <v>15.762814421581316</v>
      </c>
      <c r="O893" s="302">
        <f>SUM(L893:N893)</f>
        <v>132.49514703684153</v>
      </c>
    </row>
    <row r="894" spans="1:15" s="236" customFormat="1" x14ac:dyDescent="0.3">
      <c r="A894" s="237" t="str">
        <f>name!E$5</f>
        <v>Professional occupations</v>
      </c>
      <c r="B894" s="302">
        <v>225.34223170784665</v>
      </c>
      <c r="C894" s="302">
        <v>36.026694824497348</v>
      </c>
      <c r="D894" s="302">
        <v>44.224846734846437</v>
      </c>
      <c r="E894" s="302">
        <f t="shared" ref="E894:E901" si="385">SUM(B894:D894)</f>
        <v>305.59377326719044</v>
      </c>
      <c r="F894" s="303"/>
      <c r="G894" s="302">
        <v>264.31119516011188</v>
      </c>
      <c r="H894" s="302">
        <v>50.423976605950536</v>
      </c>
      <c r="I894" s="302">
        <v>39.399486611030525</v>
      </c>
      <c r="J894" s="302">
        <f t="shared" ref="J894:J896" si="386">SUM(G894:I894)</f>
        <v>354.13465837709293</v>
      </c>
      <c r="K894" s="303"/>
      <c r="L894" s="302">
        <v>313.41129710877448</v>
      </c>
      <c r="M894" s="302">
        <v>66.095467036352872</v>
      </c>
      <c r="N894" s="302">
        <v>38.518795300208964</v>
      </c>
      <c r="O894" s="302">
        <f t="shared" ref="O894:O901" si="387">SUM(L894:N894)</f>
        <v>418.02555944533634</v>
      </c>
    </row>
    <row r="895" spans="1:15" s="236" customFormat="1" x14ac:dyDescent="0.3">
      <c r="A895" s="237" t="str">
        <f>name!E$6</f>
        <v>Associate professional occupations</v>
      </c>
      <c r="B895" s="302">
        <v>113.47707649037527</v>
      </c>
      <c r="C895" s="302">
        <v>27.695732116615101</v>
      </c>
      <c r="D895" s="302">
        <v>20.210945974720268</v>
      </c>
      <c r="E895" s="302">
        <f t="shared" si="385"/>
        <v>161.38375458171063</v>
      </c>
      <c r="F895" s="303"/>
      <c r="G895" s="302">
        <v>119.31978865110716</v>
      </c>
      <c r="H895" s="302">
        <v>33.321792195826887</v>
      </c>
      <c r="I895" s="302">
        <v>17.380622001572064</v>
      </c>
      <c r="J895" s="302">
        <f t="shared" si="386"/>
        <v>170.02220284850614</v>
      </c>
      <c r="K895" s="303"/>
      <c r="L895" s="302">
        <v>119.74196579701939</v>
      </c>
      <c r="M895" s="302">
        <v>37.368358096955731</v>
      </c>
      <c r="N895" s="302">
        <v>18.284142610602064</v>
      </c>
      <c r="O895" s="302">
        <f t="shared" si="387"/>
        <v>175.3944665045772</v>
      </c>
    </row>
    <row r="896" spans="1:15" s="236" customFormat="1" x14ac:dyDescent="0.3">
      <c r="A896" s="237" t="str">
        <f>name!E$7</f>
        <v>Administrative and secretarial occupations</v>
      </c>
      <c r="B896" s="302">
        <v>82.188953183709458</v>
      </c>
      <c r="C896" s="302">
        <v>73.577614408676681</v>
      </c>
      <c r="D896" s="302">
        <v>11.172979289312824</v>
      </c>
      <c r="E896" s="302">
        <f t="shared" si="385"/>
        <v>166.93954688169896</v>
      </c>
      <c r="F896" s="303"/>
      <c r="G896" s="302">
        <v>77.293639606856104</v>
      </c>
      <c r="H896" s="302">
        <v>79.75446972170991</v>
      </c>
      <c r="I896" s="302">
        <v>9.1690387641695956</v>
      </c>
      <c r="J896" s="302">
        <f t="shared" si="386"/>
        <v>166.21714809273558</v>
      </c>
      <c r="K896" s="303"/>
      <c r="L896" s="302">
        <v>59.103317696478506</v>
      </c>
      <c r="M896" s="302">
        <v>75.435998178297098</v>
      </c>
      <c r="N896" s="302">
        <v>8.1072166124545557</v>
      </c>
      <c r="O896" s="302">
        <f t="shared" si="387"/>
        <v>142.64653248723016</v>
      </c>
    </row>
    <row r="897" spans="1:15" s="236" customFormat="1" x14ac:dyDescent="0.3">
      <c r="A897" s="237" t="str">
        <f>name!E$8</f>
        <v>Skilled trades occupations</v>
      </c>
      <c r="B897" s="302">
        <v>17.006591421408132</v>
      </c>
      <c r="C897" s="302">
        <v>4.3697893162827146</v>
      </c>
      <c r="D897" s="302">
        <v>2.6233979342725764</v>
      </c>
      <c r="E897" s="302">
        <f t="shared" si="385"/>
        <v>23.999778671963419</v>
      </c>
      <c r="F897" s="303"/>
      <c r="G897" s="302">
        <v>12.83153113964249</v>
      </c>
      <c r="H897" s="302">
        <v>2.8480777257534582</v>
      </c>
      <c r="I897" s="302">
        <v>2.2021953832595522</v>
      </c>
      <c r="J897" s="302">
        <f>SUM(G897:I897)</f>
        <v>17.881804248655502</v>
      </c>
      <c r="K897" s="303"/>
      <c r="L897" s="302">
        <v>11.473226598259636</v>
      </c>
      <c r="M897" s="302">
        <v>4.1205388987388973</v>
      </c>
      <c r="N897" s="302">
        <v>2.9173318336440484</v>
      </c>
      <c r="O897" s="302">
        <f t="shared" si="387"/>
        <v>18.511097330642581</v>
      </c>
    </row>
    <row r="898" spans="1:15" s="236" customFormat="1" x14ac:dyDescent="0.3">
      <c r="A898" s="237" t="str">
        <f>name!E$9</f>
        <v>Caring, leisure and other service occupations</v>
      </c>
      <c r="B898" s="302">
        <v>1.6880130742792914</v>
      </c>
      <c r="C898" s="302">
        <v>0.80470795873069023</v>
      </c>
      <c r="D898" s="302">
        <v>1.0631414957926675</v>
      </c>
      <c r="E898" s="302">
        <f t="shared" si="385"/>
        <v>3.5558625288026491</v>
      </c>
      <c r="F898" s="303"/>
      <c r="G898" s="302">
        <v>1.4792995117191321</v>
      </c>
      <c r="H898" s="302">
        <v>0.77880350993077163</v>
      </c>
      <c r="I898" s="302">
        <v>1.0652530609563269</v>
      </c>
      <c r="J898" s="302">
        <f t="shared" ref="J898:J901" si="388">SUM(G898:I898)</f>
        <v>3.3233560826062307</v>
      </c>
      <c r="K898" s="303"/>
      <c r="L898" s="302">
        <v>1.6219567563226387</v>
      </c>
      <c r="M898" s="302">
        <v>0.77431344025005666</v>
      </c>
      <c r="N898" s="302">
        <v>1.9150703123048338</v>
      </c>
      <c r="O898" s="302">
        <f t="shared" si="387"/>
        <v>4.311340508877529</v>
      </c>
    </row>
    <row r="899" spans="1:15" s="236" customFormat="1" x14ac:dyDescent="0.3">
      <c r="A899" s="237" t="str">
        <f>name!E$10</f>
        <v>Sales and customer service occupations</v>
      </c>
      <c r="B899" s="302">
        <v>17.006404377503102</v>
      </c>
      <c r="C899" s="302">
        <v>11.939052614218282</v>
      </c>
      <c r="D899" s="302">
        <v>3.1619607913286227</v>
      </c>
      <c r="E899" s="302">
        <f t="shared" si="385"/>
        <v>32.10741778305001</v>
      </c>
      <c r="F899" s="303"/>
      <c r="G899" s="302">
        <v>15.022517166790829</v>
      </c>
      <c r="H899" s="302">
        <v>12.863130068901086</v>
      </c>
      <c r="I899" s="302">
        <v>1.9678981372289468</v>
      </c>
      <c r="J899" s="302">
        <f t="shared" si="388"/>
        <v>29.853545372920859</v>
      </c>
      <c r="K899" s="303"/>
      <c r="L899" s="302">
        <v>16.171894047740587</v>
      </c>
      <c r="M899" s="302">
        <v>16.099248122485566</v>
      </c>
      <c r="N899" s="302">
        <v>1.6730133150334554</v>
      </c>
      <c r="O899" s="302">
        <f t="shared" si="387"/>
        <v>33.944155485259614</v>
      </c>
    </row>
    <row r="900" spans="1:15" s="236" customFormat="1" x14ac:dyDescent="0.3">
      <c r="A900" s="237" t="str">
        <f>name!E$11</f>
        <v>Process, plant and machine operatives</v>
      </c>
      <c r="B900" s="302">
        <v>6.0018612420373429</v>
      </c>
      <c r="C900" s="302">
        <v>3.0285737725796205</v>
      </c>
      <c r="D900" s="302">
        <v>0.84724918164535101</v>
      </c>
      <c r="E900" s="302">
        <f t="shared" si="385"/>
        <v>9.8776841962623134</v>
      </c>
      <c r="F900" s="303"/>
      <c r="G900" s="302">
        <v>4.283234405663066</v>
      </c>
      <c r="H900" s="302">
        <v>2.9694775745790247</v>
      </c>
      <c r="I900" s="302">
        <v>0.85262349417383276</v>
      </c>
      <c r="J900" s="302">
        <f t="shared" si="388"/>
        <v>8.1053354744159236</v>
      </c>
      <c r="K900" s="303"/>
      <c r="L900" s="302">
        <v>4.0702138125388512</v>
      </c>
      <c r="M900" s="302">
        <v>4.1704799664543968</v>
      </c>
      <c r="N900" s="302">
        <v>1.192070577012933</v>
      </c>
      <c r="O900" s="302">
        <f t="shared" si="387"/>
        <v>9.4327643560061798</v>
      </c>
    </row>
    <row r="901" spans="1:15" s="236" customFormat="1" x14ac:dyDescent="0.3">
      <c r="A901" s="237" t="str">
        <f>name!E$12</f>
        <v>Elementary occupations</v>
      </c>
      <c r="B901" s="302">
        <v>7.2909350310004699</v>
      </c>
      <c r="C901" s="302">
        <v>6.3114232249908966</v>
      </c>
      <c r="D901" s="302">
        <v>1.5479270582783844</v>
      </c>
      <c r="E901" s="302">
        <f t="shared" si="385"/>
        <v>15.15028531426975</v>
      </c>
      <c r="F901" s="303"/>
      <c r="G901" s="302">
        <v>5.9734445402821796</v>
      </c>
      <c r="H901" s="302">
        <v>5.3609059329064745</v>
      </c>
      <c r="I901" s="302">
        <v>0.96782077803130984</v>
      </c>
      <c r="J901" s="302">
        <f t="shared" si="388"/>
        <v>12.302171251219963</v>
      </c>
      <c r="K901" s="303"/>
      <c r="L901" s="302">
        <v>5.145532418088246</v>
      </c>
      <c r="M901" s="302">
        <v>4.639859410534231</v>
      </c>
      <c r="N901" s="302">
        <v>1.4265450196225633</v>
      </c>
      <c r="O901" s="302">
        <f t="shared" si="387"/>
        <v>11.21193684824504</v>
      </c>
    </row>
    <row r="902" spans="1:15" s="236" customFormat="1" x14ac:dyDescent="0.3">
      <c r="A902" s="237"/>
      <c r="B902" s="302"/>
      <c r="C902" s="302"/>
      <c r="D902" s="302"/>
      <c r="E902" s="302"/>
      <c r="F902" s="303"/>
      <c r="G902" s="302"/>
      <c r="H902" s="302"/>
      <c r="I902" s="302"/>
      <c r="J902" s="302"/>
      <c r="K902" s="303"/>
      <c r="L902" s="302"/>
      <c r="M902" s="302"/>
      <c r="N902" s="302"/>
      <c r="O902" s="302"/>
    </row>
    <row r="903" spans="1:15" s="236" customFormat="1" x14ac:dyDescent="0.3">
      <c r="A903" s="244" t="s">
        <v>32</v>
      </c>
      <c r="B903" s="311">
        <f>SUM(B893:B901)</f>
        <v>548.96199998832128</v>
      </c>
      <c r="C903" s="311">
        <f t="shared" ref="C903:E903" si="389">SUM(C893:C901)</f>
        <v>181.98699999874418</v>
      </c>
      <c r="D903" s="311">
        <f t="shared" si="389"/>
        <v>98.000000000652065</v>
      </c>
      <c r="E903" s="311">
        <f t="shared" si="389"/>
        <v>828.94899998771734</v>
      </c>
      <c r="F903" s="311"/>
      <c r="G903" s="311">
        <f t="shared" ref="G903:J903" si="390">SUM(G893:G901)</f>
        <v>580.26999999526981</v>
      </c>
      <c r="H903" s="311">
        <f t="shared" si="390"/>
        <v>214.72999999987951</v>
      </c>
      <c r="I903" s="311">
        <f t="shared" si="390"/>
        <v>86.999000000590868</v>
      </c>
      <c r="J903" s="311">
        <f t="shared" si="390"/>
        <v>881.99899999574018</v>
      </c>
      <c r="K903" s="311"/>
      <c r="L903" s="311">
        <f t="shared" ref="L903:O903" si="391">SUM(L893:L901)</f>
        <v>613.13199999951155</v>
      </c>
      <c r="M903" s="311">
        <f t="shared" si="391"/>
        <v>243.04400000103988</v>
      </c>
      <c r="N903" s="311">
        <f t="shared" si="391"/>
        <v>89.797000002464728</v>
      </c>
      <c r="O903" s="311">
        <f t="shared" si="391"/>
        <v>945.97300000301595</v>
      </c>
    </row>
    <row r="904" spans="1:15" s="236" customFormat="1" x14ac:dyDescent="0.3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40"/>
    </row>
    <row r="905" spans="1:15" s="236" customFormat="1" x14ac:dyDescent="0.3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40"/>
      <c r="O905" s="251" t="s">
        <v>35</v>
      </c>
    </row>
    <row r="906" spans="1:15" s="236" customFormat="1" x14ac:dyDescent="0.3">
      <c r="A906" s="242"/>
      <c r="B906" s="242"/>
      <c r="C906" s="242"/>
      <c r="D906" s="242"/>
      <c r="E906" s="242"/>
      <c r="F906" s="242"/>
      <c r="G906" s="242"/>
      <c r="H906" s="242"/>
      <c r="I906" s="242"/>
      <c r="J906" s="242"/>
      <c r="K906" s="242"/>
      <c r="L906" s="242"/>
      <c r="M906" s="242"/>
      <c r="N906" s="242"/>
      <c r="O906" s="242"/>
    </row>
    <row r="907" spans="1:15" s="236" customFormat="1" x14ac:dyDescent="0.3">
      <c r="A907" s="241" t="str">
        <f>name!A56</f>
        <v>Architectural and related</v>
      </c>
      <c r="B907" s="375">
        <f>$B$6</f>
        <v>2015</v>
      </c>
      <c r="C907" s="375"/>
      <c r="D907" s="375"/>
      <c r="E907" s="375"/>
      <c r="F907" s="263"/>
      <c r="G907" s="375">
        <f>$G$6</f>
        <v>2020</v>
      </c>
      <c r="H907" s="375"/>
      <c r="I907" s="375"/>
      <c r="J907" s="375"/>
      <c r="K907" s="263"/>
      <c r="L907" s="375">
        <f>$L$6</f>
        <v>2035</v>
      </c>
      <c r="M907" s="375"/>
      <c r="N907" s="375"/>
      <c r="O907" s="375"/>
    </row>
    <row r="908" spans="1:15" s="236" customFormat="1" x14ac:dyDescent="0.3">
      <c r="A908" s="254"/>
      <c r="B908" s="268" t="str">
        <f>$B$7</f>
        <v>FT</v>
      </c>
      <c r="C908" s="268" t="str">
        <f>$C$7</f>
        <v>PT</v>
      </c>
      <c r="D908" s="268" t="str">
        <f>$D$7</f>
        <v>SE</v>
      </c>
      <c r="E908" s="268" t="str">
        <f>$E$7</f>
        <v>Total</v>
      </c>
      <c r="F908" s="268"/>
      <c r="G908" s="268" t="str">
        <f>$G$7</f>
        <v>FT</v>
      </c>
      <c r="H908" s="268" t="str">
        <f>$H$7</f>
        <v>PT</v>
      </c>
      <c r="I908" s="268" t="str">
        <f>$I$7</f>
        <v>SE</v>
      </c>
      <c r="J908" s="268" t="str">
        <f>$J$7</f>
        <v>Total</v>
      </c>
      <c r="K908" s="268"/>
      <c r="L908" s="268" t="str">
        <f>$L$7</f>
        <v>FT</v>
      </c>
      <c r="M908" s="268" t="str">
        <f>$M$7</f>
        <v>PT</v>
      </c>
      <c r="N908" s="268" t="str">
        <f>$N$7</f>
        <v>SE</v>
      </c>
      <c r="O908" s="268" t="str">
        <f>$O$7</f>
        <v>Total</v>
      </c>
    </row>
    <row r="909" spans="1:15" s="236" customFormat="1" x14ac:dyDescent="0.3">
      <c r="A909" s="258"/>
      <c r="B909" s="239"/>
      <c r="C909" s="239"/>
      <c r="D909" s="239"/>
      <c r="E909" s="239"/>
      <c r="F909" s="239"/>
      <c r="G909" s="239"/>
      <c r="H909" s="239"/>
      <c r="I909" s="239"/>
      <c r="J909" s="239"/>
      <c r="K909" s="239"/>
      <c r="L909" s="239"/>
      <c r="M909" s="239"/>
      <c r="N909" s="239"/>
      <c r="O909" s="239"/>
    </row>
    <row r="910" spans="1:15" s="236" customFormat="1" x14ac:dyDescent="0.3">
      <c r="A910" s="237" t="str">
        <f>name!E$4</f>
        <v>Managers, directors and senior officials</v>
      </c>
      <c r="B910" s="302">
        <v>64.303021758349971</v>
      </c>
      <c r="C910" s="302">
        <v>5.7008988437976997</v>
      </c>
      <c r="D910" s="302">
        <v>11.7901304444202</v>
      </c>
      <c r="E910" s="302">
        <f>SUM(B910:D910)</f>
        <v>81.794051046567873</v>
      </c>
      <c r="F910" s="303"/>
      <c r="G910" s="302">
        <v>70.874694633683532</v>
      </c>
      <c r="H910" s="302">
        <v>9.8138914742774297</v>
      </c>
      <c r="I910" s="302">
        <v>15.03650105723931</v>
      </c>
      <c r="J910" s="302">
        <f>SUM(G910:I910)</f>
        <v>95.725087165200264</v>
      </c>
      <c r="K910" s="303"/>
      <c r="L910" s="302">
        <v>69.768767986645585</v>
      </c>
      <c r="M910" s="302">
        <v>12.300130949095941</v>
      </c>
      <c r="N910" s="302">
        <v>17.755794556980938</v>
      </c>
      <c r="O910" s="302">
        <f>SUM(L910:N910)</f>
        <v>99.824693492722474</v>
      </c>
    </row>
    <row r="911" spans="1:15" s="236" customFormat="1" x14ac:dyDescent="0.3">
      <c r="A911" s="237" t="str">
        <f>name!E$5</f>
        <v>Professional occupations</v>
      </c>
      <c r="B911" s="302">
        <v>180.51847423362392</v>
      </c>
      <c r="C911" s="302">
        <v>10.716851753001796</v>
      </c>
      <c r="D911" s="302">
        <v>40.133382541069231</v>
      </c>
      <c r="E911" s="302">
        <f t="shared" ref="E911:E918" si="392">SUM(B911:D911)</f>
        <v>231.36870852769496</v>
      </c>
      <c r="F911" s="303"/>
      <c r="G911" s="302">
        <v>230.36860305257935</v>
      </c>
      <c r="H911" s="302">
        <v>18.100906520865308</v>
      </c>
      <c r="I911" s="302">
        <v>44.638598675579075</v>
      </c>
      <c r="J911" s="302">
        <f t="shared" ref="J911:J913" si="393">SUM(G911:I911)</f>
        <v>293.10810824902376</v>
      </c>
      <c r="K911" s="303"/>
      <c r="L911" s="302">
        <v>261.31571996017061</v>
      </c>
      <c r="M911" s="302">
        <v>22.963157523034322</v>
      </c>
      <c r="N911" s="302">
        <v>39.73748375808421</v>
      </c>
      <c r="O911" s="302">
        <f t="shared" ref="O911:O918" si="394">SUM(L911:N911)</f>
        <v>324.01636124128913</v>
      </c>
    </row>
    <row r="912" spans="1:15" s="236" customFormat="1" x14ac:dyDescent="0.3">
      <c r="A912" s="237" t="str">
        <f>name!E$6</f>
        <v>Associate professional occupations</v>
      </c>
      <c r="B912" s="302">
        <v>88.199233436421167</v>
      </c>
      <c r="C912" s="302">
        <v>8.8154730694517625</v>
      </c>
      <c r="D912" s="302">
        <v>15.743894651715888</v>
      </c>
      <c r="E912" s="302">
        <f t="shared" si="392"/>
        <v>112.75860115758883</v>
      </c>
      <c r="F912" s="303"/>
      <c r="G912" s="302">
        <v>101.47716980623382</v>
      </c>
      <c r="H912" s="302">
        <v>12.611250604920311</v>
      </c>
      <c r="I912" s="302">
        <v>17.263668309501746</v>
      </c>
      <c r="J912" s="302">
        <f t="shared" si="393"/>
        <v>131.35208872065587</v>
      </c>
      <c r="K912" s="303"/>
      <c r="L912" s="302">
        <v>96.814309939447426</v>
      </c>
      <c r="M912" s="302">
        <v>13.058882147992197</v>
      </c>
      <c r="N912" s="302">
        <v>16.900137241889379</v>
      </c>
      <c r="O912" s="302">
        <f t="shared" si="394"/>
        <v>126.773329329329</v>
      </c>
    </row>
    <row r="913" spans="1:15" s="236" customFormat="1" x14ac:dyDescent="0.3">
      <c r="A913" s="237" t="str">
        <f>name!E$7</f>
        <v>Administrative and secretarial occupations</v>
      </c>
      <c r="B913" s="302">
        <v>63.83422989130743</v>
      </c>
      <c r="C913" s="302">
        <v>27.360739502123558</v>
      </c>
      <c r="D913" s="302">
        <v>6.9277908950239313</v>
      </c>
      <c r="E913" s="302">
        <f t="shared" si="392"/>
        <v>98.122760288454927</v>
      </c>
      <c r="F913" s="303"/>
      <c r="G913" s="302">
        <v>60.654307440390873</v>
      </c>
      <c r="H913" s="302">
        <v>29.367862205012855</v>
      </c>
      <c r="I913" s="302">
        <v>6.3016331386685369</v>
      </c>
      <c r="J913" s="302">
        <f t="shared" si="393"/>
        <v>96.323802784072257</v>
      </c>
      <c r="K913" s="303"/>
      <c r="L913" s="302">
        <v>52.684538008593698</v>
      </c>
      <c r="M913" s="302">
        <v>26.849532779531302</v>
      </c>
      <c r="N913" s="302">
        <v>6.7108151856194738</v>
      </c>
      <c r="O913" s="302">
        <f t="shared" si="394"/>
        <v>86.244885973744488</v>
      </c>
    </row>
    <row r="914" spans="1:15" s="236" customFormat="1" x14ac:dyDescent="0.3">
      <c r="A914" s="237" t="str">
        <f>name!E$8</f>
        <v>Skilled trades occupations</v>
      </c>
      <c r="B914" s="302">
        <v>18.725300640776684</v>
      </c>
      <c r="C914" s="302">
        <v>1.7524158775772067</v>
      </c>
      <c r="D914" s="302">
        <v>3.3702091534417633</v>
      </c>
      <c r="E914" s="302">
        <f t="shared" si="392"/>
        <v>23.847925671795654</v>
      </c>
      <c r="F914" s="303"/>
      <c r="G914" s="302">
        <v>14.863126092375975</v>
      </c>
      <c r="H914" s="302">
        <v>1.3295367036175934</v>
      </c>
      <c r="I914" s="302">
        <v>3.090249682506153</v>
      </c>
      <c r="J914" s="302">
        <f>SUM(G914:I914)</f>
        <v>19.282912478499718</v>
      </c>
      <c r="K914" s="303"/>
      <c r="L914" s="302">
        <v>11.724275259541749</v>
      </c>
      <c r="M914" s="302">
        <v>1.808575147075816</v>
      </c>
      <c r="N914" s="302">
        <v>3.8311197473669449</v>
      </c>
      <c r="O914" s="302">
        <f t="shared" si="394"/>
        <v>17.363970153984511</v>
      </c>
    </row>
    <row r="915" spans="1:15" s="236" customFormat="1" x14ac:dyDescent="0.3">
      <c r="A915" s="237" t="str">
        <f>name!E$9</f>
        <v>Caring, leisure and other service occupations</v>
      </c>
      <c r="B915" s="302">
        <v>1.3650529005515082</v>
      </c>
      <c r="C915" s="302">
        <v>0.28580290851983919</v>
      </c>
      <c r="D915" s="302">
        <v>1.0821214494132809</v>
      </c>
      <c r="E915" s="302">
        <f t="shared" si="392"/>
        <v>2.7329772584846284</v>
      </c>
      <c r="F915" s="303"/>
      <c r="G915" s="302">
        <v>1.2976279755519653</v>
      </c>
      <c r="H915" s="302">
        <v>0.31353378275811833</v>
      </c>
      <c r="I915" s="302">
        <v>1.2704965007085742</v>
      </c>
      <c r="J915" s="302">
        <f t="shared" ref="J915:J918" si="395">SUM(G915:I915)</f>
        <v>2.8816582590186579</v>
      </c>
      <c r="K915" s="303"/>
      <c r="L915" s="302">
        <v>1.4074481872283668</v>
      </c>
      <c r="M915" s="302">
        <v>0.31370246420275438</v>
      </c>
      <c r="N915" s="302">
        <v>2.3802553273376739</v>
      </c>
      <c r="O915" s="302">
        <f t="shared" si="394"/>
        <v>4.1014059787687955</v>
      </c>
    </row>
    <row r="916" spans="1:15" s="236" customFormat="1" x14ac:dyDescent="0.3">
      <c r="A916" s="237" t="str">
        <f>name!E$10</f>
        <v>Sales and customer service occupations</v>
      </c>
      <c r="B916" s="302">
        <v>13.091981682403738</v>
      </c>
      <c r="C916" s="302">
        <v>4.814028710822071</v>
      </c>
      <c r="D916" s="302">
        <v>2.2747104210834035</v>
      </c>
      <c r="E916" s="302">
        <f t="shared" si="392"/>
        <v>20.180720814309211</v>
      </c>
      <c r="F916" s="303"/>
      <c r="G916" s="302">
        <v>11.795154722822437</v>
      </c>
      <c r="H916" s="302">
        <v>5.1063590462695432</v>
      </c>
      <c r="I916" s="302">
        <v>1.7807435348822533</v>
      </c>
      <c r="J916" s="302">
        <f t="shared" si="395"/>
        <v>18.682257303974232</v>
      </c>
      <c r="K916" s="303"/>
      <c r="L916" s="302">
        <v>13.256697174135679</v>
      </c>
      <c r="M916" s="302">
        <v>6.3361349963177069</v>
      </c>
      <c r="N916" s="302">
        <v>1.6249603531736532</v>
      </c>
      <c r="O916" s="302">
        <f t="shared" si="394"/>
        <v>21.217792523627036</v>
      </c>
    </row>
    <row r="917" spans="1:15" s="236" customFormat="1" x14ac:dyDescent="0.3">
      <c r="A917" s="237" t="str">
        <f>name!E$11</f>
        <v>Process, plant and machine operatives</v>
      </c>
      <c r="B917" s="302">
        <v>7.782502867122699</v>
      </c>
      <c r="C917" s="302">
        <v>1.2009528867304409</v>
      </c>
      <c r="D917" s="302">
        <v>0.85700508854046509</v>
      </c>
      <c r="E917" s="302">
        <f t="shared" si="392"/>
        <v>9.840460842393604</v>
      </c>
      <c r="F917" s="303"/>
      <c r="G917" s="302">
        <v>5.6194041309996319</v>
      </c>
      <c r="H917" s="302">
        <v>1.4239506047285448</v>
      </c>
      <c r="I917" s="302">
        <v>0.98083891659653821</v>
      </c>
      <c r="J917" s="302">
        <f t="shared" si="395"/>
        <v>8.0241936523247155</v>
      </c>
      <c r="K917" s="303"/>
      <c r="L917" s="302">
        <v>5.2379871354315215</v>
      </c>
      <c r="M917" s="302">
        <v>1.9275667721059613</v>
      </c>
      <c r="N917" s="302">
        <v>1.2570648898819723</v>
      </c>
      <c r="O917" s="302">
        <f t="shared" si="394"/>
        <v>8.4226187974194549</v>
      </c>
    </row>
    <row r="918" spans="1:15" s="236" customFormat="1" x14ac:dyDescent="0.3">
      <c r="A918" s="237" t="str">
        <f>name!E$12</f>
        <v>Elementary occupations</v>
      </c>
      <c r="B918" s="302">
        <v>7.1512025805122619</v>
      </c>
      <c r="C918" s="302">
        <v>2.3488364476454611</v>
      </c>
      <c r="D918" s="302">
        <v>0.81875535611368699</v>
      </c>
      <c r="E918" s="302">
        <f t="shared" si="392"/>
        <v>10.31879438427141</v>
      </c>
      <c r="F918" s="303"/>
      <c r="G918" s="302">
        <v>5.7809121409785993</v>
      </c>
      <c r="H918" s="302">
        <v>2.2017090574719842</v>
      </c>
      <c r="I918" s="302">
        <v>0.63827018579083561</v>
      </c>
      <c r="J918" s="302">
        <f t="shared" si="395"/>
        <v>8.6208913842414194</v>
      </c>
      <c r="K918" s="303"/>
      <c r="L918" s="302">
        <v>4.8742563457867689</v>
      </c>
      <c r="M918" s="302">
        <v>1.9063172209189159</v>
      </c>
      <c r="N918" s="302">
        <v>0.85536894252716522</v>
      </c>
      <c r="O918" s="302">
        <f t="shared" si="394"/>
        <v>7.6359425092328497</v>
      </c>
    </row>
    <row r="919" spans="1:15" s="236" customFormat="1" x14ac:dyDescent="0.3">
      <c r="A919" s="237"/>
      <c r="B919" s="302"/>
      <c r="C919" s="302"/>
      <c r="D919" s="302"/>
      <c r="E919" s="302"/>
      <c r="F919" s="303"/>
      <c r="G919" s="302"/>
      <c r="H919" s="302"/>
      <c r="I919" s="302"/>
      <c r="J919" s="302"/>
      <c r="K919" s="303"/>
      <c r="L919" s="302"/>
      <c r="M919" s="302"/>
      <c r="N919" s="302"/>
      <c r="O919" s="302"/>
    </row>
    <row r="920" spans="1:15" s="236" customFormat="1" x14ac:dyDescent="0.3">
      <c r="A920" s="244" t="s">
        <v>32</v>
      </c>
      <c r="B920" s="311">
        <f>SUM(B910:B918)</f>
        <v>444.97099999106933</v>
      </c>
      <c r="C920" s="311">
        <f t="shared" ref="C920:E920" si="396">SUM(C910:C918)</f>
        <v>62.995999999669834</v>
      </c>
      <c r="D920" s="311">
        <f t="shared" si="396"/>
        <v>82.998000000821833</v>
      </c>
      <c r="E920" s="311">
        <f t="shared" si="396"/>
        <v>590.96499999156117</v>
      </c>
      <c r="F920" s="311"/>
      <c r="G920" s="311">
        <f t="shared" ref="G920:J920" si="397">SUM(G910:G918)</f>
        <v>502.73099999561612</v>
      </c>
      <c r="H920" s="311">
        <f t="shared" si="397"/>
        <v>80.268999999921689</v>
      </c>
      <c r="I920" s="311">
        <f t="shared" si="397"/>
        <v>91.001000001473017</v>
      </c>
      <c r="J920" s="311">
        <f t="shared" si="397"/>
        <v>674.00099999701081</v>
      </c>
      <c r="K920" s="311"/>
      <c r="L920" s="311">
        <f t="shared" ref="L920:O920" si="398">SUM(L910:L918)</f>
        <v>517.08399999698133</v>
      </c>
      <c r="M920" s="311">
        <f t="shared" si="398"/>
        <v>87.464000000274922</v>
      </c>
      <c r="N920" s="311">
        <f t="shared" si="398"/>
        <v>91.05300000286141</v>
      </c>
      <c r="O920" s="311">
        <f t="shared" si="398"/>
        <v>695.60100000011766</v>
      </c>
    </row>
    <row r="921" spans="1:15" s="236" customFormat="1" x14ac:dyDescent="0.3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40"/>
    </row>
    <row r="922" spans="1:15" s="236" customFormat="1" x14ac:dyDescent="0.3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40"/>
      <c r="O922" s="251" t="s">
        <v>35</v>
      </c>
    </row>
    <row r="923" spans="1:15" s="236" customFormat="1" x14ac:dyDescent="0.3">
      <c r="A923" s="242"/>
      <c r="B923" s="242"/>
      <c r="C923" s="242"/>
      <c r="D923" s="242"/>
      <c r="E923" s="242"/>
      <c r="F923" s="242"/>
      <c r="G923" s="242"/>
      <c r="H923" s="242"/>
      <c r="I923" s="242"/>
      <c r="J923" s="242"/>
      <c r="K923" s="242"/>
      <c r="L923" s="242"/>
      <c r="M923" s="242"/>
      <c r="N923" s="242"/>
      <c r="O923" s="242"/>
    </row>
    <row r="924" spans="1:15" s="236" customFormat="1" x14ac:dyDescent="0.3">
      <c r="A924" s="241" t="str">
        <f>name!A57</f>
        <v>Scientific research and development</v>
      </c>
      <c r="B924" s="375">
        <f>$B$6</f>
        <v>2015</v>
      </c>
      <c r="C924" s="375"/>
      <c r="D924" s="375"/>
      <c r="E924" s="375"/>
      <c r="F924" s="263"/>
      <c r="G924" s="375">
        <f>$G$6</f>
        <v>2020</v>
      </c>
      <c r="H924" s="375"/>
      <c r="I924" s="375"/>
      <c r="J924" s="375"/>
      <c r="K924" s="263"/>
      <c r="L924" s="375">
        <f>$L$6</f>
        <v>2035</v>
      </c>
      <c r="M924" s="375"/>
      <c r="N924" s="375"/>
      <c r="O924" s="375"/>
    </row>
    <row r="925" spans="1:15" s="236" customFormat="1" x14ac:dyDescent="0.3">
      <c r="A925" s="254"/>
      <c r="B925" s="268" t="str">
        <f>$B$7</f>
        <v>FT</v>
      </c>
      <c r="C925" s="268" t="str">
        <f>$C$7</f>
        <v>PT</v>
      </c>
      <c r="D925" s="268" t="str">
        <f>$D$7</f>
        <v>SE</v>
      </c>
      <c r="E925" s="268" t="str">
        <f>$E$7</f>
        <v>Total</v>
      </c>
      <c r="F925" s="268"/>
      <c r="G925" s="268" t="str">
        <f>$G$7</f>
        <v>FT</v>
      </c>
      <c r="H925" s="268" t="str">
        <f>$H$7</f>
        <v>PT</v>
      </c>
      <c r="I925" s="268" t="str">
        <f>$I$7</f>
        <v>SE</v>
      </c>
      <c r="J925" s="268" t="str">
        <f>$J$7</f>
        <v>Total</v>
      </c>
      <c r="K925" s="268"/>
      <c r="L925" s="268" t="str">
        <f>$L$7</f>
        <v>FT</v>
      </c>
      <c r="M925" s="268" t="str">
        <f>$M$7</f>
        <v>PT</v>
      </c>
      <c r="N925" s="268" t="str">
        <f>$N$7</f>
        <v>SE</v>
      </c>
      <c r="O925" s="268" t="str">
        <f>$O$7</f>
        <v>Total</v>
      </c>
    </row>
    <row r="926" spans="1:15" s="236" customFormat="1" x14ac:dyDescent="0.3">
      <c r="A926" s="258"/>
      <c r="B926" s="239"/>
      <c r="C926" s="239"/>
      <c r="D926" s="239"/>
      <c r="E926" s="239"/>
      <c r="F926" s="239"/>
      <c r="G926" s="239"/>
      <c r="H926" s="239"/>
      <c r="I926" s="239"/>
      <c r="J926" s="239"/>
      <c r="K926" s="239"/>
      <c r="L926" s="239"/>
      <c r="M926" s="239"/>
      <c r="N926" s="239"/>
      <c r="O926" s="239"/>
    </row>
    <row r="927" spans="1:15" s="236" customFormat="1" x14ac:dyDescent="0.3">
      <c r="A927" s="237" t="str">
        <f>name!E$4</f>
        <v>Managers, directors and senior officials</v>
      </c>
      <c r="B927" s="302">
        <v>10.66331138236489</v>
      </c>
      <c r="C927" s="302">
        <v>0.7563233594900497</v>
      </c>
      <c r="D927" s="302">
        <v>6.5714102748510417</v>
      </c>
      <c r="E927" s="302">
        <f>SUM(B927:D927)</f>
        <v>17.991045016705982</v>
      </c>
      <c r="F927" s="303"/>
      <c r="G927" s="302">
        <v>11.728946827270244</v>
      </c>
      <c r="H927" s="302">
        <v>0.95835931397849417</v>
      </c>
      <c r="I927" s="302">
        <v>6.5788317204585729</v>
      </c>
      <c r="J927" s="302">
        <f>SUM(G927:I927)</f>
        <v>19.26613786170731</v>
      </c>
      <c r="K927" s="303"/>
      <c r="L927" s="302">
        <v>13.021394750460429</v>
      </c>
      <c r="M927" s="302">
        <v>1.3826485772484736</v>
      </c>
      <c r="N927" s="302">
        <v>9.969391052477409</v>
      </c>
      <c r="O927" s="302">
        <f>SUM(L927:N927)</f>
        <v>24.37343438018631</v>
      </c>
    </row>
    <row r="928" spans="1:15" s="236" customFormat="1" x14ac:dyDescent="0.3">
      <c r="A928" s="237" t="str">
        <f>name!E$5</f>
        <v>Professional occupations</v>
      </c>
      <c r="B928" s="302">
        <v>54.002212901533611</v>
      </c>
      <c r="C928" s="302">
        <v>4.1638110839961406</v>
      </c>
      <c r="D928" s="302">
        <v>27.455695339498888</v>
      </c>
      <c r="E928" s="302">
        <f t="shared" ref="E928:E935" si="399">SUM(B928:D928)</f>
        <v>85.621719325028636</v>
      </c>
      <c r="F928" s="303"/>
      <c r="G928" s="302">
        <v>64.543243918660593</v>
      </c>
      <c r="H928" s="302">
        <v>4.8211138600791656</v>
      </c>
      <c r="I928" s="302">
        <v>24.961183897735019</v>
      </c>
      <c r="J928" s="302">
        <f t="shared" ref="J928:J930" si="400">SUM(G928:I928)</f>
        <v>94.325541676474785</v>
      </c>
      <c r="K928" s="303"/>
      <c r="L928" s="302">
        <v>85.857054555710803</v>
      </c>
      <c r="M928" s="302">
        <v>7.372159713872807</v>
      </c>
      <c r="N928" s="302">
        <v>30.113672942289412</v>
      </c>
      <c r="O928" s="302">
        <f t="shared" ref="O928:O935" si="401">SUM(L928:N928)</f>
        <v>123.34288721187302</v>
      </c>
    </row>
    <row r="929" spans="1:15" s="236" customFormat="1" x14ac:dyDescent="0.3">
      <c r="A929" s="237" t="str">
        <f>name!E$6</f>
        <v>Associate professional occupations</v>
      </c>
      <c r="B929" s="302">
        <v>14.658167708769305</v>
      </c>
      <c r="C929" s="302">
        <v>1.8571026498352394</v>
      </c>
      <c r="D929" s="302">
        <v>5.4955604794952215</v>
      </c>
      <c r="E929" s="302">
        <f t="shared" si="399"/>
        <v>22.010830838099768</v>
      </c>
      <c r="F929" s="303"/>
      <c r="G929" s="302">
        <v>17.03805610956875</v>
      </c>
      <c r="H929" s="302">
        <v>2.0308766763719426</v>
      </c>
      <c r="I929" s="302">
        <v>4.7361866884508963</v>
      </c>
      <c r="J929" s="302">
        <f t="shared" si="400"/>
        <v>23.805119474391589</v>
      </c>
      <c r="K929" s="303"/>
      <c r="L929" s="302">
        <v>18.660591570932709</v>
      </c>
      <c r="M929" s="302">
        <v>2.3087511288909881</v>
      </c>
      <c r="N929" s="302">
        <v>6.4582641603708177</v>
      </c>
      <c r="O929" s="302">
        <f t="shared" si="401"/>
        <v>27.427606860194516</v>
      </c>
    </row>
    <row r="930" spans="1:15" s="236" customFormat="1" x14ac:dyDescent="0.3">
      <c r="A930" s="237" t="str">
        <f>name!E$7</f>
        <v>Administrative and secretarial occupations</v>
      </c>
      <c r="B930" s="302">
        <v>6.0210506844647753</v>
      </c>
      <c r="C930" s="302">
        <v>2.5387047275061443</v>
      </c>
      <c r="D930" s="302">
        <v>3.7517187782934718</v>
      </c>
      <c r="E930" s="302">
        <f t="shared" si="399"/>
        <v>12.311474190264391</v>
      </c>
      <c r="F930" s="303"/>
      <c r="G930" s="302">
        <v>5.5807141456711351</v>
      </c>
      <c r="H930" s="302">
        <v>2.5308019630367493</v>
      </c>
      <c r="I930" s="302">
        <v>3.0236014587548987</v>
      </c>
      <c r="J930" s="302">
        <f t="shared" si="400"/>
        <v>11.135117567462784</v>
      </c>
      <c r="K930" s="303"/>
      <c r="L930" s="302">
        <v>5.0629395341899057</v>
      </c>
      <c r="M930" s="302">
        <v>2.3507912711220835</v>
      </c>
      <c r="N930" s="302">
        <v>3.6567943873829418</v>
      </c>
      <c r="O930" s="302">
        <f t="shared" si="401"/>
        <v>11.07052519269493</v>
      </c>
    </row>
    <row r="931" spans="1:15" s="236" customFormat="1" x14ac:dyDescent="0.3">
      <c r="A931" s="237" t="str">
        <f>name!E$8</f>
        <v>Skilled trades occupations</v>
      </c>
      <c r="B931" s="302">
        <v>3.8885794088414372</v>
      </c>
      <c r="C931" s="302">
        <v>0.6349348926603029</v>
      </c>
      <c r="D931" s="302">
        <v>2.5996046524840941</v>
      </c>
      <c r="E931" s="302">
        <f t="shared" si="399"/>
        <v>7.1231189539858342</v>
      </c>
      <c r="F931" s="303"/>
      <c r="G931" s="302">
        <v>2.8145801459575566</v>
      </c>
      <c r="H931" s="302">
        <v>0.32580902181020782</v>
      </c>
      <c r="I931" s="302">
        <v>1.9768469014256567</v>
      </c>
      <c r="J931" s="302">
        <f>SUM(G931:I931)</f>
        <v>5.1172360691934209</v>
      </c>
      <c r="K931" s="303"/>
      <c r="L931" s="302">
        <v>2.4056513926841192</v>
      </c>
      <c r="M931" s="302">
        <v>0.46008045889768578</v>
      </c>
      <c r="N931" s="302">
        <v>3.3376668203484958</v>
      </c>
      <c r="O931" s="302">
        <f t="shared" si="401"/>
        <v>6.2033986719303007</v>
      </c>
    </row>
    <row r="932" spans="1:15" s="236" customFormat="1" x14ac:dyDescent="0.3">
      <c r="A932" s="237" t="str">
        <f>name!E$9</f>
        <v>Caring, leisure and other service occupations</v>
      </c>
      <c r="B932" s="302">
        <v>2.2933283356460317</v>
      </c>
      <c r="C932" s="302">
        <v>0.39808341687163856</v>
      </c>
      <c r="D932" s="302">
        <v>1.9119914031996497</v>
      </c>
      <c r="E932" s="302">
        <f t="shared" si="399"/>
        <v>4.6034031557173201</v>
      </c>
      <c r="F932" s="303"/>
      <c r="G932" s="302">
        <v>2.1910152747281155</v>
      </c>
      <c r="H932" s="302">
        <v>0.34346983542271187</v>
      </c>
      <c r="I932" s="302">
        <v>1.7546885236184884</v>
      </c>
      <c r="J932" s="302">
        <f t="shared" ref="J932:J935" si="402">SUM(G932:I932)</f>
        <v>4.289173633769316</v>
      </c>
      <c r="K932" s="303"/>
      <c r="L932" s="302">
        <v>2.6296717209649638</v>
      </c>
      <c r="M932" s="302">
        <v>0.44948295331903831</v>
      </c>
      <c r="N932" s="302">
        <v>3.6214264733583303</v>
      </c>
      <c r="O932" s="302">
        <f t="shared" si="401"/>
        <v>6.7005811476423318</v>
      </c>
    </row>
    <row r="933" spans="1:15" s="236" customFormat="1" x14ac:dyDescent="0.3">
      <c r="A933" s="237" t="str">
        <f>name!E$10</f>
        <v>Sales and customer service occupations</v>
      </c>
      <c r="B933" s="302">
        <v>1.4273532016583432</v>
      </c>
      <c r="C933" s="302">
        <v>1.1929166114915215</v>
      </c>
      <c r="D933" s="302">
        <v>1.8955063298019132</v>
      </c>
      <c r="E933" s="302">
        <f t="shared" si="399"/>
        <v>4.5157761429517782</v>
      </c>
      <c r="F933" s="303"/>
      <c r="G933" s="302">
        <v>1.3178477926883216</v>
      </c>
      <c r="H933" s="302">
        <v>1.0586735897154638</v>
      </c>
      <c r="I933" s="302">
        <v>1.2987400325478771</v>
      </c>
      <c r="J933" s="302">
        <f t="shared" si="402"/>
        <v>3.6752614149516623</v>
      </c>
      <c r="K933" s="303"/>
      <c r="L933" s="302">
        <v>2.0100637722164558</v>
      </c>
      <c r="M933" s="302">
        <v>1.3708160418512181</v>
      </c>
      <c r="N933" s="302">
        <v>1.8414439182622073</v>
      </c>
      <c r="O933" s="302">
        <f t="shared" si="401"/>
        <v>5.2223237323298815</v>
      </c>
    </row>
    <row r="934" spans="1:15" s="236" customFormat="1" x14ac:dyDescent="0.3">
      <c r="A934" s="237" t="str">
        <f>name!E$11</f>
        <v>Process, plant and machine operatives</v>
      </c>
      <c r="B934" s="302">
        <v>1.4026404334837561</v>
      </c>
      <c r="C934" s="302">
        <v>0.72704822700678151</v>
      </c>
      <c r="D934" s="302">
        <v>1.1605836358596588</v>
      </c>
      <c r="E934" s="302">
        <f t="shared" si="399"/>
        <v>3.2902722963501967</v>
      </c>
      <c r="F934" s="303"/>
      <c r="G934" s="302">
        <v>0.95887280699633426</v>
      </c>
      <c r="H934" s="302">
        <v>0.5817884155924794</v>
      </c>
      <c r="I934" s="302">
        <v>1.0371316434794748</v>
      </c>
      <c r="J934" s="302">
        <f t="shared" si="402"/>
        <v>2.5777928660682887</v>
      </c>
      <c r="K934" s="303"/>
      <c r="L934" s="302">
        <v>0.99054563400390905</v>
      </c>
      <c r="M934" s="302">
        <v>0.80934643241042381</v>
      </c>
      <c r="N934" s="302">
        <v>1.7102562723477304</v>
      </c>
      <c r="O934" s="302">
        <f t="shared" si="401"/>
        <v>3.5101483387620633</v>
      </c>
    </row>
    <row r="935" spans="1:15" s="236" customFormat="1" x14ac:dyDescent="0.3">
      <c r="A935" s="237" t="str">
        <f>name!E$12</f>
        <v>Elementary occupations</v>
      </c>
      <c r="B935" s="302">
        <v>1.0993559423873858</v>
      </c>
      <c r="C935" s="302">
        <v>0.32507503090067408</v>
      </c>
      <c r="D935" s="302">
        <v>3.1369291066712073</v>
      </c>
      <c r="E935" s="302">
        <f t="shared" si="399"/>
        <v>4.5613600799592673</v>
      </c>
      <c r="F935" s="303"/>
      <c r="G935" s="302">
        <v>0.80072297878751852</v>
      </c>
      <c r="H935" s="302">
        <v>0.23910732396032136</v>
      </c>
      <c r="I935" s="302">
        <v>2.3727891337566676</v>
      </c>
      <c r="J935" s="302">
        <f t="shared" si="402"/>
        <v>3.4126194365045075</v>
      </c>
      <c r="K935" s="303"/>
      <c r="L935" s="302">
        <v>0.69708706805855081</v>
      </c>
      <c r="M935" s="302">
        <v>0.30392342241049025</v>
      </c>
      <c r="N935" s="302">
        <v>3.9210839743043735</v>
      </c>
      <c r="O935" s="302">
        <f t="shared" si="401"/>
        <v>4.9220944647734148</v>
      </c>
    </row>
    <row r="936" spans="1:15" s="236" customFormat="1" x14ac:dyDescent="0.3">
      <c r="A936" s="237"/>
      <c r="B936" s="302"/>
      <c r="C936" s="302"/>
      <c r="D936" s="302"/>
      <c r="E936" s="302"/>
      <c r="F936" s="303"/>
      <c r="G936" s="302"/>
      <c r="H936" s="302"/>
      <c r="I936" s="302"/>
      <c r="J936" s="302"/>
      <c r="K936" s="303"/>
      <c r="L936" s="302"/>
      <c r="M936" s="302"/>
      <c r="N936" s="302"/>
      <c r="O936" s="302"/>
    </row>
    <row r="937" spans="1:15" s="236" customFormat="1" x14ac:dyDescent="0.3">
      <c r="A937" s="244" t="s">
        <v>32</v>
      </c>
      <c r="B937" s="311">
        <f>SUM(B927:B935)</f>
        <v>95.455999999149554</v>
      </c>
      <c r="C937" s="311">
        <f t="shared" ref="C937:E937" si="403">SUM(C927:C935)</f>
        <v>12.593999999758491</v>
      </c>
      <c r="D937" s="311">
        <f t="shared" si="403"/>
        <v>53.979000000155139</v>
      </c>
      <c r="E937" s="311">
        <f t="shared" si="403"/>
        <v>162.02899999906316</v>
      </c>
      <c r="F937" s="311"/>
      <c r="G937" s="311">
        <f t="shared" ref="G937:J937" si="404">SUM(G927:G935)</f>
        <v>106.97400000032859</v>
      </c>
      <c r="H937" s="311">
        <f t="shared" si="404"/>
        <v>12.889999999967536</v>
      </c>
      <c r="I937" s="311">
        <f t="shared" si="404"/>
        <v>47.74000000022756</v>
      </c>
      <c r="J937" s="311">
        <f t="shared" si="404"/>
        <v>167.60400000052363</v>
      </c>
      <c r="K937" s="311"/>
      <c r="L937" s="311">
        <f t="shared" ref="L937:O937" si="405">SUM(L927:L935)</f>
        <v>131.33499999922188</v>
      </c>
      <c r="M937" s="311">
        <f t="shared" si="405"/>
        <v>16.80800000002321</v>
      </c>
      <c r="N937" s="311">
        <f t="shared" si="405"/>
        <v>64.630000001141724</v>
      </c>
      <c r="O937" s="311">
        <f t="shared" si="405"/>
        <v>212.77300000038676</v>
      </c>
    </row>
    <row r="938" spans="1:15" s="236" customFormat="1" x14ac:dyDescent="0.3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40"/>
    </row>
    <row r="939" spans="1:15" s="236" customFormat="1" x14ac:dyDescent="0.3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40"/>
      <c r="O939" s="251" t="s">
        <v>35</v>
      </c>
    </row>
    <row r="940" spans="1:15" s="236" customFormat="1" x14ac:dyDescent="0.3">
      <c r="A940" s="242"/>
      <c r="B940" s="242"/>
      <c r="C940" s="242"/>
      <c r="D940" s="242"/>
      <c r="E940" s="242"/>
      <c r="F940" s="242"/>
      <c r="G940" s="242"/>
      <c r="H940" s="242"/>
      <c r="I940" s="242"/>
      <c r="J940" s="242"/>
      <c r="K940" s="242"/>
      <c r="L940" s="242"/>
      <c r="M940" s="242"/>
      <c r="N940" s="242"/>
      <c r="O940" s="242"/>
    </row>
    <row r="941" spans="1:15" s="236" customFormat="1" x14ac:dyDescent="0.3">
      <c r="A941" s="241" t="str">
        <f>name!A58</f>
        <v>Advertising, etc</v>
      </c>
      <c r="B941" s="375">
        <f>$B$6</f>
        <v>2015</v>
      </c>
      <c r="C941" s="375"/>
      <c r="D941" s="375"/>
      <c r="E941" s="375"/>
      <c r="F941" s="263"/>
      <c r="G941" s="375">
        <f>$G$6</f>
        <v>2020</v>
      </c>
      <c r="H941" s="375"/>
      <c r="I941" s="375"/>
      <c r="J941" s="375"/>
      <c r="K941" s="263"/>
      <c r="L941" s="375">
        <f>$L$6</f>
        <v>2035</v>
      </c>
      <c r="M941" s="375"/>
      <c r="N941" s="375"/>
      <c r="O941" s="375"/>
    </row>
    <row r="942" spans="1:15" s="236" customFormat="1" x14ac:dyDescent="0.3">
      <c r="A942" s="254"/>
      <c r="B942" s="268" t="str">
        <f>$B$7</f>
        <v>FT</v>
      </c>
      <c r="C942" s="268" t="str">
        <f>$C$7</f>
        <v>PT</v>
      </c>
      <c r="D942" s="268" t="str">
        <f>$D$7</f>
        <v>SE</v>
      </c>
      <c r="E942" s="268" t="str">
        <f>$E$7</f>
        <v>Total</v>
      </c>
      <c r="F942" s="268"/>
      <c r="G942" s="268" t="str">
        <f>$G$7</f>
        <v>FT</v>
      </c>
      <c r="H942" s="268" t="str">
        <f>$H$7</f>
        <v>PT</v>
      </c>
      <c r="I942" s="268" t="str">
        <f>$I$7</f>
        <v>SE</v>
      </c>
      <c r="J942" s="268" t="str">
        <f>$J$7</f>
        <v>Total</v>
      </c>
      <c r="K942" s="268"/>
      <c r="L942" s="268" t="str">
        <f>$L$7</f>
        <v>FT</v>
      </c>
      <c r="M942" s="268" t="str">
        <f>$M$7</f>
        <v>PT</v>
      </c>
      <c r="N942" s="268" t="str">
        <f>$N$7</f>
        <v>SE</v>
      </c>
      <c r="O942" s="268" t="str">
        <f>$O$7</f>
        <v>Total</v>
      </c>
    </row>
    <row r="943" spans="1:15" s="236" customFormat="1" x14ac:dyDescent="0.3">
      <c r="A943" s="258"/>
      <c r="B943" s="239"/>
      <c r="C943" s="239"/>
      <c r="D943" s="239"/>
      <c r="E943" s="239"/>
      <c r="F943" s="239"/>
      <c r="G943" s="239"/>
      <c r="H943" s="239"/>
      <c r="I943" s="239"/>
      <c r="J943" s="239"/>
      <c r="K943" s="239"/>
      <c r="L943" s="239"/>
      <c r="M943" s="239"/>
      <c r="N943" s="239"/>
      <c r="O943" s="239"/>
    </row>
    <row r="944" spans="1:15" s="236" customFormat="1" x14ac:dyDescent="0.3">
      <c r="A944" s="237" t="str">
        <f>name!E$4</f>
        <v>Managers, directors and senior officials</v>
      </c>
      <c r="B944" s="302">
        <v>21.308184825609697</v>
      </c>
      <c r="C944" s="302">
        <v>4.513983196077036</v>
      </c>
      <c r="D944" s="302">
        <v>8.3682844345976086</v>
      </c>
      <c r="E944" s="302">
        <f>SUM(B944:D944)</f>
        <v>34.190452456284341</v>
      </c>
      <c r="F944" s="303"/>
      <c r="G944" s="302">
        <v>19.264624915177802</v>
      </c>
      <c r="H944" s="302">
        <v>4.6581138958759665</v>
      </c>
      <c r="I944" s="302">
        <v>7.5704270103246731</v>
      </c>
      <c r="J944" s="302">
        <f>SUM(G944:I944)</f>
        <v>31.49316582137844</v>
      </c>
      <c r="K944" s="303"/>
      <c r="L944" s="302">
        <v>23.645814419659274</v>
      </c>
      <c r="M944" s="302">
        <v>6.813423573973985</v>
      </c>
      <c r="N944" s="302">
        <v>10.646372632455796</v>
      </c>
      <c r="O944" s="302">
        <f>SUM(L944:N944)</f>
        <v>41.105610626089053</v>
      </c>
    </row>
    <row r="945" spans="1:15" s="236" customFormat="1" x14ac:dyDescent="0.3">
      <c r="A945" s="237" t="str">
        <f>name!E$5</f>
        <v>Professional occupations</v>
      </c>
      <c r="B945" s="302">
        <v>63.210923216950647</v>
      </c>
      <c r="C945" s="302">
        <v>9.0294604116969133</v>
      </c>
      <c r="D945" s="302">
        <v>29.155217527985538</v>
      </c>
      <c r="E945" s="302">
        <f t="shared" ref="E945:E952" si="406">SUM(B945:D945)</f>
        <v>101.39560115663311</v>
      </c>
      <c r="F945" s="303"/>
      <c r="G945" s="302">
        <v>68.353827213965218</v>
      </c>
      <c r="H945" s="302">
        <v>8.8902025343685338</v>
      </c>
      <c r="I945" s="302">
        <v>21.975344071232524</v>
      </c>
      <c r="J945" s="302">
        <f t="shared" ref="J945:J947" si="407">SUM(G945:I945)</f>
        <v>99.219373819566286</v>
      </c>
      <c r="K945" s="303"/>
      <c r="L945" s="302">
        <v>94.228017844233406</v>
      </c>
      <c r="M945" s="302">
        <v>12.862421378180491</v>
      </c>
      <c r="N945" s="302">
        <v>27.766457102062731</v>
      </c>
      <c r="O945" s="302">
        <f t="shared" ref="O945:O952" si="408">SUM(L945:N945)</f>
        <v>134.85689632447662</v>
      </c>
    </row>
    <row r="946" spans="1:15" s="236" customFormat="1" x14ac:dyDescent="0.3">
      <c r="A946" s="237" t="str">
        <f>name!E$6</f>
        <v>Associate professional occupations</v>
      </c>
      <c r="B946" s="302">
        <v>33.536423029621872</v>
      </c>
      <c r="C946" s="302">
        <v>6.9341953220262251</v>
      </c>
      <c r="D946" s="302">
        <v>13.480258129430881</v>
      </c>
      <c r="E946" s="302">
        <f t="shared" si="406"/>
        <v>53.950876481078978</v>
      </c>
      <c r="F946" s="303"/>
      <c r="G946" s="302">
        <v>31.872714707356543</v>
      </c>
      <c r="H946" s="302">
        <v>5.5951906567646592</v>
      </c>
      <c r="I946" s="302">
        <v>10.303138838564603</v>
      </c>
      <c r="J946" s="302">
        <f t="shared" si="407"/>
        <v>47.7710442026858</v>
      </c>
      <c r="K946" s="303"/>
      <c r="L946" s="302">
        <v>37.42074448814445</v>
      </c>
      <c r="M946" s="302">
        <v>7.3531535322217092</v>
      </c>
      <c r="N946" s="302">
        <v>14.700281913083073</v>
      </c>
      <c r="O946" s="302">
        <f t="shared" si="408"/>
        <v>59.474179933449236</v>
      </c>
    </row>
    <row r="947" spans="1:15" s="236" customFormat="1" x14ac:dyDescent="0.3">
      <c r="A947" s="237" t="str">
        <f>name!E$7</f>
        <v>Administrative and secretarial occupations</v>
      </c>
      <c r="B947" s="302">
        <v>27.681498891261182</v>
      </c>
      <c r="C947" s="302">
        <v>19.216564633515226</v>
      </c>
      <c r="D947" s="302">
        <v>7.397835737547962</v>
      </c>
      <c r="E947" s="302">
        <f t="shared" si="406"/>
        <v>54.295899262324369</v>
      </c>
      <c r="F947" s="303"/>
      <c r="G947" s="302">
        <v>21.344606427702143</v>
      </c>
      <c r="H947" s="302">
        <v>13.068316770953595</v>
      </c>
      <c r="I947" s="302">
        <v>5.3015636771628651</v>
      </c>
      <c r="J947" s="302">
        <f t="shared" si="407"/>
        <v>39.714486875818608</v>
      </c>
      <c r="K947" s="303"/>
      <c r="L947" s="302">
        <v>16.871589852350603</v>
      </c>
      <c r="M947" s="302">
        <v>13.490443562394487</v>
      </c>
      <c r="N947" s="302">
        <v>6.4595504395465912</v>
      </c>
      <c r="O947" s="302">
        <f t="shared" si="408"/>
        <v>36.821583854291681</v>
      </c>
    </row>
    <row r="948" spans="1:15" s="236" customFormat="1" x14ac:dyDescent="0.3">
      <c r="A948" s="237" t="str">
        <f>name!E$8</f>
        <v>Skilled trades occupations</v>
      </c>
      <c r="B948" s="302">
        <v>3.6539067659144697</v>
      </c>
      <c r="C948" s="302">
        <v>0.93212397442286854</v>
      </c>
      <c r="D948" s="302">
        <v>1.5991198522543608</v>
      </c>
      <c r="E948" s="302">
        <f t="shared" si="406"/>
        <v>6.1851505925916985</v>
      </c>
      <c r="F948" s="303"/>
      <c r="G948" s="302">
        <v>2.330446924032326</v>
      </c>
      <c r="H948" s="302">
        <v>0.36267868536177333</v>
      </c>
      <c r="I948" s="302">
        <v>1.0122815944020347</v>
      </c>
      <c r="J948" s="302">
        <f>SUM(G948:I948)</f>
        <v>3.7054072037961339</v>
      </c>
      <c r="K948" s="303"/>
      <c r="L948" s="302">
        <v>2.9682108664601121</v>
      </c>
      <c r="M948" s="302">
        <v>0.68924445570887749</v>
      </c>
      <c r="N948" s="302">
        <v>1.8225976417646428</v>
      </c>
      <c r="O948" s="302">
        <f t="shared" si="408"/>
        <v>5.4800529639336322</v>
      </c>
    </row>
    <row r="949" spans="1:15" s="236" customFormat="1" x14ac:dyDescent="0.3">
      <c r="A949" s="237" t="str">
        <f>name!E$9</f>
        <v>Caring, leisure and other service occupations</v>
      </c>
      <c r="B949" s="302">
        <v>0.52828420073645654</v>
      </c>
      <c r="C949" s="302">
        <v>0.19416874043832916</v>
      </c>
      <c r="D949" s="302">
        <v>0.65822648525762439</v>
      </c>
      <c r="E949" s="302">
        <f t="shared" si="406"/>
        <v>1.38067942643241</v>
      </c>
      <c r="F949" s="303"/>
      <c r="G949" s="302">
        <v>0.38984865686815434</v>
      </c>
      <c r="H949" s="302">
        <v>0.12321758912228546</v>
      </c>
      <c r="I949" s="302">
        <v>0.52340004129844964</v>
      </c>
      <c r="J949" s="302">
        <f t="shared" ref="J949:J952" si="409">SUM(G949:I949)</f>
        <v>1.0364662872888895</v>
      </c>
      <c r="K949" s="303"/>
      <c r="L949" s="302">
        <v>0.48785675644728305</v>
      </c>
      <c r="M949" s="302">
        <v>0.13949478518888406</v>
      </c>
      <c r="N949" s="302">
        <v>1.1777522520787318</v>
      </c>
      <c r="O949" s="302">
        <f t="shared" si="408"/>
        <v>1.805103793714899</v>
      </c>
    </row>
    <row r="950" spans="1:15" s="236" customFormat="1" x14ac:dyDescent="0.3">
      <c r="A950" s="237" t="str">
        <f>name!E$10</f>
        <v>Sales and customer service occupations</v>
      </c>
      <c r="B950" s="302">
        <v>5.5316219858701077</v>
      </c>
      <c r="C950" s="302">
        <v>3.0197193860737901</v>
      </c>
      <c r="D950" s="302">
        <v>2.062092322650479</v>
      </c>
      <c r="E950" s="302">
        <f t="shared" si="406"/>
        <v>10.613433694594377</v>
      </c>
      <c r="F950" s="303"/>
      <c r="G950" s="302">
        <v>4.1503372233290285</v>
      </c>
      <c r="H950" s="302">
        <v>1.9760252802994898</v>
      </c>
      <c r="I950" s="302">
        <v>1.0638058346698316</v>
      </c>
      <c r="J950" s="302">
        <f t="shared" si="409"/>
        <v>7.1901683382983501</v>
      </c>
      <c r="K950" s="303"/>
      <c r="L950" s="302">
        <v>4.8682772395833211</v>
      </c>
      <c r="M950" s="302">
        <v>2.7230595115714804</v>
      </c>
      <c r="N950" s="302">
        <v>1.2039103777183737</v>
      </c>
      <c r="O950" s="302">
        <f t="shared" si="408"/>
        <v>8.7952471288731751</v>
      </c>
    </row>
    <row r="951" spans="1:15" s="236" customFormat="1" x14ac:dyDescent="0.3">
      <c r="A951" s="237" t="str">
        <f>name!E$11</f>
        <v>Process, plant and machine operatives</v>
      </c>
      <c r="B951" s="302">
        <v>1.2332130011154478</v>
      </c>
      <c r="C951" s="302">
        <v>0.72943555890016931</v>
      </c>
      <c r="D951" s="302">
        <v>0.54494269324812816</v>
      </c>
      <c r="E951" s="302">
        <f t="shared" si="406"/>
        <v>2.5075912532637452</v>
      </c>
      <c r="F951" s="303"/>
      <c r="G951" s="302">
        <v>0.65474381245886437</v>
      </c>
      <c r="H951" s="302">
        <v>0.38170097322127244</v>
      </c>
      <c r="I951" s="302">
        <v>0.4559999242848557</v>
      </c>
      <c r="J951" s="302">
        <f t="shared" si="409"/>
        <v>1.4924447099649925</v>
      </c>
      <c r="K951" s="303"/>
      <c r="L951" s="302">
        <v>0.78150798043947067</v>
      </c>
      <c r="M951" s="302">
        <v>0.73568978081223824</v>
      </c>
      <c r="N951" s="302">
        <v>0.95446094618212662</v>
      </c>
      <c r="O951" s="302">
        <f t="shared" si="408"/>
        <v>2.4716587074338356</v>
      </c>
    </row>
    <row r="952" spans="1:15" s="236" customFormat="1" x14ac:dyDescent="0.3">
      <c r="A952" s="237" t="str">
        <f>name!E$12</f>
        <v>Elementary occupations</v>
      </c>
      <c r="B952" s="302">
        <v>2.0529440794802207</v>
      </c>
      <c r="C952" s="302">
        <v>1.5573487765585057</v>
      </c>
      <c r="D952" s="302">
        <v>1.0850228173651852</v>
      </c>
      <c r="E952" s="302">
        <f t="shared" si="406"/>
        <v>4.6953156734039112</v>
      </c>
      <c r="F952" s="303"/>
      <c r="G952" s="302">
        <v>1.3238501185410341</v>
      </c>
      <c r="H952" s="302">
        <v>0.87455361400573373</v>
      </c>
      <c r="I952" s="302">
        <v>0.62603900845675053</v>
      </c>
      <c r="J952" s="302">
        <f t="shared" si="409"/>
        <v>2.8244427410035184</v>
      </c>
      <c r="K952" s="303"/>
      <c r="L952" s="302">
        <v>1.3229805532997065</v>
      </c>
      <c r="M952" s="302">
        <v>0.8870694201293694</v>
      </c>
      <c r="N952" s="302">
        <v>1.3896166967701289</v>
      </c>
      <c r="O952" s="302">
        <f t="shared" si="408"/>
        <v>3.5996666701992046</v>
      </c>
    </row>
    <row r="953" spans="1:15" s="236" customFormat="1" x14ac:dyDescent="0.3">
      <c r="A953" s="237"/>
      <c r="B953" s="302"/>
      <c r="C953" s="302"/>
      <c r="D953" s="302"/>
      <c r="E953" s="302"/>
      <c r="F953" s="303"/>
      <c r="G953" s="302"/>
      <c r="H953" s="302"/>
      <c r="I953" s="302"/>
      <c r="J953" s="302"/>
      <c r="K953" s="303"/>
      <c r="L953" s="302"/>
      <c r="M953" s="302"/>
      <c r="N953" s="302"/>
      <c r="O953" s="302"/>
    </row>
    <row r="954" spans="1:15" s="236" customFormat="1" x14ac:dyDescent="0.3">
      <c r="A954" s="244" t="s">
        <v>32</v>
      </c>
      <c r="B954" s="311">
        <f>SUM(B944:B952)</f>
        <v>158.73699999656012</v>
      </c>
      <c r="C954" s="311">
        <f t="shared" ref="C954:E954" si="410">SUM(C944:C952)</f>
        <v>46.126999999709064</v>
      </c>
      <c r="D954" s="311">
        <f t="shared" si="410"/>
        <v>64.351000000337763</v>
      </c>
      <c r="E954" s="311">
        <f t="shared" si="410"/>
        <v>269.21499999660693</v>
      </c>
      <c r="F954" s="311"/>
      <c r="G954" s="311">
        <f t="shared" ref="G954:J954" si="411">SUM(G944:G952)</f>
        <v>149.68499999943108</v>
      </c>
      <c r="H954" s="311">
        <f t="shared" si="411"/>
        <v>35.929999999973305</v>
      </c>
      <c r="I954" s="311">
        <f t="shared" si="411"/>
        <v>48.832000000396583</v>
      </c>
      <c r="J954" s="311">
        <f t="shared" si="411"/>
        <v>234.44699999980102</v>
      </c>
      <c r="K954" s="311"/>
      <c r="L954" s="311">
        <f t="shared" ref="L954:O954" si="412">SUM(L944:L952)</f>
        <v>182.59500000061763</v>
      </c>
      <c r="M954" s="311">
        <f t="shared" si="412"/>
        <v>45.694000000181532</v>
      </c>
      <c r="N954" s="311">
        <f t="shared" si="412"/>
        <v>66.121000001662196</v>
      </c>
      <c r="O954" s="311">
        <f t="shared" si="412"/>
        <v>294.41000000246146</v>
      </c>
    </row>
    <row r="955" spans="1:15" s="236" customFormat="1" x14ac:dyDescent="0.3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40"/>
    </row>
    <row r="956" spans="1:15" s="236" customFormat="1" x14ac:dyDescent="0.3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40"/>
      <c r="O956" s="251" t="s">
        <v>35</v>
      </c>
    </row>
    <row r="957" spans="1:15" s="236" customFormat="1" x14ac:dyDescent="0.3">
      <c r="A957" s="242"/>
      <c r="B957" s="242"/>
      <c r="C957" s="242"/>
      <c r="D957" s="242"/>
      <c r="E957" s="242"/>
      <c r="F957" s="242"/>
      <c r="G957" s="242"/>
      <c r="H957" s="242"/>
      <c r="I957" s="242"/>
      <c r="J957" s="242"/>
      <c r="K957" s="242"/>
      <c r="L957" s="242"/>
      <c r="M957" s="242"/>
      <c r="N957" s="242"/>
      <c r="O957" s="242"/>
    </row>
    <row r="958" spans="1:15" s="236" customFormat="1" x14ac:dyDescent="0.3">
      <c r="A958" s="241" t="str">
        <f>name!A59</f>
        <v>Other professional</v>
      </c>
      <c r="B958" s="375">
        <f>$B$6</f>
        <v>2015</v>
      </c>
      <c r="C958" s="375"/>
      <c r="D958" s="375"/>
      <c r="E958" s="375"/>
      <c r="F958" s="263"/>
      <c r="G958" s="375">
        <f>$G$6</f>
        <v>2020</v>
      </c>
      <c r="H958" s="375"/>
      <c r="I958" s="375"/>
      <c r="J958" s="375"/>
      <c r="K958" s="263"/>
      <c r="L958" s="375">
        <f>$L$6</f>
        <v>2035</v>
      </c>
      <c r="M958" s="375"/>
      <c r="N958" s="375"/>
      <c r="O958" s="375"/>
    </row>
    <row r="959" spans="1:15" s="236" customFormat="1" x14ac:dyDescent="0.3">
      <c r="A959" s="254"/>
      <c r="B959" s="268" t="str">
        <f>$B$7</f>
        <v>FT</v>
      </c>
      <c r="C959" s="268" t="str">
        <f>$C$7</f>
        <v>PT</v>
      </c>
      <c r="D959" s="268" t="str">
        <f>$D$7</f>
        <v>SE</v>
      </c>
      <c r="E959" s="268" t="str">
        <f>$E$7</f>
        <v>Total</v>
      </c>
      <c r="F959" s="268"/>
      <c r="G959" s="268" t="str">
        <f>$G$7</f>
        <v>FT</v>
      </c>
      <c r="H959" s="268" t="str">
        <f>$H$7</f>
        <v>PT</v>
      </c>
      <c r="I959" s="268" t="str">
        <f>$I$7</f>
        <v>SE</v>
      </c>
      <c r="J959" s="268" t="str">
        <f>$J$7</f>
        <v>Total</v>
      </c>
      <c r="K959" s="268"/>
      <c r="L959" s="268" t="str">
        <f>$L$7</f>
        <v>FT</v>
      </c>
      <c r="M959" s="268" t="str">
        <f>$M$7</f>
        <v>PT</v>
      </c>
      <c r="N959" s="268" t="str">
        <f>$N$7</f>
        <v>SE</v>
      </c>
      <c r="O959" s="268" t="str">
        <f>$O$7</f>
        <v>Total</v>
      </c>
    </row>
    <row r="960" spans="1:15" s="236" customFormat="1" x14ac:dyDescent="0.3">
      <c r="A960" s="258"/>
      <c r="B960" s="239"/>
      <c r="C960" s="239"/>
      <c r="D960" s="239"/>
      <c r="E960" s="239"/>
      <c r="F960" s="239"/>
      <c r="G960" s="239"/>
      <c r="H960" s="239"/>
      <c r="I960" s="239"/>
      <c r="J960" s="239"/>
      <c r="K960" s="239"/>
      <c r="L960" s="239"/>
      <c r="M960" s="239"/>
      <c r="N960" s="239"/>
      <c r="O960" s="239"/>
    </row>
    <row r="961" spans="1:15" s="236" customFormat="1" x14ac:dyDescent="0.3">
      <c r="A961" s="237" t="str">
        <f>name!E$4</f>
        <v>Managers, directors and senior officials</v>
      </c>
      <c r="B961" s="302">
        <v>16.630031138365528</v>
      </c>
      <c r="C961" s="302">
        <v>2.0392082975814585</v>
      </c>
      <c r="D961" s="302">
        <v>8.7056151745749553</v>
      </c>
      <c r="E961" s="302">
        <f>SUM(B961:D961)</f>
        <v>27.37485461052194</v>
      </c>
      <c r="F961" s="303"/>
      <c r="G961" s="302">
        <v>18.9433137928246</v>
      </c>
      <c r="H961" s="302">
        <v>3.5090157471954826</v>
      </c>
      <c r="I961" s="302">
        <v>9.7807726210594303</v>
      </c>
      <c r="J961" s="302">
        <f>SUM(G961:I961)</f>
        <v>32.233102161079515</v>
      </c>
      <c r="K961" s="303"/>
      <c r="L961" s="302">
        <v>23.799270961585272</v>
      </c>
      <c r="M961" s="302">
        <v>5.270051565245951</v>
      </c>
      <c r="N961" s="302">
        <v>14.467458886980269</v>
      </c>
      <c r="O961" s="302">
        <f>SUM(L961:N961)</f>
        <v>43.536781413811489</v>
      </c>
    </row>
    <row r="962" spans="1:15" s="236" customFormat="1" x14ac:dyDescent="0.3">
      <c r="A962" s="237" t="str">
        <f>name!E$5</f>
        <v>Professional occupations</v>
      </c>
      <c r="B962" s="302">
        <v>38.656897708209506</v>
      </c>
      <c r="C962" s="302">
        <v>3.5129600443783784</v>
      </c>
      <c r="D962" s="302">
        <v>23.037880509921784</v>
      </c>
      <c r="E962" s="302">
        <f t="shared" ref="E962:E969" si="413">SUM(B962:D962)</f>
        <v>65.207738262509679</v>
      </c>
      <c r="F962" s="303"/>
      <c r="G962" s="302">
        <v>52.094490293069498</v>
      </c>
      <c r="H962" s="302">
        <v>6.2232617741298188</v>
      </c>
      <c r="I962" s="302">
        <v>22.894315678674261</v>
      </c>
      <c r="J962" s="302">
        <f t="shared" ref="J962:J964" si="414">SUM(G962:I962)</f>
        <v>81.212067745873583</v>
      </c>
      <c r="K962" s="303"/>
      <c r="L962" s="302">
        <v>74.882754971949069</v>
      </c>
      <c r="M962" s="302">
        <v>9.5417767564000027</v>
      </c>
      <c r="N962" s="302">
        <v>27.617522281745849</v>
      </c>
      <c r="O962" s="302">
        <f t="shared" ref="O962:O969" si="415">SUM(L962:N962)</f>
        <v>112.04205401009492</v>
      </c>
    </row>
    <row r="963" spans="1:15" s="236" customFormat="1" x14ac:dyDescent="0.3">
      <c r="A963" s="237" t="str">
        <f>name!E$6</f>
        <v>Associate professional occupations</v>
      </c>
      <c r="B963" s="302">
        <v>24.366195541832152</v>
      </c>
      <c r="C963" s="302">
        <v>3.3172272587163363</v>
      </c>
      <c r="D963" s="302">
        <v>13.757853400871118</v>
      </c>
      <c r="E963" s="302">
        <f t="shared" si="413"/>
        <v>41.441276201419605</v>
      </c>
      <c r="F963" s="303"/>
      <c r="G963" s="302">
        <v>28.97507767277154</v>
      </c>
      <c r="H963" s="302">
        <v>4.8875374264107778</v>
      </c>
      <c r="I963" s="302">
        <v>14.163938984727254</v>
      </c>
      <c r="J963" s="302">
        <f t="shared" si="414"/>
        <v>48.026554083909573</v>
      </c>
      <c r="K963" s="303"/>
      <c r="L963" s="302">
        <v>34.083226547406653</v>
      </c>
      <c r="M963" s="302">
        <v>6.7384540437096581</v>
      </c>
      <c r="N963" s="302">
        <v>18.030906451116049</v>
      </c>
      <c r="O963" s="302">
        <f t="shared" si="415"/>
        <v>58.852587042232358</v>
      </c>
    </row>
    <row r="964" spans="1:15" s="236" customFormat="1" x14ac:dyDescent="0.3">
      <c r="A964" s="237" t="str">
        <f>name!E$7</f>
        <v>Administrative and secretarial occupations</v>
      </c>
      <c r="B964" s="302">
        <v>19.730285217133027</v>
      </c>
      <c r="C964" s="302">
        <v>8.3250268348799796</v>
      </c>
      <c r="D964" s="302">
        <v>4.8298935949325728</v>
      </c>
      <c r="E964" s="302">
        <f t="shared" si="413"/>
        <v>32.885205646945579</v>
      </c>
      <c r="F964" s="303"/>
      <c r="G964" s="302">
        <v>21.232796593531443</v>
      </c>
      <c r="H964" s="302">
        <v>11.056096171428685</v>
      </c>
      <c r="I964" s="302">
        <v>5.1844404694836301</v>
      </c>
      <c r="J964" s="302">
        <f t="shared" si="414"/>
        <v>37.473333234443757</v>
      </c>
      <c r="K964" s="303"/>
      <c r="L964" s="302">
        <v>19.2336039490392</v>
      </c>
      <c r="M964" s="302">
        <v>13.446603297502875</v>
      </c>
      <c r="N964" s="302">
        <v>6.8460582173184488</v>
      </c>
      <c r="O964" s="302">
        <f t="shared" si="415"/>
        <v>39.526265463860526</v>
      </c>
    </row>
    <row r="965" spans="1:15" s="236" customFormat="1" x14ac:dyDescent="0.3">
      <c r="A965" s="237" t="str">
        <f>name!E$8</f>
        <v>Skilled trades occupations</v>
      </c>
      <c r="B965" s="302">
        <v>3.9753473978691818</v>
      </c>
      <c r="C965" s="302">
        <v>0.60146677672334614</v>
      </c>
      <c r="D965" s="302">
        <v>3.4255104693872895</v>
      </c>
      <c r="E965" s="302">
        <f t="shared" si="413"/>
        <v>8.0023246439798168</v>
      </c>
      <c r="F965" s="303"/>
      <c r="G965" s="302">
        <v>3.2574577174705501</v>
      </c>
      <c r="H965" s="302">
        <v>0.44778459784996266</v>
      </c>
      <c r="I965" s="302">
        <v>2.7411278093008087</v>
      </c>
      <c r="J965" s="302">
        <f>SUM(G965:I965)</f>
        <v>6.4463701246213212</v>
      </c>
      <c r="K965" s="303"/>
      <c r="L965" s="302">
        <v>3.5306888274900601</v>
      </c>
      <c r="M965" s="302">
        <v>0.83372685656172674</v>
      </c>
      <c r="N965" s="302">
        <v>3.8658469471293091</v>
      </c>
      <c r="O965" s="302">
        <f t="shared" si="415"/>
        <v>8.2302626311810965</v>
      </c>
    </row>
    <row r="966" spans="1:15" s="236" customFormat="1" x14ac:dyDescent="0.3">
      <c r="A966" s="237" t="str">
        <f>name!E$9</f>
        <v>Caring, leisure and other service occupations</v>
      </c>
      <c r="B966" s="302">
        <v>3.0117984853731126</v>
      </c>
      <c r="C966" s="302">
        <v>1.8977402168081814</v>
      </c>
      <c r="D966" s="302">
        <v>2.5169570000012138</v>
      </c>
      <c r="E966" s="302">
        <f t="shared" si="413"/>
        <v>7.4264957021825078</v>
      </c>
      <c r="F966" s="303"/>
      <c r="G966" s="302">
        <v>3.1782600563654086</v>
      </c>
      <c r="H966" s="302">
        <v>2.32291717072171</v>
      </c>
      <c r="I966" s="302">
        <v>2.8802170205301163</v>
      </c>
      <c r="J966" s="302">
        <f t="shared" ref="J966:J969" si="416">SUM(G966:I966)</f>
        <v>8.3813942476172354</v>
      </c>
      <c r="K966" s="303"/>
      <c r="L966" s="302">
        <v>4.0371884914467415</v>
      </c>
      <c r="M966" s="302">
        <v>2.7708541622890612</v>
      </c>
      <c r="N966" s="302">
        <v>4.6435937919897414</v>
      </c>
      <c r="O966" s="302">
        <f t="shared" si="415"/>
        <v>11.451636445725544</v>
      </c>
    </row>
    <row r="967" spans="1:15" s="236" customFormat="1" x14ac:dyDescent="0.3">
      <c r="A967" s="237" t="str">
        <f>name!E$10</f>
        <v>Sales and customer service occupations</v>
      </c>
      <c r="B967" s="302">
        <v>6.3286320808419188</v>
      </c>
      <c r="C967" s="302">
        <v>2.1264851350060168</v>
      </c>
      <c r="D967" s="302">
        <v>2.0515425809501791</v>
      </c>
      <c r="E967" s="302">
        <f t="shared" si="413"/>
        <v>10.506659796798115</v>
      </c>
      <c r="F967" s="303"/>
      <c r="G967" s="302">
        <v>6.4093737054032003</v>
      </c>
      <c r="H967" s="302">
        <v>2.7224255588022084</v>
      </c>
      <c r="I967" s="302">
        <v>1.5603922932621657</v>
      </c>
      <c r="J967" s="302">
        <f t="shared" si="416"/>
        <v>10.692191557467574</v>
      </c>
      <c r="K967" s="303"/>
      <c r="L967" s="302">
        <v>8.4909799079025348</v>
      </c>
      <c r="M967" s="302">
        <v>4.3416858951042316</v>
      </c>
      <c r="N967" s="302">
        <v>1.8774139177442948</v>
      </c>
      <c r="O967" s="302">
        <f t="shared" si="415"/>
        <v>14.710079720751061</v>
      </c>
    </row>
    <row r="968" spans="1:15" s="236" customFormat="1" x14ac:dyDescent="0.3">
      <c r="A968" s="237" t="str">
        <f>name!E$11</f>
        <v>Process, plant and machine operatives</v>
      </c>
      <c r="B968" s="302">
        <v>2.8960387375122645</v>
      </c>
      <c r="C968" s="302">
        <v>0.73980095733133266</v>
      </c>
      <c r="D968" s="302">
        <v>0.70571542655221353</v>
      </c>
      <c r="E968" s="302">
        <f t="shared" si="413"/>
        <v>4.3415551213958103</v>
      </c>
      <c r="F968" s="303"/>
      <c r="G968" s="302">
        <v>2.1865818001106239</v>
      </c>
      <c r="H968" s="302">
        <v>0.74864825835229765</v>
      </c>
      <c r="I968" s="302">
        <v>0.76852641655469289</v>
      </c>
      <c r="J968" s="302">
        <f t="shared" si="416"/>
        <v>3.7037564750176144</v>
      </c>
      <c r="K968" s="303"/>
      <c r="L968" s="302">
        <v>2.4886592093904256</v>
      </c>
      <c r="M968" s="302">
        <v>1.1953602922269215</v>
      </c>
      <c r="N968" s="302">
        <v>1.2791945937309759</v>
      </c>
      <c r="O968" s="302">
        <f t="shared" si="415"/>
        <v>4.9632140953483228</v>
      </c>
    </row>
    <row r="969" spans="1:15" s="236" customFormat="1" x14ac:dyDescent="0.3">
      <c r="A969" s="237" t="str">
        <f>name!E$12</f>
        <v>Elementary occupations</v>
      </c>
      <c r="B969" s="302">
        <v>14.494773690939837</v>
      </c>
      <c r="C969" s="302">
        <v>9.8310844787546916</v>
      </c>
      <c r="D969" s="302">
        <v>10.229031843585789</v>
      </c>
      <c r="E969" s="302">
        <f t="shared" si="413"/>
        <v>34.554890013280314</v>
      </c>
      <c r="F969" s="303"/>
      <c r="G969" s="302">
        <v>12.45064836757917</v>
      </c>
      <c r="H969" s="302">
        <v>10.324313295265283</v>
      </c>
      <c r="I969" s="302">
        <v>8.7212687065863506</v>
      </c>
      <c r="J969" s="302">
        <f t="shared" si="416"/>
        <v>31.496230369430805</v>
      </c>
      <c r="K969" s="303"/>
      <c r="L969" s="302">
        <v>11.986627133762857</v>
      </c>
      <c r="M969" s="302">
        <v>9.151487131192825</v>
      </c>
      <c r="N969" s="302">
        <v>13.315004914173159</v>
      </c>
      <c r="O969" s="302">
        <f t="shared" si="415"/>
        <v>34.453119179128841</v>
      </c>
    </row>
    <row r="970" spans="1:15" s="236" customFormat="1" x14ac:dyDescent="0.3">
      <c r="A970" s="237"/>
      <c r="B970" s="302"/>
      <c r="C970" s="302"/>
      <c r="D970" s="302"/>
      <c r="E970" s="302"/>
      <c r="F970" s="303"/>
      <c r="G970" s="302"/>
      <c r="H970" s="302"/>
      <c r="I970" s="302"/>
      <c r="J970" s="302"/>
      <c r="K970" s="303"/>
      <c r="L970" s="302"/>
      <c r="M970" s="302"/>
      <c r="N970" s="302"/>
      <c r="O970" s="302"/>
    </row>
    <row r="971" spans="1:15" s="236" customFormat="1" x14ac:dyDescent="0.3">
      <c r="A971" s="244" t="s">
        <v>32</v>
      </c>
      <c r="B971" s="311">
        <f>SUM(B961:B969)</f>
        <v>130.08999999807654</v>
      </c>
      <c r="C971" s="311">
        <f t="shared" ref="C971:E971" si="417">SUM(C961:C969)</f>
        <v>32.391000000179723</v>
      </c>
      <c r="D971" s="311">
        <f t="shared" si="417"/>
        <v>69.260000000777111</v>
      </c>
      <c r="E971" s="311">
        <f t="shared" si="417"/>
        <v>231.74099999903336</v>
      </c>
      <c r="F971" s="311"/>
      <c r="G971" s="311">
        <f t="shared" ref="G971:J971" si="418">SUM(G961:G969)</f>
        <v>148.72799999912601</v>
      </c>
      <c r="H971" s="311">
        <f t="shared" si="418"/>
        <v>42.242000000156224</v>
      </c>
      <c r="I971" s="311">
        <f t="shared" si="418"/>
        <v>68.695000000178709</v>
      </c>
      <c r="J971" s="311">
        <f t="shared" si="418"/>
        <v>259.66499999946097</v>
      </c>
      <c r="K971" s="311"/>
      <c r="L971" s="311">
        <f t="shared" ref="L971:O971" si="419">SUM(L961:L969)</f>
        <v>182.53299999997279</v>
      </c>
      <c r="M971" s="311">
        <f t="shared" si="419"/>
        <v>53.290000000233256</v>
      </c>
      <c r="N971" s="311">
        <f t="shared" si="419"/>
        <v>91.943000001928098</v>
      </c>
      <c r="O971" s="311">
        <f t="shared" si="419"/>
        <v>327.76600000213426</v>
      </c>
    </row>
    <row r="972" spans="1:15" s="236" customFormat="1" x14ac:dyDescent="0.3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40"/>
    </row>
    <row r="973" spans="1:15" s="236" customFormat="1" x14ac:dyDescent="0.3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40"/>
      <c r="O973" s="251" t="s">
        <v>35</v>
      </c>
    </row>
    <row r="974" spans="1:15" s="236" customFormat="1" x14ac:dyDescent="0.3">
      <c r="A974" s="242"/>
      <c r="B974" s="242"/>
      <c r="C974" s="242"/>
      <c r="D974" s="242"/>
      <c r="E974" s="242"/>
      <c r="F974" s="242"/>
      <c r="G974" s="242"/>
      <c r="H974" s="242"/>
      <c r="I974" s="242"/>
      <c r="J974" s="242"/>
      <c r="K974" s="242"/>
      <c r="L974" s="242"/>
      <c r="M974" s="242"/>
      <c r="N974" s="242"/>
      <c r="O974" s="242"/>
    </row>
    <row r="975" spans="1:15" s="236" customFormat="1" x14ac:dyDescent="0.3">
      <c r="A975" s="241" t="str">
        <f>name!A60</f>
        <v>Veterinary</v>
      </c>
      <c r="B975" s="375">
        <f>$B$6</f>
        <v>2015</v>
      </c>
      <c r="C975" s="375"/>
      <c r="D975" s="375"/>
      <c r="E975" s="375"/>
      <c r="F975" s="263"/>
      <c r="G975" s="375">
        <f>$G$6</f>
        <v>2020</v>
      </c>
      <c r="H975" s="375"/>
      <c r="I975" s="375"/>
      <c r="J975" s="375"/>
      <c r="K975" s="263"/>
      <c r="L975" s="375">
        <f>$L$6</f>
        <v>2035</v>
      </c>
      <c r="M975" s="375"/>
      <c r="N975" s="375"/>
      <c r="O975" s="375"/>
    </row>
    <row r="976" spans="1:15" s="236" customFormat="1" x14ac:dyDescent="0.3">
      <c r="A976" s="254"/>
      <c r="B976" s="268" t="str">
        <f>$B$7</f>
        <v>FT</v>
      </c>
      <c r="C976" s="268" t="str">
        <f>$C$7</f>
        <v>PT</v>
      </c>
      <c r="D976" s="268" t="str">
        <f>$D$7</f>
        <v>SE</v>
      </c>
      <c r="E976" s="268" t="str">
        <f>$E$7</f>
        <v>Total</v>
      </c>
      <c r="F976" s="268"/>
      <c r="G976" s="268" t="str">
        <f>$G$7</f>
        <v>FT</v>
      </c>
      <c r="H976" s="268" t="str">
        <f>$H$7</f>
        <v>PT</v>
      </c>
      <c r="I976" s="268" t="str">
        <f>$I$7</f>
        <v>SE</v>
      </c>
      <c r="J976" s="268" t="str">
        <f>$J$7</f>
        <v>Total</v>
      </c>
      <c r="K976" s="268"/>
      <c r="L976" s="268" t="str">
        <f>$L$7</f>
        <v>FT</v>
      </c>
      <c r="M976" s="268" t="str">
        <f>$M$7</f>
        <v>PT</v>
      </c>
      <c r="N976" s="268" t="str">
        <f>$N$7</f>
        <v>SE</v>
      </c>
      <c r="O976" s="268" t="str">
        <f>$O$7</f>
        <v>Total</v>
      </c>
    </row>
    <row r="977" spans="1:15" s="236" customFormat="1" x14ac:dyDescent="0.3">
      <c r="A977" s="258"/>
      <c r="B977" s="239"/>
      <c r="C977" s="239"/>
      <c r="D977" s="239"/>
      <c r="E977" s="239"/>
      <c r="F977" s="239"/>
      <c r="G977" s="239"/>
      <c r="H977" s="239"/>
      <c r="I977" s="239"/>
      <c r="J977" s="239"/>
      <c r="K977" s="239"/>
      <c r="L977" s="239"/>
      <c r="M977" s="239"/>
      <c r="N977" s="239"/>
      <c r="O977" s="239"/>
    </row>
    <row r="978" spans="1:15" s="236" customFormat="1" x14ac:dyDescent="0.3">
      <c r="A978" s="237" t="str">
        <f>name!E$4</f>
        <v>Managers, directors and senior officials</v>
      </c>
      <c r="B978" s="302">
        <v>2.5504389034916177</v>
      </c>
      <c r="C978" s="302">
        <v>0.50275375887125651</v>
      </c>
      <c r="D978" s="302">
        <v>1.1473735413473598</v>
      </c>
      <c r="E978" s="302">
        <f>SUM(B978:D978)</f>
        <v>4.2005662037102338</v>
      </c>
      <c r="F978" s="303"/>
      <c r="G978" s="302">
        <v>3.6120955064485325</v>
      </c>
      <c r="H978" s="302">
        <v>0.90127971935865026</v>
      </c>
      <c r="I978" s="302">
        <v>1.5852069846397394</v>
      </c>
      <c r="J978" s="302">
        <f>SUM(G978:I978)</f>
        <v>6.0985822104469225</v>
      </c>
      <c r="K978" s="303"/>
      <c r="L978" s="302">
        <v>4.2516389409838382</v>
      </c>
      <c r="M978" s="302">
        <v>1.2102555450865489</v>
      </c>
      <c r="N978" s="302">
        <v>2.3732185447139389</v>
      </c>
      <c r="O978" s="302">
        <f>SUM(L978:N978)</f>
        <v>7.835113030784326</v>
      </c>
    </row>
    <row r="979" spans="1:15" s="236" customFormat="1" x14ac:dyDescent="0.3">
      <c r="A979" s="237" t="str">
        <f>name!E$5</f>
        <v>Professional occupations</v>
      </c>
      <c r="B979" s="302">
        <v>14.918076069985407</v>
      </c>
      <c r="C979" s="302">
        <v>4.3245681318186202</v>
      </c>
      <c r="D979" s="302">
        <v>7.0278641429266955</v>
      </c>
      <c r="E979" s="302">
        <f t="shared" ref="E979:E986" si="420">SUM(B979:D979)</f>
        <v>26.270508344730722</v>
      </c>
      <c r="F979" s="303"/>
      <c r="G979" s="302">
        <v>22.389872521179555</v>
      </c>
      <c r="H979" s="302">
        <v>7.3944607235878488</v>
      </c>
      <c r="I979" s="302">
        <v>9.8778975061740208</v>
      </c>
      <c r="J979" s="302">
        <f t="shared" ref="J979:J981" si="421">SUM(G979:I979)</f>
        <v>39.662230750941426</v>
      </c>
      <c r="K979" s="303"/>
      <c r="L979" s="302">
        <v>29.050388365810107</v>
      </c>
      <c r="M979" s="302">
        <v>11.021845280281935</v>
      </c>
      <c r="N979" s="302">
        <v>14.215889333074255</v>
      </c>
      <c r="O979" s="302">
        <f t="shared" ref="O979:O986" si="422">SUM(L979:N979)</f>
        <v>54.288122979166303</v>
      </c>
    </row>
    <row r="980" spans="1:15" s="236" customFormat="1" x14ac:dyDescent="0.3">
      <c r="A980" s="237" t="str">
        <f>name!E$6</f>
        <v>Associate professional occupations</v>
      </c>
      <c r="B980" s="302">
        <v>6.1960889065194351</v>
      </c>
      <c r="C980" s="302">
        <v>2.3563442332606228</v>
      </c>
      <c r="D980" s="302">
        <v>3.068375515570902</v>
      </c>
      <c r="E980" s="302">
        <f t="shared" si="420"/>
        <v>11.62080865535096</v>
      </c>
      <c r="F980" s="303"/>
      <c r="G980" s="302">
        <v>8.6681652400752753</v>
      </c>
      <c r="H980" s="302">
        <v>3.9295502138918166</v>
      </c>
      <c r="I980" s="302">
        <v>3.4014919232645817</v>
      </c>
      <c r="J980" s="302">
        <f t="shared" si="421"/>
        <v>15.999207377231674</v>
      </c>
      <c r="K980" s="303"/>
      <c r="L980" s="302">
        <v>10.542673557714544</v>
      </c>
      <c r="M980" s="302">
        <v>5.1223391941114285</v>
      </c>
      <c r="N980" s="302">
        <v>5.0326953689450926</v>
      </c>
      <c r="O980" s="302">
        <f t="shared" si="422"/>
        <v>20.697708120771065</v>
      </c>
    </row>
    <row r="981" spans="1:15" s="236" customFormat="1" x14ac:dyDescent="0.3">
      <c r="A981" s="237" t="str">
        <f>name!E$7</f>
        <v>Administrative and secretarial occupations</v>
      </c>
      <c r="B981" s="302">
        <v>3.1681326640545939</v>
      </c>
      <c r="C981" s="302">
        <v>2.5531332281027308</v>
      </c>
      <c r="D981" s="302">
        <v>0.72130745663460827</v>
      </c>
      <c r="E981" s="302">
        <f t="shared" si="420"/>
        <v>6.4425733487919334</v>
      </c>
      <c r="F981" s="303"/>
      <c r="G981" s="302">
        <v>4.0108714521644515</v>
      </c>
      <c r="H981" s="302">
        <v>3.6282622461762943</v>
      </c>
      <c r="I981" s="302">
        <v>0.6128068458316126</v>
      </c>
      <c r="J981" s="302">
        <f t="shared" si="421"/>
        <v>8.2519405441723581</v>
      </c>
      <c r="K981" s="303"/>
      <c r="L981" s="302">
        <v>3.8851118727301692</v>
      </c>
      <c r="M981" s="302">
        <v>2.6974204940891435</v>
      </c>
      <c r="N981" s="302">
        <v>0.44405502859312507</v>
      </c>
      <c r="O981" s="302">
        <f t="shared" si="422"/>
        <v>7.026587395412438</v>
      </c>
    </row>
    <row r="982" spans="1:15" s="236" customFormat="1" x14ac:dyDescent="0.3">
      <c r="A982" s="237" t="str">
        <f>name!E$8</f>
        <v>Skilled trades occupations</v>
      </c>
      <c r="B982" s="302">
        <v>0.70345680206134986</v>
      </c>
      <c r="C982" s="302">
        <v>0.34390675389160108</v>
      </c>
      <c r="D982" s="302">
        <v>0.35992045546097351</v>
      </c>
      <c r="E982" s="302">
        <f t="shared" si="420"/>
        <v>1.4072840114139247</v>
      </c>
      <c r="F982" s="303"/>
      <c r="G982" s="302">
        <v>0.64682663578539623</v>
      </c>
      <c r="H982" s="302">
        <v>0.30845518613441564</v>
      </c>
      <c r="I982" s="302">
        <v>0.42851289807496667</v>
      </c>
      <c r="J982" s="302">
        <f>SUM(G982:I982)</f>
        <v>1.3837947199947784</v>
      </c>
      <c r="K982" s="303"/>
      <c r="L982" s="302">
        <v>0.35967139748215776</v>
      </c>
      <c r="M982" s="302">
        <v>0.20788528834213049</v>
      </c>
      <c r="N982" s="302">
        <v>0.67696997564952488</v>
      </c>
      <c r="O982" s="302">
        <f t="shared" si="422"/>
        <v>1.2445266614738131</v>
      </c>
    </row>
    <row r="983" spans="1:15" s="236" customFormat="1" x14ac:dyDescent="0.3">
      <c r="A983" s="237" t="str">
        <f>name!E$9</f>
        <v>Caring, leisure and other service occupations</v>
      </c>
      <c r="B983" s="302">
        <v>12.746657188062558</v>
      </c>
      <c r="C983" s="302">
        <v>7.5187603629225386</v>
      </c>
      <c r="D983" s="302">
        <v>7.4694038127780713</v>
      </c>
      <c r="E983" s="302">
        <f t="shared" si="420"/>
        <v>27.734821363763171</v>
      </c>
      <c r="F983" s="303"/>
      <c r="G983" s="302">
        <v>16.826302643702803</v>
      </c>
      <c r="H983" s="302">
        <v>11.220976160743639</v>
      </c>
      <c r="I983" s="302">
        <v>9.3600903451018258</v>
      </c>
      <c r="J983" s="302">
        <f t="shared" ref="J983:J986" si="423">SUM(G983:I983)</f>
        <v>37.407369149548266</v>
      </c>
      <c r="K983" s="303"/>
      <c r="L983" s="302">
        <v>23.279033534408565</v>
      </c>
      <c r="M983" s="302">
        <v>16.126994621194136</v>
      </c>
      <c r="N983" s="302">
        <v>13.537587293426895</v>
      </c>
      <c r="O983" s="302">
        <f t="shared" si="422"/>
        <v>52.943615449029593</v>
      </c>
    </row>
    <row r="984" spans="1:15" s="236" customFormat="1" x14ac:dyDescent="0.3">
      <c r="A984" s="237" t="str">
        <f>name!E$10</f>
        <v>Sales and customer service occupations</v>
      </c>
      <c r="B984" s="302">
        <v>0.48193063340846481</v>
      </c>
      <c r="C984" s="302">
        <v>0.34635336789869287</v>
      </c>
      <c r="D984" s="302">
        <v>0.24601648291308237</v>
      </c>
      <c r="E984" s="302">
        <f t="shared" si="420"/>
        <v>1.0743004842202402</v>
      </c>
      <c r="F984" s="303"/>
      <c r="G984" s="302">
        <v>0.58459475468457112</v>
      </c>
      <c r="H984" s="302">
        <v>0.47792542778138064</v>
      </c>
      <c r="I984" s="302">
        <v>0.19711591500049572</v>
      </c>
      <c r="J984" s="302">
        <f t="shared" si="423"/>
        <v>1.2596360974664476</v>
      </c>
      <c r="K984" s="303"/>
      <c r="L984" s="302">
        <v>0.71580210599976135</v>
      </c>
      <c r="M984" s="302">
        <v>0.54644697403789266</v>
      </c>
      <c r="N984" s="302">
        <v>0.33981037338161896</v>
      </c>
      <c r="O984" s="302">
        <f t="shared" si="422"/>
        <v>1.6020594534192729</v>
      </c>
    </row>
    <row r="985" spans="1:15" s="236" customFormat="1" x14ac:dyDescent="0.3">
      <c r="A985" s="237" t="str">
        <f>name!E$11</f>
        <v>Process, plant and machine operatives</v>
      </c>
      <c r="B985" s="302">
        <v>0.22080775813338985</v>
      </c>
      <c r="C985" s="302">
        <v>0.34110030416524229</v>
      </c>
      <c r="D985" s="302">
        <v>8.3942188205312365E-2</v>
      </c>
      <c r="E985" s="302">
        <f t="shared" si="420"/>
        <v>0.64585025050394451</v>
      </c>
      <c r="F985" s="303"/>
      <c r="G985" s="302">
        <v>0.19253593073557337</v>
      </c>
      <c r="H985" s="302">
        <v>0.34490745047370364</v>
      </c>
      <c r="I985" s="302">
        <v>0.11126145882805195</v>
      </c>
      <c r="J985" s="302">
        <f t="shared" si="423"/>
        <v>0.64870484003732898</v>
      </c>
      <c r="K985" s="303"/>
      <c r="L985" s="302">
        <v>0.13904936438302162</v>
      </c>
      <c r="M985" s="302">
        <v>0.33938815180376164</v>
      </c>
      <c r="N985" s="302">
        <v>0.1411010017031788</v>
      </c>
      <c r="O985" s="302">
        <f t="shared" si="422"/>
        <v>0.61953851788996206</v>
      </c>
    </row>
    <row r="986" spans="1:15" s="236" customFormat="1" x14ac:dyDescent="0.3">
      <c r="A986" s="237" t="str">
        <f>name!E$12</f>
        <v>Elementary occupations</v>
      </c>
      <c r="B986" s="302">
        <v>0.83441107389275759</v>
      </c>
      <c r="C986" s="302">
        <v>1.4630798587746061</v>
      </c>
      <c r="D986" s="302">
        <v>0.28879640309592319</v>
      </c>
      <c r="E986" s="302">
        <f t="shared" si="420"/>
        <v>2.586287335763287</v>
      </c>
      <c r="F986" s="303"/>
      <c r="G986" s="302">
        <v>0.81673531496594887</v>
      </c>
      <c r="H986" s="302">
        <v>1.5971828714931608</v>
      </c>
      <c r="I986" s="302">
        <v>0.15761612472377398</v>
      </c>
      <c r="J986" s="302">
        <f t="shared" si="423"/>
        <v>2.5715343111828837</v>
      </c>
      <c r="K986" s="303"/>
      <c r="L986" s="302">
        <v>0.50763086033674198</v>
      </c>
      <c r="M986" s="302">
        <v>1.5014244510314927</v>
      </c>
      <c r="N986" s="302">
        <v>0.30567308089639145</v>
      </c>
      <c r="O986" s="302">
        <f t="shared" si="422"/>
        <v>2.3147283922646262</v>
      </c>
    </row>
    <row r="987" spans="1:15" s="236" customFormat="1" x14ac:dyDescent="0.3">
      <c r="A987" s="237"/>
      <c r="B987" s="302"/>
      <c r="C987" s="302"/>
      <c r="D987" s="302"/>
      <c r="E987" s="302"/>
      <c r="F987" s="303"/>
      <c r="G987" s="302"/>
      <c r="H987" s="302"/>
      <c r="I987" s="302"/>
      <c r="J987" s="302"/>
      <c r="K987" s="303"/>
      <c r="L987" s="302"/>
      <c r="M987" s="302"/>
      <c r="N987" s="302"/>
      <c r="O987" s="302"/>
    </row>
    <row r="988" spans="1:15" s="236" customFormat="1" x14ac:dyDescent="0.3">
      <c r="A988" s="244" t="s">
        <v>32</v>
      </c>
      <c r="B988" s="311">
        <f>SUM(B978:B986)</f>
        <v>41.819999999609578</v>
      </c>
      <c r="C988" s="311">
        <f t="shared" ref="C988:E988" si="424">SUM(C978:C986)</f>
        <v>19.74999999970591</v>
      </c>
      <c r="D988" s="311">
        <f t="shared" si="424"/>
        <v>20.412999998932928</v>
      </c>
      <c r="E988" s="311">
        <f t="shared" si="424"/>
        <v>81.982999998248417</v>
      </c>
      <c r="F988" s="311"/>
      <c r="G988" s="311">
        <f t="shared" ref="G988:J988" si="425">SUM(G978:G986)</f>
        <v>57.747999999742106</v>
      </c>
      <c r="H988" s="311">
        <f t="shared" si="425"/>
        <v>29.802999999640907</v>
      </c>
      <c r="I988" s="311">
        <f t="shared" si="425"/>
        <v>25.732000001639069</v>
      </c>
      <c r="J988" s="311">
        <f t="shared" si="425"/>
        <v>113.28300000102209</v>
      </c>
      <c r="K988" s="311"/>
      <c r="L988" s="311">
        <f t="shared" ref="L988:O988" si="426">SUM(L978:L986)</f>
        <v>72.730999999848919</v>
      </c>
      <c r="M988" s="311">
        <f t="shared" si="426"/>
        <v>38.773999999978464</v>
      </c>
      <c r="N988" s="311">
        <f t="shared" si="426"/>
        <v>37.067000000384013</v>
      </c>
      <c r="O988" s="311">
        <f t="shared" si="426"/>
        <v>148.5720000002114</v>
      </c>
    </row>
    <row r="989" spans="1:15" s="236" customFormat="1" x14ac:dyDescent="0.3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40"/>
    </row>
    <row r="990" spans="1:15" s="236" customFormat="1" x14ac:dyDescent="0.3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40"/>
      <c r="O990" s="251" t="s">
        <v>35</v>
      </c>
    </row>
    <row r="991" spans="1:15" s="236" customFormat="1" x14ac:dyDescent="0.3">
      <c r="A991" s="242"/>
      <c r="B991" s="242"/>
      <c r="C991" s="242"/>
      <c r="D991" s="242"/>
      <c r="E991" s="242"/>
      <c r="F991" s="242"/>
      <c r="G991" s="242"/>
      <c r="H991" s="242"/>
      <c r="I991" s="242"/>
      <c r="J991" s="242"/>
      <c r="K991" s="242"/>
      <c r="L991" s="242"/>
      <c r="M991" s="242"/>
      <c r="N991" s="242"/>
      <c r="O991" s="242"/>
    </row>
    <row r="992" spans="1:15" s="236" customFormat="1" x14ac:dyDescent="0.3">
      <c r="A992" s="241" t="str">
        <f>name!A61</f>
        <v>Rental and leasing</v>
      </c>
      <c r="B992" s="375">
        <f>$B$6</f>
        <v>2015</v>
      </c>
      <c r="C992" s="375"/>
      <c r="D992" s="375"/>
      <c r="E992" s="375"/>
      <c r="F992" s="263"/>
      <c r="G992" s="375">
        <f>$G$6</f>
        <v>2020</v>
      </c>
      <c r="H992" s="375"/>
      <c r="I992" s="375"/>
      <c r="J992" s="375"/>
      <c r="K992" s="263"/>
      <c r="L992" s="375">
        <f>$L$6</f>
        <v>2035</v>
      </c>
      <c r="M992" s="375"/>
      <c r="N992" s="375"/>
      <c r="O992" s="375"/>
    </row>
    <row r="993" spans="1:15" s="236" customFormat="1" x14ac:dyDescent="0.3">
      <c r="A993" s="254"/>
      <c r="B993" s="268" t="str">
        <f>$B$7</f>
        <v>FT</v>
      </c>
      <c r="C993" s="268" t="str">
        <f>$C$7</f>
        <v>PT</v>
      </c>
      <c r="D993" s="268" t="str">
        <f>$D$7</f>
        <v>SE</v>
      </c>
      <c r="E993" s="268" t="str">
        <f>$E$7</f>
        <v>Total</v>
      </c>
      <c r="F993" s="268"/>
      <c r="G993" s="268" t="str">
        <f>$G$7</f>
        <v>FT</v>
      </c>
      <c r="H993" s="268" t="str">
        <f>$H$7</f>
        <v>PT</v>
      </c>
      <c r="I993" s="268" t="str">
        <f>$I$7</f>
        <v>SE</v>
      </c>
      <c r="J993" s="268" t="str">
        <f>$J$7</f>
        <v>Total</v>
      </c>
      <c r="K993" s="268"/>
      <c r="L993" s="268" t="str">
        <f>$L$7</f>
        <v>FT</v>
      </c>
      <c r="M993" s="268" t="str">
        <f>$M$7</f>
        <v>PT</v>
      </c>
      <c r="N993" s="268" t="str">
        <f>$N$7</f>
        <v>SE</v>
      </c>
      <c r="O993" s="268" t="str">
        <f>$O$7</f>
        <v>Total</v>
      </c>
    </row>
    <row r="994" spans="1:15" s="236" customFormat="1" x14ac:dyDescent="0.3">
      <c r="A994" s="258"/>
      <c r="B994" s="239"/>
      <c r="C994" s="239"/>
      <c r="D994" s="239"/>
      <c r="E994" s="239"/>
      <c r="F994" s="239"/>
      <c r="G994" s="239"/>
      <c r="H994" s="239"/>
      <c r="I994" s="239"/>
      <c r="J994" s="239"/>
      <c r="K994" s="239"/>
      <c r="L994" s="239"/>
      <c r="M994" s="239"/>
      <c r="N994" s="239"/>
      <c r="O994" s="239"/>
    </row>
    <row r="995" spans="1:15" s="236" customFormat="1" x14ac:dyDescent="0.3">
      <c r="A995" s="237" t="str">
        <f>name!E$4</f>
        <v>Managers, directors and senior officials</v>
      </c>
      <c r="B995" s="302">
        <v>22.967284917478313</v>
      </c>
      <c r="C995" s="302">
        <v>1.1839577177521685</v>
      </c>
      <c r="D995" s="302">
        <v>6.2733144379510879</v>
      </c>
      <c r="E995" s="302">
        <f>SUM(B995:D995)</f>
        <v>30.424557073181568</v>
      </c>
      <c r="F995" s="303"/>
      <c r="G995" s="302">
        <v>23.11025713811523</v>
      </c>
      <c r="H995" s="302">
        <v>1.7489679473888586</v>
      </c>
      <c r="I995" s="302">
        <v>6.1256688338698346</v>
      </c>
      <c r="J995" s="302">
        <f>SUM(G995:I995)</f>
        <v>30.984893919373924</v>
      </c>
      <c r="K995" s="303"/>
      <c r="L995" s="302">
        <v>26.667502746815476</v>
      </c>
      <c r="M995" s="302">
        <v>2.1528001958301402</v>
      </c>
      <c r="N995" s="302">
        <v>7.8596687103236107</v>
      </c>
      <c r="O995" s="302">
        <f>SUM(L995:N995)</f>
        <v>36.679971652969229</v>
      </c>
    </row>
    <row r="996" spans="1:15" s="236" customFormat="1" x14ac:dyDescent="0.3">
      <c r="A996" s="237" t="str">
        <f>name!E$5</f>
        <v>Professional occupations</v>
      </c>
      <c r="B996" s="302">
        <v>22.570843244521171</v>
      </c>
      <c r="C996" s="302">
        <v>1.2748742264447084</v>
      </c>
      <c r="D996" s="302">
        <v>2.4023558413051638</v>
      </c>
      <c r="E996" s="302">
        <f t="shared" ref="E996:E1003" si="427">SUM(B996:D996)</f>
        <v>26.248073312271043</v>
      </c>
      <c r="F996" s="303"/>
      <c r="G996" s="302">
        <v>25.213297945223246</v>
      </c>
      <c r="H996" s="302">
        <v>1.9932649373861981</v>
      </c>
      <c r="I996" s="302">
        <v>2.2356169651517641</v>
      </c>
      <c r="J996" s="302">
        <f t="shared" ref="J996:J998" si="428">SUM(G996:I996)</f>
        <v>29.442179847761206</v>
      </c>
      <c r="K996" s="303"/>
      <c r="L996" s="302">
        <v>34.078609425280298</v>
      </c>
      <c r="M996" s="302">
        <v>2.9004793514202718</v>
      </c>
      <c r="N996" s="302">
        <v>1.9041792532978798</v>
      </c>
      <c r="O996" s="302">
        <f t="shared" ref="O996:O1003" si="429">SUM(L996:N996)</f>
        <v>38.883268029998455</v>
      </c>
    </row>
    <row r="997" spans="1:15" s="236" customFormat="1" x14ac:dyDescent="0.3">
      <c r="A997" s="237" t="str">
        <f>name!E$6</f>
        <v>Associate professional occupations</v>
      </c>
      <c r="B997" s="302">
        <v>17.19197242822456</v>
      </c>
      <c r="C997" s="302">
        <v>1.8026991840086262</v>
      </c>
      <c r="D997" s="302">
        <v>2.2442475961695627</v>
      </c>
      <c r="E997" s="302">
        <f t="shared" si="427"/>
        <v>21.238919208402748</v>
      </c>
      <c r="F997" s="303"/>
      <c r="G997" s="302">
        <v>17.952751769467653</v>
      </c>
      <c r="H997" s="302">
        <v>2.2024192033754275</v>
      </c>
      <c r="I997" s="302">
        <v>1.9066772746842475</v>
      </c>
      <c r="J997" s="302">
        <f t="shared" si="428"/>
        <v>22.06184824752733</v>
      </c>
      <c r="K997" s="303"/>
      <c r="L997" s="302">
        <v>19.604726035670758</v>
      </c>
      <c r="M997" s="302">
        <v>2.1726205100562064</v>
      </c>
      <c r="N997" s="302">
        <v>1.907572688412227</v>
      </c>
      <c r="O997" s="302">
        <f t="shared" si="429"/>
        <v>23.684919234139191</v>
      </c>
    </row>
    <row r="998" spans="1:15" s="236" customFormat="1" x14ac:dyDescent="0.3">
      <c r="A998" s="237" t="str">
        <f>name!E$7</f>
        <v>Administrative and secretarial occupations</v>
      </c>
      <c r="B998" s="302">
        <v>15.534627850544341</v>
      </c>
      <c r="C998" s="302">
        <v>4.3864563841302626</v>
      </c>
      <c r="D998" s="302">
        <v>1.3188889890290307</v>
      </c>
      <c r="E998" s="302">
        <f t="shared" si="427"/>
        <v>21.239973223703632</v>
      </c>
      <c r="F998" s="303"/>
      <c r="G998" s="302">
        <v>14.588449067886989</v>
      </c>
      <c r="H998" s="302">
        <v>4.2408227729886523</v>
      </c>
      <c r="I998" s="302">
        <v>1.1127638259170414</v>
      </c>
      <c r="J998" s="302">
        <f t="shared" si="428"/>
        <v>19.942035666792684</v>
      </c>
      <c r="K998" s="303"/>
      <c r="L998" s="302">
        <v>15.929447831480704</v>
      </c>
      <c r="M998" s="302">
        <v>3.8167754181373748</v>
      </c>
      <c r="N998" s="302">
        <v>1.2873887482360173</v>
      </c>
      <c r="O998" s="302">
        <f t="shared" si="429"/>
        <v>21.033611997854099</v>
      </c>
    </row>
    <row r="999" spans="1:15" s="236" customFormat="1" x14ac:dyDescent="0.3">
      <c r="A999" s="237" t="str">
        <f>name!E$8</f>
        <v>Skilled trades occupations</v>
      </c>
      <c r="B999" s="302">
        <v>16.649409392522518</v>
      </c>
      <c r="C999" s="302">
        <v>1.02901526599673</v>
      </c>
      <c r="D999" s="302">
        <v>2.6878296581368226</v>
      </c>
      <c r="E999" s="302">
        <f t="shared" si="427"/>
        <v>20.366254316656072</v>
      </c>
      <c r="F999" s="303"/>
      <c r="G999" s="302">
        <v>12.063025311343628</v>
      </c>
      <c r="H999" s="302">
        <v>0.61682904635718339</v>
      </c>
      <c r="I999" s="302">
        <v>2.1255600434991515</v>
      </c>
      <c r="J999" s="302">
        <f>SUM(G999:I999)</f>
        <v>14.805414401199963</v>
      </c>
      <c r="K999" s="303"/>
      <c r="L999" s="302">
        <v>10.99011389921171</v>
      </c>
      <c r="M999" s="302">
        <v>0.83399974691983514</v>
      </c>
      <c r="N999" s="302">
        <v>2.6944470210922784</v>
      </c>
      <c r="O999" s="302">
        <f t="shared" si="429"/>
        <v>14.518560667223824</v>
      </c>
    </row>
    <row r="1000" spans="1:15" s="236" customFormat="1" x14ac:dyDescent="0.3">
      <c r="A1000" s="237" t="str">
        <f>name!E$9</f>
        <v>Caring, leisure and other service occupations</v>
      </c>
      <c r="B1000" s="302">
        <v>3.397642188090837</v>
      </c>
      <c r="C1000" s="302">
        <v>0.88028840315747803</v>
      </c>
      <c r="D1000" s="302">
        <v>1.0862704813604314</v>
      </c>
      <c r="E1000" s="302">
        <f t="shared" si="427"/>
        <v>5.3642010726087461</v>
      </c>
      <c r="F1000" s="303"/>
      <c r="G1000" s="302">
        <v>3.1522538812395817</v>
      </c>
      <c r="H1000" s="302">
        <v>0.93988825699376188</v>
      </c>
      <c r="I1000" s="302">
        <v>1.0742939900242339</v>
      </c>
      <c r="J1000" s="302">
        <f t="shared" ref="J1000:J1003" si="430">SUM(G1000:I1000)</f>
        <v>5.1664361282575779</v>
      </c>
      <c r="K1000" s="303"/>
      <c r="L1000" s="302">
        <v>4.9290487252434678</v>
      </c>
      <c r="M1000" s="302">
        <v>1.1385904070409696</v>
      </c>
      <c r="N1000" s="302">
        <v>1.5068351405573648</v>
      </c>
      <c r="O1000" s="302">
        <f t="shared" si="429"/>
        <v>7.574474272841802</v>
      </c>
    </row>
    <row r="1001" spans="1:15" s="236" customFormat="1" x14ac:dyDescent="0.3">
      <c r="A1001" s="237" t="str">
        <f>name!E$10</f>
        <v>Sales and customer service occupations</v>
      </c>
      <c r="B1001" s="302">
        <v>7.7486824146080506</v>
      </c>
      <c r="C1001" s="302">
        <v>5.8624910002352015</v>
      </c>
      <c r="D1001" s="302">
        <v>3.1085854461719715</v>
      </c>
      <c r="E1001" s="302">
        <f t="shared" si="427"/>
        <v>16.719758861015222</v>
      </c>
      <c r="F1001" s="303"/>
      <c r="G1001" s="302">
        <v>6.5742746902419951</v>
      </c>
      <c r="H1001" s="302">
        <v>5.2819853852828631</v>
      </c>
      <c r="I1001" s="302">
        <v>2.1559061634626056</v>
      </c>
      <c r="J1001" s="302">
        <f t="shared" si="430"/>
        <v>14.012166238987463</v>
      </c>
      <c r="K1001" s="303"/>
      <c r="L1001" s="302">
        <v>7.6343880603085363</v>
      </c>
      <c r="M1001" s="302">
        <v>6.0635186793209197</v>
      </c>
      <c r="N1001" s="302">
        <v>1.7722124897733837</v>
      </c>
      <c r="O1001" s="302">
        <f t="shared" si="429"/>
        <v>15.47011922940284</v>
      </c>
    </row>
    <row r="1002" spans="1:15" s="236" customFormat="1" x14ac:dyDescent="0.3">
      <c r="A1002" s="237" t="str">
        <f>name!E$11</f>
        <v>Process, plant and machine operatives</v>
      </c>
      <c r="B1002" s="302">
        <v>17.097188174561897</v>
      </c>
      <c r="C1002" s="302">
        <v>6.2681019080624738</v>
      </c>
      <c r="D1002" s="302">
        <v>1.308435598426213</v>
      </c>
      <c r="E1002" s="302">
        <f t="shared" si="427"/>
        <v>24.673725681050584</v>
      </c>
      <c r="F1002" s="303"/>
      <c r="G1002" s="302">
        <v>12.531522041079571</v>
      </c>
      <c r="H1002" s="302">
        <v>6.1371898491489745</v>
      </c>
      <c r="I1002" s="302">
        <v>1.357624637247169</v>
      </c>
      <c r="J1002" s="302">
        <f t="shared" si="430"/>
        <v>20.026336527475713</v>
      </c>
      <c r="K1002" s="303"/>
      <c r="L1002" s="302">
        <v>12.514016916637187</v>
      </c>
      <c r="M1002" s="302">
        <v>6.8680435735389205</v>
      </c>
      <c r="N1002" s="302">
        <v>1.22096768710046</v>
      </c>
      <c r="O1002" s="302">
        <f t="shared" si="429"/>
        <v>20.60302817727657</v>
      </c>
    </row>
    <row r="1003" spans="1:15" s="236" customFormat="1" x14ac:dyDescent="0.3">
      <c r="A1003" s="237" t="str">
        <f>name!E$12</f>
        <v>Elementary occupations</v>
      </c>
      <c r="B1003" s="302">
        <v>2.8853493892601456</v>
      </c>
      <c r="C1003" s="302">
        <v>1.5441159105262825</v>
      </c>
      <c r="D1003" s="302">
        <v>1.9150719516958958</v>
      </c>
      <c r="E1003" s="302">
        <f t="shared" si="427"/>
        <v>6.3445372514823237</v>
      </c>
      <c r="F1003" s="303"/>
      <c r="G1003" s="302">
        <v>2.0131681551550296</v>
      </c>
      <c r="H1003" s="302">
        <v>1.1806326012196613</v>
      </c>
      <c r="I1003" s="302">
        <v>1.4748882662005085</v>
      </c>
      <c r="J1003" s="302">
        <f t="shared" si="430"/>
        <v>4.6686890225751991</v>
      </c>
      <c r="K1003" s="303"/>
      <c r="L1003" s="302">
        <v>1.9881463593377073</v>
      </c>
      <c r="M1003" s="302">
        <v>0.95617211781007472</v>
      </c>
      <c r="N1003" s="302">
        <v>2.0227282614669218</v>
      </c>
      <c r="O1003" s="302">
        <f t="shared" si="429"/>
        <v>4.9670467386147035</v>
      </c>
    </row>
    <row r="1004" spans="1:15" s="236" customFormat="1" x14ac:dyDescent="0.3">
      <c r="A1004" s="237"/>
      <c r="B1004" s="302"/>
      <c r="C1004" s="302"/>
      <c r="D1004" s="302"/>
      <c r="E1004" s="302"/>
      <c r="F1004" s="303"/>
      <c r="G1004" s="302"/>
      <c r="H1004" s="302"/>
      <c r="I1004" s="302"/>
      <c r="J1004" s="302"/>
      <c r="K1004" s="303"/>
      <c r="L1004" s="302"/>
      <c r="M1004" s="302"/>
      <c r="N1004" s="302"/>
      <c r="O1004" s="302"/>
    </row>
    <row r="1005" spans="1:15" s="236" customFormat="1" x14ac:dyDescent="0.3">
      <c r="A1005" s="244" t="s">
        <v>32</v>
      </c>
      <c r="B1005" s="311">
        <f>SUM(B995:B1003)</f>
        <v>126.04299999981183</v>
      </c>
      <c r="C1005" s="311">
        <f t="shared" ref="C1005:E1005" si="431">SUM(C995:C1003)</f>
        <v>24.232000000313931</v>
      </c>
      <c r="D1005" s="311">
        <f t="shared" si="431"/>
        <v>22.345000000246184</v>
      </c>
      <c r="E1005" s="311">
        <f t="shared" si="431"/>
        <v>172.62000000037193</v>
      </c>
      <c r="F1005" s="311"/>
      <c r="G1005" s="311">
        <f t="shared" ref="G1005:J1005" si="432">SUM(G995:G1003)</f>
        <v>117.19899999975291</v>
      </c>
      <c r="H1005" s="311">
        <f t="shared" si="432"/>
        <v>24.342000000141578</v>
      </c>
      <c r="I1005" s="311">
        <f t="shared" si="432"/>
        <v>19.569000000056555</v>
      </c>
      <c r="J1005" s="311">
        <f t="shared" si="432"/>
        <v>161.10999999995104</v>
      </c>
      <c r="K1005" s="311"/>
      <c r="L1005" s="311">
        <f t="shared" ref="L1005:O1005" si="433">SUM(L995:L1003)</f>
        <v>134.33599999998586</v>
      </c>
      <c r="M1005" s="311">
        <f t="shared" si="433"/>
        <v>26.903000000074709</v>
      </c>
      <c r="N1005" s="311">
        <f t="shared" si="433"/>
        <v>22.176000000260146</v>
      </c>
      <c r="O1005" s="311">
        <f t="shared" si="433"/>
        <v>183.41500000032073</v>
      </c>
    </row>
    <row r="1006" spans="1:15" s="236" customFormat="1" x14ac:dyDescent="0.3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37"/>
      <c r="M1006" s="237"/>
      <c r="N1006" s="240"/>
    </row>
    <row r="1007" spans="1:15" s="236" customFormat="1" x14ac:dyDescent="0.3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37"/>
      <c r="M1007" s="237"/>
      <c r="N1007" s="240"/>
      <c r="O1007" s="251" t="s">
        <v>35</v>
      </c>
    </row>
    <row r="1008" spans="1:15" s="236" customFormat="1" x14ac:dyDescent="0.3">
      <c r="A1008" s="242"/>
      <c r="B1008" s="242"/>
      <c r="C1008" s="242"/>
      <c r="D1008" s="242"/>
      <c r="E1008" s="242"/>
      <c r="F1008" s="242"/>
      <c r="G1008" s="242"/>
      <c r="H1008" s="242"/>
      <c r="I1008" s="242"/>
      <c r="J1008" s="242"/>
      <c r="K1008" s="242"/>
      <c r="L1008" s="242"/>
      <c r="M1008" s="242"/>
      <c r="N1008" s="242"/>
      <c r="O1008" s="242"/>
    </row>
    <row r="1009" spans="1:15" s="236" customFormat="1" x14ac:dyDescent="0.3">
      <c r="A1009" s="241" t="str">
        <f>name!A62</f>
        <v>Employment activities</v>
      </c>
      <c r="B1009" s="375">
        <f>$B$6</f>
        <v>2015</v>
      </c>
      <c r="C1009" s="375"/>
      <c r="D1009" s="375"/>
      <c r="E1009" s="375"/>
      <c r="F1009" s="263"/>
      <c r="G1009" s="375">
        <f>$G$6</f>
        <v>2020</v>
      </c>
      <c r="H1009" s="375"/>
      <c r="I1009" s="375"/>
      <c r="J1009" s="375"/>
      <c r="K1009" s="263"/>
      <c r="L1009" s="375">
        <f>$L$6</f>
        <v>2035</v>
      </c>
      <c r="M1009" s="375"/>
      <c r="N1009" s="375"/>
      <c r="O1009" s="375"/>
    </row>
    <row r="1010" spans="1:15" s="236" customFormat="1" x14ac:dyDescent="0.3">
      <c r="A1010" s="254"/>
      <c r="B1010" s="268" t="str">
        <f>$B$7</f>
        <v>FT</v>
      </c>
      <c r="C1010" s="268" t="str">
        <f>$C$7</f>
        <v>PT</v>
      </c>
      <c r="D1010" s="268" t="str">
        <f>$D$7</f>
        <v>SE</v>
      </c>
      <c r="E1010" s="268" t="str">
        <f>$E$7</f>
        <v>Total</v>
      </c>
      <c r="F1010" s="268"/>
      <c r="G1010" s="268" t="str">
        <f>$G$7</f>
        <v>FT</v>
      </c>
      <c r="H1010" s="268" t="str">
        <f>$H$7</f>
        <v>PT</v>
      </c>
      <c r="I1010" s="268" t="str">
        <f>$I$7</f>
        <v>SE</v>
      </c>
      <c r="J1010" s="268" t="str">
        <f>$J$7</f>
        <v>Total</v>
      </c>
      <c r="K1010" s="268"/>
      <c r="L1010" s="268" t="str">
        <f>$L$7</f>
        <v>FT</v>
      </c>
      <c r="M1010" s="268" t="str">
        <f>$M$7</f>
        <v>PT</v>
      </c>
      <c r="N1010" s="268" t="str">
        <f>$N$7</f>
        <v>SE</v>
      </c>
      <c r="O1010" s="268" t="str">
        <f>$O$7</f>
        <v>Total</v>
      </c>
    </row>
    <row r="1011" spans="1:15" s="236" customFormat="1" x14ac:dyDescent="0.3">
      <c r="A1011" s="258"/>
      <c r="B1011" s="239"/>
      <c r="C1011" s="239"/>
      <c r="D1011" s="239"/>
      <c r="E1011" s="239"/>
      <c r="F1011" s="239"/>
      <c r="G1011" s="239"/>
      <c r="H1011" s="239"/>
      <c r="I1011" s="239"/>
      <c r="J1011" s="239"/>
      <c r="K1011" s="239"/>
      <c r="L1011" s="239"/>
      <c r="M1011" s="239"/>
      <c r="N1011" s="239"/>
      <c r="O1011" s="239"/>
    </row>
    <row r="1012" spans="1:15" s="236" customFormat="1" x14ac:dyDescent="0.3">
      <c r="A1012" s="237" t="str">
        <f>name!E$4</f>
        <v>Managers, directors and senior officials</v>
      </c>
      <c r="B1012" s="302">
        <v>65.934723181865493</v>
      </c>
      <c r="C1012" s="302">
        <v>12.032567494432636</v>
      </c>
      <c r="D1012" s="302">
        <v>12.294424848266457</v>
      </c>
      <c r="E1012" s="302">
        <f>SUM(B1012:D1012)</f>
        <v>90.261715524564593</v>
      </c>
      <c r="F1012" s="303"/>
      <c r="G1012" s="302">
        <v>64.569807967069565</v>
      </c>
      <c r="H1012" s="302">
        <v>18.536433633604609</v>
      </c>
      <c r="I1012" s="302">
        <v>12.448688545872907</v>
      </c>
      <c r="J1012" s="302">
        <f>SUM(G1012:I1012)</f>
        <v>95.554930146547079</v>
      </c>
      <c r="K1012" s="303"/>
      <c r="L1012" s="302">
        <v>78.237675048512187</v>
      </c>
      <c r="M1012" s="302">
        <v>23.244143984786348</v>
      </c>
      <c r="N1012" s="302">
        <v>14.988051000118544</v>
      </c>
      <c r="O1012" s="302">
        <f>SUM(L1012:N1012)</f>
        <v>116.46987003341708</v>
      </c>
    </row>
    <row r="1013" spans="1:15" s="236" customFormat="1" x14ac:dyDescent="0.3">
      <c r="A1013" s="237" t="str">
        <f>name!E$5</f>
        <v>Professional occupations</v>
      </c>
      <c r="B1013" s="302">
        <v>80.068407279344129</v>
      </c>
      <c r="C1013" s="302">
        <v>14.950745065719737</v>
      </c>
      <c r="D1013" s="302">
        <v>12.503188925916136</v>
      </c>
      <c r="E1013" s="302">
        <f t="shared" ref="E1013:E1020" si="434">SUM(B1013:D1013)</f>
        <v>107.52234127098001</v>
      </c>
      <c r="F1013" s="303"/>
      <c r="G1013" s="302">
        <v>90.782179682103447</v>
      </c>
      <c r="H1013" s="302">
        <v>25.170680572719132</v>
      </c>
      <c r="I1013" s="302">
        <v>11.849431949963424</v>
      </c>
      <c r="J1013" s="302">
        <f t="shared" ref="J1013:J1015" si="435">SUM(G1013:I1013)</f>
        <v>127.802292204786</v>
      </c>
      <c r="K1013" s="303"/>
      <c r="L1013" s="302">
        <v>121.36715980883812</v>
      </c>
      <c r="M1013" s="302">
        <v>38.179664507439028</v>
      </c>
      <c r="N1013" s="302">
        <v>10.789836861521335</v>
      </c>
      <c r="O1013" s="302">
        <f t="shared" ref="O1013:O1020" si="436">SUM(L1013:N1013)</f>
        <v>170.33666117779848</v>
      </c>
    </row>
    <row r="1014" spans="1:15" s="236" customFormat="1" x14ac:dyDescent="0.3">
      <c r="A1014" s="237" t="str">
        <f>name!E$6</f>
        <v>Associate professional occupations</v>
      </c>
      <c r="B1014" s="302">
        <v>103.81634514323906</v>
      </c>
      <c r="C1014" s="302">
        <v>21.924812184112366</v>
      </c>
      <c r="D1014" s="302">
        <v>34.506590585054262</v>
      </c>
      <c r="E1014" s="302">
        <f t="shared" si="434"/>
        <v>160.24774791240569</v>
      </c>
      <c r="F1014" s="303"/>
      <c r="G1014" s="302">
        <v>104.94828002383642</v>
      </c>
      <c r="H1014" s="302">
        <v>28.234502115939058</v>
      </c>
      <c r="I1014" s="302">
        <v>33.870020079983696</v>
      </c>
      <c r="J1014" s="302">
        <f t="shared" si="435"/>
        <v>167.05280221975917</v>
      </c>
      <c r="K1014" s="303"/>
      <c r="L1014" s="302">
        <v>110.737563292337</v>
      </c>
      <c r="M1014" s="302">
        <v>32.91775409287159</v>
      </c>
      <c r="N1014" s="302">
        <v>35.037370977590051</v>
      </c>
      <c r="O1014" s="302">
        <f t="shared" si="436"/>
        <v>178.69268836279866</v>
      </c>
    </row>
    <row r="1015" spans="1:15" s="236" customFormat="1" x14ac:dyDescent="0.3">
      <c r="A1015" s="237" t="str">
        <f>name!E$7</f>
        <v>Administrative and secretarial occupations</v>
      </c>
      <c r="B1015" s="302">
        <v>76.619854266709297</v>
      </c>
      <c r="C1015" s="302">
        <v>31.519360056159016</v>
      </c>
      <c r="D1015" s="302">
        <v>5.0843047061921069</v>
      </c>
      <c r="E1015" s="302">
        <f t="shared" si="434"/>
        <v>113.22351902906041</v>
      </c>
      <c r="F1015" s="303"/>
      <c r="G1015" s="302">
        <v>70.665201448195816</v>
      </c>
      <c r="H1015" s="302">
        <v>35.600629684003948</v>
      </c>
      <c r="I1015" s="302">
        <v>4.7727987217152457</v>
      </c>
      <c r="J1015" s="302">
        <f t="shared" si="435"/>
        <v>111.03862985391501</v>
      </c>
      <c r="K1015" s="303"/>
      <c r="L1015" s="302">
        <v>68.54013522473366</v>
      </c>
      <c r="M1015" s="302">
        <v>36.931051396456617</v>
      </c>
      <c r="N1015" s="302">
        <v>5.6006042136981593</v>
      </c>
      <c r="O1015" s="302">
        <f t="shared" si="436"/>
        <v>111.07179083488843</v>
      </c>
    </row>
    <row r="1016" spans="1:15" s="236" customFormat="1" x14ac:dyDescent="0.3">
      <c r="A1016" s="237" t="str">
        <f>name!E$8</f>
        <v>Skilled trades occupations</v>
      </c>
      <c r="B1016" s="302">
        <v>21.665107914741942</v>
      </c>
      <c r="C1016" s="302">
        <v>7.9617804076813554</v>
      </c>
      <c r="D1016" s="302">
        <v>9.9143819747234616</v>
      </c>
      <c r="E1016" s="302">
        <f t="shared" si="434"/>
        <v>39.54127029714676</v>
      </c>
      <c r="F1016" s="303"/>
      <c r="G1016" s="302">
        <v>15.502296965622103</v>
      </c>
      <c r="H1016" s="302">
        <v>6.0307071342377965</v>
      </c>
      <c r="I1016" s="302">
        <v>7.9126539092930397</v>
      </c>
      <c r="J1016" s="302">
        <f>SUM(G1016:I1016)</f>
        <v>29.445658009152936</v>
      </c>
      <c r="K1016" s="303"/>
      <c r="L1016" s="302">
        <v>15.070938318570915</v>
      </c>
      <c r="M1016" s="302">
        <v>8.6205050513447858</v>
      </c>
      <c r="N1016" s="302">
        <v>8.6484612641868921</v>
      </c>
      <c r="O1016" s="302">
        <f t="shared" si="436"/>
        <v>32.339904634102595</v>
      </c>
    </row>
    <row r="1017" spans="1:15" s="236" customFormat="1" x14ac:dyDescent="0.3">
      <c r="A1017" s="237" t="str">
        <f>name!E$9</f>
        <v>Caring, leisure and other service occupations</v>
      </c>
      <c r="B1017" s="302">
        <v>31.322829316136886</v>
      </c>
      <c r="C1017" s="302">
        <v>24.909224815989148</v>
      </c>
      <c r="D1017" s="302">
        <v>7.7849878508850745</v>
      </c>
      <c r="E1017" s="302">
        <f t="shared" si="434"/>
        <v>64.017041983011111</v>
      </c>
      <c r="F1017" s="303"/>
      <c r="G1017" s="302">
        <v>28.182040801309643</v>
      </c>
      <c r="H1017" s="302">
        <v>27.961760355435285</v>
      </c>
      <c r="I1017" s="302">
        <v>9.1620208349089189</v>
      </c>
      <c r="J1017" s="302">
        <f t="shared" ref="J1017:J1020" si="437">SUM(G1017:I1017)</f>
        <v>65.305821991653843</v>
      </c>
      <c r="K1017" s="303"/>
      <c r="L1017" s="302">
        <v>34.591274540036657</v>
      </c>
      <c r="M1017" s="302">
        <v>33.893692521042922</v>
      </c>
      <c r="N1017" s="302">
        <v>11.586723991722042</v>
      </c>
      <c r="O1017" s="302">
        <f t="shared" si="436"/>
        <v>80.071691052801611</v>
      </c>
    </row>
    <row r="1018" spans="1:15" s="236" customFormat="1" x14ac:dyDescent="0.3">
      <c r="A1018" s="237" t="str">
        <f>name!E$10</f>
        <v>Sales and customer service occupations</v>
      </c>
      <c r="B1018" s="302">
        <v>45.020585671918163</v>
      </c>
      <c r="C1018" s="302">
        <v>20.661037691009902</v>
      </c>
      <c r="D1018" s="302">
        <v>3.5334625940583706</v>
      </c>
      <c r="E1018" s="302">
        <f t="shared" si="434"/>
        <v>69.215085956986428</v>
      </c>
      <c r="F1018" s="303"/>
      <c r="G1018" s="302">
        <v>40.367457916550528</v>
      </c>
      <c r="H1018" s="302">
        <v>21.918842141173119</v>
      </c>
      <c r="I1018" s="302">
        <v>2.6686431762560767</v>
      </c>
      <c r="J1018" s="302">
        <f t="shared" si="437"/>
        <v>64.954943233979733</v>
      </c>
      <c r="K1018" s="303"/>
      <c r="L1018" s="302">
        <v>53.217771304200241</v>
      </c>
      <c r="M1018" s="302">
        <v>31.748209611024087</v>
      </c>
      <c r="N1018" s="302">
        <v>2.4654832315361501</v>
      </c>
      <c r="O1018" s="302">
        <f t="shared" si="436"/>
        <v>87.431464146760476</v>
      </c>
    </row>
    <row r="1019" spans="1:15" s="236" customFormat="1" x14ac:dyDescent="0.3">
      <c r="A1019" s="237" t="str">
        <f>name!E$11</f>
        <v>Process, plant and machine operatives</v>
      </c>
      <c r="B1019" s="302">
        <v>23.374670099795562</v>
      </c>
      <c r="C1019" s="302">
        <v>14.309973642613324</v>
      </c>
      <c r="D1019" s="302">
        <v>1.4183134543472848</v>
      </c>
      <c r="E1019" s="302">
        <f t="shared" si="434"/>
        <v>39.102957196756172</v>
      </c>
      <c r="F1019" s="303"/>
      <c r="G1019" s="302">
        <v>17.428459260229012</v>
      </c>
      <c r="H1019" s="302">
        <v>16.031435612850988</v>
      </c>
      <c r="I1019" s="302">
        <v>1.3816044704692501</v>
      </c>
      <c r="J1019" s="302">
        <f t="shared" si="437"/>
        <v>34.841499343549252</v>
      </c>
      <c r="K1019" s="303"/>
      <c r="L1019" s="302">
        <v>17.562072262194096</v>
      </c>
      <c r="M1019" s="302">
        <v>19.185129039455269</v>
      </c>
      <c r="N1019" s="302">
        <v>1.7334968383002674</v>
      </c>
      <c r="O1019" s="302">
        <f t="shared" si="436"/>
        <v>38.480698139949638</v>
      </c>
    </row>
    <row r="1020" spans="1:15" s="236" customFormat="1" x14ac:dyDescent="0.3">
      <c r="A1020" s="237" t="str">
        <f>name!E$12</f>
        <v>Elementary occupations</v>
      </c>
      <c r="B1020" s="302">
        <v>156.28647712701382</v>
      </c>
      <c r="C1020" s="302">
        <v>143.86049864636252</v>
      </c>
      <c r="D1020" s="302">
        <v>31.949345062594183</v>
      </c>
      <c r="E1020" s="302">
        <f t="shared" si="434"/>
        <v>332.09632083597052</v>
      </c>
      <c r="F1020" s="303"/>
      <c r="G1020" s="302">
        <v>122.48927593464065</v>
      </c>
      <c r="H1020" s="302">
        <v>131.7520087508266</v>
      </c>
      <c r="I1020" s="302">
        <v>26.389138310972079</v>
      </c>
      <c r="J1020" s="302">
        <f t="shared" si="437"/>
        <v>280.63042299643934</v>
      </c>
      <c r="K1020" s="303"/>
      <c r="L1020" s="302">
        <v>141.09941019948255</v>
      </c>
      <c r="M1020" s="302">
        <v>119.41884979635006</v>
      </c>
      <c r="N1020" s="302">
        <v>34.334971622847213</v>
      </c>
      <c r="O1020" s="302">
        <f t="shared" si="436"/>
        <v>294.85323161867984</v>
      </c>
    </row>
    <row r="1021" spans="1:15" s="236" customFormat="1" x14ac:dyDescent="0.3">
      <c r="A1021" s="237"/>
      <c r="B1021" s="302"/>
      <c r="C1021" s="302"/>
      <c r="D1021" s="302"/>
      <c r="E1021" s="302"/>
      <c r="F1021" s="303"/>
      <c r="G1021" s="302"/>
      <c r="H1021" s="302"/>
      <c r="I1021" s="302"/>
      <c r="J1021" s="302"/>
      <c r="K1021" s="303"/>
      <c r="L1021" s="302"/>
      <c r="M1021" s="302"/>
      <c r="N1021" s="302"/>
      <c r="O1021" s="302"/>
    </row>
    <row r="1022" spans="1:15" s="236" customFormat="1" x14ac:dyDescent="0.3">
      <c r="A1022" s="244" t="s">
        <v>32</v>
      </c>
      <c r="B1022" s="311">
        <f>SUM(B1012:B1020)</f>
        <v>604.10900000076435</v>
      </c>
      <c r="C1022" s="311">
        <f t="shared" ref="C1022:E1022" si="438">SUM(C1012:C1020)</f>
        <v>292.13000000407999</v>
      </c>
      <c r="D1022" s="311">
        <f t="shared" si="438"/>
        <v>118.98900000203733</v>
      </c>
      <c r="E1022" s="311">
        <f t="shared" si="438"/>
        <v>1015.2280000068818</v>
      </c>
      <c r="F1022" s="311"/>
      <c r="G1022" s="311">
        <f t="shared" ref="G1022:J1022" si="439">SUM(G1012:G1020)</f>
        <v>554.93499999955725</v>
      </c>
      <c r="H1022" s="311">
        <f t="shared" si="439"/>
        <v>311.23700000079054</v>
      </c>
      <c r="I1022" s="311">
        <f t="shared" si="439"/>
        <v>110.45499999943465</v>
      </c>
      <c r="J1022" s="311">
        <f t="shared" si="439"/>
        <v>976.62699999978236</v>
      </c>
      <c r="K1022" s="311"/>
      <c r="L1022" s="311">
        <f t="shared" ref="L1022:O1022" si="440">SUM(L1012:L1020)</f>
        <v>640.4239999989054</v>
      </c>
      <c r="M1022" s="311">
        <f t="shared" si="440"/>
        <v>344.13900000077069</v>
      </c>
      <c r="N1022" s="311">
        <f t="shared" si="440"/>
        <v>125.18500000152065</v>
      </c>
      <c r="O1022" s="311">
        <f t="shared" si="440"/>
        <v>1109.7480000011969</v>
      </c>
    </row>
    <row r="1023" spans="1:15" s="236" customFormat="1" x14ac:dyDescent="0.3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37"/>
      <c r="M1023" s="237"/>
      <c r="N1023" s="240"/>
    </row>
    <row r="1024" spans="1:15" s="236" customFormat="1" x14ac:dyDescent="0.3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37"/>
      <c r="M1024" s="237"/>
      <c r="N1024" s="240"/>
      <c r="O1024" s="251" t="s">
        <v>35</v>
      </c>
    </row>
    <row r="1025" spans="1:15" s="236" customFormat="1" x14ac:dyDescent="0.3">
      <c r="A1025" s="242"/>
      <c r="B1025" s="242"/>
      <c r="C1025" s="242"/>
      <c r="D1025" s="242"/>
      <c r="E1025" s="242"/>
      <c r="F1025" s="242"/>
      <c r="G1025" s="242"/>
      <c r="H1025" s="242"/>
      <c r="I1025" s="242"/>
      <c r="J1025" s="242"/>
      <c r="K1025" s="242"/>
      <c r="L1025" s="242"/>
      <c r="M1025" s="242"/>
      <c r="N1025" s="242"/>
      <c r="O1025" s="242"/>
    </row>
    <row r="1026" spans="1:15" s="236" customFormat="1" x14ac:dyDescent="0.3">
      <c r="A1026" s="241" t="str">
        <f>name!A63</f>
        <v>Travel, etc</v>
      </c>
      <c r="B1026" s="375">
        <f>$B$6</f>
        <v>2015</v>
      </c>
      <c r="C1026" s="375"/>
      <c r="D1026" s="375"/>
      <c r="E1026" s="375"/>
      <c r="F1026" s="263"/>
      <c r="G1026" s="375">
        <f>$G$6</f>
        <v>2020</v>
      </c>
      <c r="H1026" s="375"/>
      <c r="I1026" s="375"/>
      <c r="J1026" s="375"/>
      <c r="K1026" s="263"/>
      <c r="L1026" s="375">
        <f>$L$6</f>
        <v>2035</v>
      </c>
      <c r="M1026" s="375"/>
      <c r="N1026" s="375"/>
      <c r="O1026" s="375"/>
    </row>
    <row r="1027" spans="1:15" s="236" customFormat="1" x14ac:dyDescent="0.3">
      <c r="A1027" s="254"/>
      <c r="B1027" s="268" t="str">
        <f>$B$7</f>
        <v>FT</v>
      </c>
      <c r="C1027" s="268" t="str">
        <f>$C$7</f>
        <v>PT</v>
      </c>
      <c r="D1027" s="268" t="str">
        <f>$D$7</f>
        <v>SE</v>
      </c>
      <c r="E1027" s="268" t="str">
        <f>$E$7</f>
        <v>Total</v>
      </c>
      <c r="F1027" s="268"/>
      <c r="G1027" s="268" t="str">
        <f>$G$7</f>
        <v>FT</v>
      </c>
      <c r="H1027" s="268" t="str">
        <f>$H$7</f>
        <v>PT</v>
      </c>
      <c r="I1027" s="268" t="str">
        <f>$I$7</f>
        <v>SE</v>
      </c>
      <c r="J1027" s="268" t="str">
        <f>$J$7</f>
        <v>Total</v>
      </c>
      <c r="K1027" s="268"/>
      <c r="L1027" s="268" t="str">
        <f>$L$7</f>
        <v>FT</v>
      </c>
      <c r="M1027" s="268" t="str">
        <f>$M$7</f>
        <v>PT</v>
      </c>
      <c r="N1027" s="268" t="str">
        <f>$N$7</f>
        <v>SE</v>
      </c>
      <c r="O1027" s="268" t="str">
        <f>$O$7</f>
        <v>Total</v>
      </c>
    </row>
    <row r="1028" spans="1:15" s="236" customFormat="1" x14ac:dyDescent="0.3">
      <c r="A1028" s="258"/>
      <c r="B1028" s="239"/>
      <c r="C1028" s="239"/>
      <c r="D1028" s="239"/>
      <c r="E1028" s="239"/>
      <c r="F1028" s="239"/>
      <c r="G1028" s="239"/>
      <c r="H1028" s="239"/>
      <c r="I1028" s="239"/>
      <c r="J1028" s="239"/>
      <c r="K1028" s="239"/>
      <c r="L1028" s="239"/>
      <c r="M1028" s="239"/>
      <c r="N1028" s="239"/>
      <c r="O1028" s="239"/>
    </row>
    <row r="1029" spans="1:15" s="236" customFormat="1" x14ac:dyDescent="0.3">
      <c r="A1029" s="237" t="str">
        <f>name!E$4</f>
        <v>Managers, directors and senior officials</v>
      </c>
      <c r="B1029" s="302">
        <v>6.9858499661159739</v>
      </c>
      <c r="C1029" s="302">
        <v>0.9660613196686535</v>
      </c>
      <c r="D1029" s="302">
        <v>2.0483353783869527</v>
      </c>
      <c r="E1029" s="302">
        <f>SUM(B1029:D1029)</f>
        <v>10.000246664171581</v>
      </c>
      <c r="F1029" s="303"/>
      <c r="G1029" s="302">
        <v>8.1882819733772365</v>
      </c>
      <c r="H1029" s="302">
        <v>1.4779929969901751</v>
      </c>
      <c r="I1029" s="302">
        <v>2.3861808674616309</v>
      </c>
      <c r="J1029" s="302">
        <f>SUM(G1029:I1029)</f>
        <v>12.052455837829042</v>
      </c>
      <c r="K1029" s="303"/>
      <c r="L1029" s="302">
        <v>9.6701239021439296</v>
      </c>
      <c r="M1029" s="302">
        <v>1.8424585678353429</v>
      </c>
      <c r="N1029" s="302">
        <v>2.8080071957485617</v>
      </c>
      <c r="O1029" s="302">
        <f>SUM(L1029:N1029)</f>
        <v>14.320589665727834</v>
      </c>
    </row>
    <row r="1030" spans="1:15" s="236" customFormat="1" x14ac:dyDescent="0.3">
      <c r="A1030" s="237" t="str">
        <f>name!E$5</f>
        <v>Professional occupations</v>
      </c>
      <c r="B1030" s="302">
        <v>5.03087140301733</v>
      </c>
      <c r="C1030" s="302">
        <v>0.63241217123897875</v>
      </c>
      <c r="D1030" s="302">
        <v>0.5526171947737214</v>
      </c>
      <c r="E1030" s="302">
        <f t="shared" ref="E1030:E1037" si="441">SUM(B1030:D1030)</f>
        <v>6.2159007690300303</v>
      </c>
      <c r="F1030" s="303"/>
      <c r="G1030" s="302">
        <v>6.6071204395173408</v>
      </c>
      <c r="H1030" s="302">
        <v>1.0082553689388254</v>
      </c>
      <c r="I1030" s="302">
        <v>0.59957506573538699</v>
      </c>
      <c r="J1030" s="302">
        <f t="shared" ref="J1030:J1032" si="442">SUM(G1030:I1030)</f>
        <v>8.2149508741915529</v>
      </c>
      <c r="K1030" s="303"/>
      <c r="L1030" s="302">
        <v>9.7061557620675565</v>
      </c>
      <c r="M1030" s="302">
        <v>1.3784729460628198</v>
      </c>
      <c r="N1030" s="302">
        <v>0.49196723234480005</v>
      </c>
      <c r="O1030" s="302">
        <f t="shared" ref="O1030:O1037" si="443">SUM(L1030:N1030)</f>
        <v>11.576595940475176</v>
      </c>
    </row>
    <row r="1031" spans="1:15" s="236" customFormat="1" x14ac:dyDescent="0.3">
      <c r="A1031" s="237" t="str">
        <f>name!E$6</f>
        <v>Associate professional occupations</v>
      </c>
      <c r="B1031" s="302">
        <v>4.386482444758208</v>
      </c>
      <c r="C1031" s="302">
        <v>0.89066206781921664</v>
      </c>
      <c r="D1031" s="302">
        <v>0.66368491734498347</v>
      </c>
      <c r="E1031" s="302">
        <f t="shared" si="441"/>
        <v>5.9408294299224078</v>
      </c>
      <c r="F1031" s="303"/>
      <c r="G1031" s="302">
        <v>5.2114019171439034</v>
      </c>
      <c r="H1031" s="302">
        <v>1.1410043654889268</v>
      </c>
      <c r="I1031" s="302">
        <v>0.63020108685949172</v>
      </c>
      <c r="J1031" s="302">
        <f t="shared" si="442"/>
        <v>6.9826073694923219</v>
      </c>
      <c r="K1031" s="303"/>
      <c r="L1031" s="302">
        <v>6.028370193077019</v>
      </c>
      <c r="M1031" s="302">
        <v>1.248894885368804</v>
      </c>
      <c r="N1031" s="302">
        <v>0.62726882743849888</v>
      </c>
      <c r="O1031" s="302">
        <f t="shared" si="443"/>
        <v>7.904533905884322</v>
      </c>
    </row>
    <row r="1032" spans="1:15" s="236" customFormat="1" x14ac:dyDescent="0.3">
      <c r="A1032" s="237" t="str">
        <f>name!E$7</f>
        <v>Administrative and secretarial occupations</v>
      </c>
      <c r="B1032" s="302">
        <v>8.0671692188071429</v>
      </c>
      <c r="C1032" s="302">
        <v>3.3818381021538162</v>
      </c>
      <c r="D1032" s="302">
        <v>0.69958766061726829</v>
      </c>
      <c r="E1032" s="302">
        <f t="shared" si="441"/>
        <v>12.148594981578228</v>
      </c>
      <c r="F1032" s="303"/>
      <c r="G1032" s="302">
        <v>8.834633975337141</v>
      </c>
      <c r="H1032" s="302">
        <v>3.5892844386568039</v>
      </c>
      <c r="I1032" s="302">
        <v>0.7174308745545469</v>
      </c>
      <c r="J1032" s="302">
        <f t="shared" si="442"/>
        <v>13.141349288548492</v>
      </c>
      <c r="K1032" s="303"/>
      <c r="L1032" s="302">
        <v>9.6212557230419495</v>
      </c>
      <c r="M1032" s="302">
        <v>3.1998361571454663</v>
      </c>
      <c r="N1032" s="302">
        <v>0.81018491416819161</v>
      </c>
      <c r="O1032" s="302">
        <f t="shared" si="443"/>
        <v>13.631276794355607</v>
      </c>
    </row>
    <row r="1033" spans="1:15" s="236" customFormat="1" x14ac:dyDescent="0.3">
      <c r="A1033" s="237" t="str">
        <f>name!E$8</f>
        <v>Skilled trades occupations</v>
      </c>
      <c r="B1033" s="302">
        <v>1.5315800534262811</v>
      </c>
      <c r="C1033" s="302">
        <v>0.80026740933621809</v>
      </c>
      <c r="D1033" s="302">
        <v>0.36137967322431369</v>
      </c>
      <c r="E1033" s="302">
        <f t="shared" si="441"/>
        <v>2.6932271359868127</v>
      </c>
      <c r="F1033" s="303"/>
      <c r="G1033" s="302">
        <v>1.2689467340968574</v>
      </c>
      <c r="H1033" s="302">
        <v>0.53913831083908303</v>
      </c>
      <c r="I1033" s="302">
        <v>0.35595886156068141</v>
      </c>
      <c r="J1033" s="302">
        <f>SUM(G1033:I1033)</f>
        <v>2.1640439064966217</v>
      </c>
      <c r="K1033" s="303"/>
      <c r="L1033" s="302">
        <v>1.4711342817985391</v>
      </c>
      <c r="M1033" s="302">
        <v>0.79375467058721594</v>
      </c>
      <c r="N1033" s="302">
        <v>0.65141305640715863</v>
      </c>
      <c r="O1033" s="302">
        <f t="shared" si="443"/>
        <v>2.9163020087929139</v>
      </c>
    </row>
    <row r="1034" spans="1:15" s="236" customFormat="1" x14ac:dyDescent="0.3">
      <c r="A1034" s="237" t="str">
        <f>name!E$9</f>
        <v>Caring, leisure and other service occupations</v>
      </c>
      <c r="B1034" s="302">
        <v>5.7342357709822958</v>
      </c>
      <c r="C1034" s="302">
        <v>5.4248443448046686</v>
      </c>
      <c r="D1034" s="302">
        <v>5.5376760831974021</v>
      </c>
      <c r="E1034" s="302">
        <f t="shared" si="441"/>
        <v>16.696756198984367</v>
      </c>
      <c r="F1034" s="303"/>
      <c r="G1034" s="302">
        <v>5.5738619495898858</v>
      </c>
      <c r="H1034" s="302">
        <v>4.8585679118879979</v>
      </c>
      <c r="I1034" s="302">
        <v>5.8837892476147573</v>
      </c>
      <c r="J1034" s="302">
        <f t="shared" ref="J1034:J1037" si="444">SUM(G1034:I1034)</f>
        <v>16.316219109092643</v>
      </c>
      <c r="K1034" s="303"/>
      <c r="L1034" s="302">
        <v>6.0850600576584446</v>
      </c>
      <c r="M1034" s="302">
        <v>5.268323319161559</v>
      </c>
      <c r="N1034" s="302">
        <v>6.5793870560699395</v>
      </c>
      <c r="O1034" s="302">
        <f t="shared" si="443"/>
        <v>17.932770432889942</v>
      </c>
    </row>
    <row r="1035" spans="1:15" s="236" customFormat="1" x14ac:dyDescent="0.3">
      <c r="A1035" s="237" t="str">
        <f>name!E$10</f>
        <v>Sales and customer service occupations</v>
      </c>
      <c r="B1035" s="302">
        <v>3.5879617976287501</v>
      </c>
      <c r="C1035" s="302">
        <v>1.647793793958696</v>
      </c>
      <c r="D1035" s="302">
        <v>0.66726764673827288</v>
      </c>
      <c r="E1035" s="302">
        <f t="shared" si="441"/>
        <v>5.9030232383257184</v>
      </c>
      <c r="F1035" s="303"/>
      <c r="G1035" s="302">
        <v>3.6234381788487289</v>
      </c>
      <c r="H1035" s="302">
        <v>1.6216680743998746</v>
      </c>
      <c r="I1035" s="302">
        <v>0.52423707937192043</v>
      </c>
      <c r="J1035" s="302">
        <f t="shared" si="444"/>
        <v>5.7693433326205241</v>
      </c>
      <c r="K1035" s="303"/>
      <c r="L1035" s="302">
        <v>4.6374327253905587</v>
      </c>
      <c r="M1035" s="302">
        <v>2.2474224020003217</v>
      </c>
      <c r="N1035" s="302">
        <v>0.60554780529154317</v>
      </c>
      <c r="O1035" s="302">
        <f t="shared" si="443"/>
        <v>7.4904029326824233</v>
      </c>
    </row>
    <row r="1036" spans="1:15" s="236" customFormat="1" x14ac:dyDescent="0.3">
      <c r="A1036" s="237" t="str">
        <f>name!E$11</f>
        <v>Process, plant and machine operatives</v>
      </c>
      <c r="B1036" s="302">
        <v>13.787004151702128</v>
      </c>
      <c r="C1036" s="302">
        <v>3.8317004514599189</v>
      </c>
      <c r="D1036" s="302">
        <v>0.58141205019811459</v>
      </c>
      <c r="E1036" s="302">
        <f t="shared" si="441"/>
        <v>18.200116653360162</v>
      </c>
      <c r="F1036" s="303"/>
      <c r="G1036" s="302">
        <v>12.202726623679105</v>
      </c>
      <c r="H1036" s="302">
        <v>4.0726498952797519</v>
      </c>
      <c r="I1036" s="302">
        <v>0.66239812035790702</v>
      </c>
      <c r="J1036" s="302">
        <f t="shared" si="444"/>
        <v>16.937774639316764</v>
      </c>
      <c r="K1036" s="303"/>
      <c r="L1036" s="302">
        <v>14.44860710332734</v>
      </c>
      <c r="M1036" s="302">
        <v>5.2380796982860698</v>
      </c>
      <c r="N1036" s="302">
        <v>0.77353846428207496</v>
      </c>
      <c r="O1036" s="302">
        <f t="shared" si="443"/>
        <v>20.460225265895488</v>
      </c>
    </row>
    <row r="1037" spans="1:15" s="236" customFormat="1" x14ac:dyDescent="0.3">
      <c r="A1037" s="237" t="str">
        <f>name!E$12</f>
        <v>Elementary occupations</v>
      </c>
      <c r="B1037" s="302">
        <v>14.838845193911855</v>
      </c>
      <c r="C1037" s="302">
        <v>5.2254203399215733</v>
      </c>
      <c r="D1037" s="302">
        <v>0.43003939573594185</v>
      </c>
      <c r="E1037" s="302">
        <f t="shared" si="441"/>
        <v>20.49430492956937</v>
      </c>
      <c r="F1037" s="303"/>
      <c r="G1037" s="302">
        <v>11.74758820799838</v>
      </c>
      <c r="H1037" s="302">
        <v>4.5274386375841553</v>
      </c>
      <c r="I1037" s="302">
        <v>0.30822879630964894</v>
      </c>
      <c r="J1037" s="302">
        <f t="shared" si="444"/>
        <v>16.583255641892183</v>
      </c>
      <c r="K1037" s="303"/>
      <c r="L1037" s="302">
        <v>10.634860251227609</v>
      </c>
      <c r="M1037" s="302">
        <v>4.1407573536328997</v>
      </c>
      <c r="N1037" s="302">
        <v>0.30668544831920314</v>
      </c>
      <c r="O1037" s="302">
        <f t="shared" si="443"/>
        <v>15.082303053179713</v>
      </c>
    </row>
    <row r="1038" spans="1:15" s="236" customFormat="1" x14ac:dyDescent="0.3">
      <c r="A1038" s="237"/>
      <c r="B1038" s="302"/>
      <c r="C1038" s="302"/>
      <c r="D1038" s="302"/>
      <c r="E1038" s="302"/>
      <c r="F1038" s="303"/>
      <c r="G1038" s="302"/>
      <c r="H1038" s="302"/>
      <c r="I1038" s="302"/>
      <c r="J1038" s="302"/>
      <c r="K1038" s="303"/>
      <c r="L1038" s="302"/>
      <c r="M1038" s="302"/>
      <c r="N1038" s="302"/>
      <c r="O1038" s="302"/>
    </row>
    <row r="1039" spans="1:15" s="236" customFormat="1" x14ac:dyDescent="0.3">
      <c r="A1039" s="244" t="s">
        <v>32</v>
      </c>
      <c r="B1039" s="311">
        <f>SUM(B1029:B1037)</f>
        <v>63.950000000349959</v>
      </c>
      <c r="C1039" s="311">
        <f t="shared" ref="C1039:E1039" si="445">SUM(C1029:C1037)</f>
        <v>22.801000000361739</v>
      </c>
      <c r="D1039" s="311">
        <f t="shared" si="445"/>
        <v>11.542000000216971</v>
      </c>
      <c r="E1039" s="311">
        <f t="shared" si="445"/>
        <v>98.293000000928672</v>
      </c>
      <c r="F1039" s="311"/>
      <c r="G1039" s="311">
        <f t="shared" ref="G1039:J1039" si="446">SUM(G1029:G1037)</f>
        <v>63.257999999588577</v>
      </c>
      <c r="H1039" s="311">
        <f t="shared" si="446"/>
        <v>22.836000000065592</v>
      </c>
      <c r="I1039" s="311">
        <f t="shared" si="446"/>
        <v>12.06799999982597</v>
      </c>
      <c r="J1039" s="311">
        <f t="shared" si="446"/>
        <v>98.161999999480145</v>
      </c>
      <c r="K1039" s="311"/>
      <c r="L1039" s="311">
        <f t="shared" ref="L1039:O1039" si="447">SUM(L1029:L1037)</f>
        <v>72.302999999732961</v>
      </c>
      <c r="M1039" s="311">
        <f t="shared" si="447"/>
        <v>25.358000000080501</v>
      </c>
      <c r="N1039" s="311">
        <f t="shared" si="447"/>
        <v>13.654000000069972</v>
      </c>
      <c r="O1039" s="311">
        <f t="shared" si="447"/>
        <v>111.31499999988343</v>
      </c>
    </row>
    <row r="1040" spans="1:15" s="236" customFormat="1" x14ac:dyDescent="0.3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37"/>
      <c r="M1040" s="237"/>
      <c r="N1040" s="240"/>
    </row>
    <row r="1041" spans="1:15" s="236" customFormat="1" x14ac:dyDescent="0.3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37"/>
      <c r="M1041" s="237"/>
      <c r="N1041" s="240"/>
      <c r="O1041" s="251" t="s">
        <v>35</v>
      </c>
    </row>
    <row r="1042" spans="1:15" s="236" customFormat="1" x14ac:dyDescent="0.3">
      <c r="A1042" s="242"/>
      <c r="B1042" s="242"/>
      <c r="C1042" s="242"/>
      <c r="D1042" s="242"/>
      <c r="E1042" s="242"/>
      <c r="F1042" s="242"/>
      <c r="G1042" s="242"/>
      <c r="H1042" s="242"/>
      <c r="I1042" s="242"/>
      <c r="J1042" s="242"/>
      <c r="K1042" s="242"/>
      <c r="L1042" s="242"/>
      <c r="M1042" s="242"/>
      <c r="N1042" s="242"/>
      <c r="O1042" s="242"/>
    </row>
    <row r="1043" spans="1:15" s="236" customFormat="1" x14ac:dyDescent="0.3">
      <c r="A1043" s="241" t="str">
        <f>name!A64</f>
        <v>Security, etc</v>
      </c>
      <c r="B1043" s="375">
        <f>$B$6</f>
        <v>2015</v>
      </c>
      <c r="C1043" s="375"/>
      <c r="D1043" s="375"/>
      <c r="E1043" s="375"/>
      <c r="F1043" s="263"/>
      <c r="G1043" s="375">
        <f>$G$6</f>
        <v>2020</v>
      </c>
      <c r="H1043" s="375"/>
      <c r="I1043" s="375"/>
      <c r="J1043" s="375"/>
      <c r="K1043" s="263"/>
      <c r="L1043" s="375">
        <f>$L$6</f>
        <v>2035</v>
      </c>
      <c r="M1043" s="375"/>
      <c r="N1043" s="375"/>
      <c r="O1043" s="375"/>
    </row>
    <row r="1044" spans="1:15" s="236" customFormat="1" x14ac:dyDescent="0.3">
      <c r="A1044" s="254"/>
      <c r="B1044" s="268" t="str">
        <f>$B$7</f>
        <v>FT</v>
      </c>
      <c r="C1044" s="268" t="str">
        <f>$C$7</f>
        <v>PT</v>
      </c>
      <c r="D1044" s="268" t="str">
        <f>$D$7</f>
        <v>SE</v>
      </c>
      <c r="E1044" s="268" t="str">
        <f>$E$7</f>
        <v>Total</v>
      </c>
      <c r="F1044" s="268"/>
      <c r="G1044" s="268" t="str">
        <f>$G$7</f>
        <v>FT</v>
      </c>
      <c r="H1044" s="268" t="str">
        <f>$H$7</f>
        <v>PT</v>
      </c>
      <c r="I1044" s="268" t="str">
        <f>$I$7</f>
        <v>SE</v>
      </c>
      <c r="J1044" s="268" t="str">
        <f>$J$7</f>
        <v>Total</v>
      </c>
      <c r="K1044" s="268"/>
      <c r="L1044" s="268" t="str">
        <f>$L$7</f>
        <v>FT</v>
      </c>
      <c r="M1044" s="268" t="str">
        <f>$M$7</f>
        <v>PT</v>
      </c>
      <c r="N1044" s="268" t="str">
        <f>$N$7</f>
        <v>SE</v>
      </c>
      <c r="O1044" s="268" t="str">
        <f>$O$7</f>
        <v>Total</v>
      </c>
    </row>
    <row r="1045" spans="1:15" s="236" customFormat="1" x14ac:dyDescent="0.3">
      <c r="A1045" s="258"/>
      <c r="B1045" s="239"/>
      <c r="C1045" s="239"/>
      <c r="D1045" s="239"/>
      <c r="E1045" s="239"/>
      <c r="F1045" s="239"/>
      <c r="G1045" s="239"/>
      <c r="H1045" s="239"/>
      <c r="I1045" s="239"/>
      <c r="J1045" s="239"/>
      <c r="K1045" s="239"/>
      <c r="L1045" s="239"/>
      <c r="M1045" s="239"/>
      <c r="N1045" s="239"/>
      <c r="O1045" s="239"/>
    </row>
    <row r="1046" spans="1:15" s="236" customFormat="1" x14ac:dyDescent="0.3">
      <c r="A1046" s="237" t="str">
        <f>name!E$4</f>
        <v>Managers, directors and senior officials</v>
      </c>
      <c r="B1046" s="302">
        <v>14.593037449636913</v>
      </c>
      <c r="C1046" s="302">
        <v>1.883261141349736</v>
      </c>
      <c r="D1046" s="302">
        <v>3.1861228477707306</v>
      </c>
      <c r="E1046" s="302">
        <f>SUM(B1046:D1046)</f>
        <v>19.662421438757377</v>
      </c>
      <c r="F1046" s="303"/>
      <c r="G1046" s="302">
        <v>16.356658420788449</v>
      </c>
      <c r="H1046" s="302">
        <v>2.4721617974106667</v>
      </c>
      <c r="I1046" s="302">
        <v>3.4907218943982499</v>
      </c>
      <c r="J1046" s="302">
        <f>SUM(G1046:I1046)</f>
        <v>22.319542112597365</v>
      </c>
      <c r="K1046" s="303"/>
      <c r="L1046" s="302">
        <v>19.002283179534395</v>
      </c>
      <c r="M1046" s="302">
        <v>2.9643497105948553</v>
      </c>
      <c r="N1046" s="302">
        <v>4.5309456296687323</v>
      </c>
      <c r="O1046" s="302">
        <f>SUM(L1046:N1046)</f>
        <v>26.497578519797983</v>
      </c>
    </row>
    <row r="1047" spans="1:15" s="236" customFormat="1" x14ac:dyDescent="0.3">
      <c r="A1047" s="237" t="str">
        <f>name!E$5</f>
        <v>Professional occupations</v>
      </c>
      <c r="B1047" s="302">
        <v>18.421505175005745</v>
      </c>
      <c r="C1047" s="302">
        <v>2.1436357552058243</v>
      </c>
      <c r="D1047" s="302">
        <v>2.4223746189861202</v>
      </c>
      <c r="E1047" s="302">
        <f t="shared" ref="E1047:E1054" si="448">SUM(B1047:D1047)</f>
        <v>22.987515549197688</v>
      </c>
      <c r="F1047" s="303"/>
      <c r="G1047" s="302">
        <v>23.305150794165115</v>
      </c>
      <c r="H1047" s="302">
        <v>3.1151869439719344</v>
      </c>
      <c r="I1047" s="302">
        <v>2.4633170404805629</v>
      </c>
      <c r="J1047" s="302">
        <f t="shared" ref="J1047:J1049" si="449">SUM(G1047:I1047)</f>
        <v>28.883654778617611</v>
      </c>
      <c r="K1047" s="303"/>
      <c r="L1047" s="302">
        <v>30.855752740124412</v>
      </c>
      <c r="M1047" s="302">
        <v>4.7677149575762225</v>
      </c>
      <c r="N1047" s="302">
        <v>2.1705381072653607</v>
      </c>
      <c r="O1047" s="302">
        <f t="shared" ref="O1047:O1054" si="450">SUM(L1047:N1047)</f>
        <v>37.794005804965991</v>
      </c>
    </row>
    <row r="1048" spans="1:15" s="236" customFormat="1" x14ac:dyDescent="0.3">
      <c r="A1048" s="237" t="str">
        <f>name!E$6</f>
        <v>Associate professional occupations</v>
      </c>
      <c r="B1048" s="302">
        <v>24.412275429549592</v>
      </c>
      <c r="C1048" s="302">
        <v>2.9375990885069236</v>
      </c>
      <c r="D1048" s="302">
        <v>5.5978290124222969</v>
      </c>
      <c r="E1048" s="302">
        <f t="shared" si="448"/>
        <v>32.947703530478812</v>
      </c>
      <c r="F1048" s="303"/>
      <c r="G1048" s="302">
        <v>27.723558204257831</v>
      </c>
      <c r="H1048" s="302">
        <v>3.3765421322310338</v>
      </c>
      <c r="I1048" s="302">
        <v>5.8439033266195803</v>
      </c>
      <c r="J1048" s="302">
        <f t="shared" si="449"/>
        <v>36.944003663108447</v>
      </c>
      <c r="K1048" s="303"/>
      <c r="L1048" s="302">
        <v>28.811949310943273</v>
      </c>
      <c r="M1048" s="302">
        <v>4.0219547218082017</v>
      </c>
      <c r="N1048" s="302">
        <v>5.8585621901465785</v>
      </c>
      <c r="O1048" s="302">
        <f t="shared" si="450"/>
        <v>38.692466222898055</v>
      </c>
    </row>
    <row r="1049" spans="1:15" s="236" customFormat="1" x14ac:dyDescent="0.3">
      <c r="A1049" s="237" t="str">
        <f>name!E$7</f>
        <v>Administrative and secretarial occupations</v>
      </c>
      <c r="B1049" s="302">
        <v>14.064027823689797</v>
      </c>
      <c r="C1049" s="302">
        <v>4.3580753321091406</v>
      </c>
      <c r="D1049" s="302">
        <v>0.83170391618118988</v>
      </c>
      <c r="E1049" s="302">
        <f t="shared" si="448"/>
        <v>19.253807071980127</v>
      </c>
      <c r="F1049" s="303"/>
      <c r="G1049" s="302">
        <v>16.096193274177985</v>
      </c>
      <c r="H1049" s="302">
        <v>4.9114926692989807</v>
      </c>
      <c r="I1049" s="302">
        <v>0.85710331553511265</v>
      </c>
      <c r="J1049" s="302">
        <f t="shared" si="449"/>
        <v>21.864789259012078</v>
      </c>
      <c r="K1049" s="303"/>
      <c r="L1049" s="302">
        <v>16.524253934593986</v>
      </c>
      <c r="M1049" s="302">
        <v>5.1361896090970092</v>
      </c>
      <c r="N1049" s="302">
        <v>1.0765386637386598</v>
      </c>
      <c r="O1049" s="302">
        <f t="shared" si="450"/>
        <v>22.736982207429655</v>
      </c>
    </row>
    <row r="1050" spans="1:15" s="236" customFormat="1" x14ac:dyDescent="0.3">
      <c r="A1050" s="237" t="str">
        <f>name!E$8</f>
        <v>Skilled trades occupations</v>
      </c>
      <c r="B1050" s="302">
        <v>4.4506017366728869</v>
      </c>
      <c r="C1050" s="302">
        <v>1.0376630273780725</v>
      </c>
      <c r="D1050" s="302">
        <v>2.4656282270520662</v>
      </c>
      <c r="E1050" s="302">
        <f t="shared" si="448"/>
        <v>7.9538929911030252</v>
      </c>
      <c r="F1050" s="303"/>
      <c r="G1050" s="302">
        <v>3.6761765926329195</v>
      </c>
      <c r="H1050" s="302">
        <v>0.69140031067044838</v>
      </c>
      <c r="I1050" s="302">
        <v>1.9699238557707195</v>
      </c>
      <c r="J1050" s="302">
        <f>SUM(G1050:I1050)</f>
        <v>6.3375007590740875</v>
      </c>
      <c r="K1050" s="303"/>
      <c r="L1050" s="302">
        <v>3.4258415370500943</v>
      </c>
      <c r="M1050" s="302">
        <v>0.96078225567182696</v>
      </c>
      <c r="N1050" s="302">
        <v>1.7188641851565374</v>
      </c>
      <c r="O1050" s="302">
        <f t="shared" si="450"/>
        <v>6.1054879778784583</v>
      </c>
    </row>
    <row r="1051" spans="1:15" s="236" customFormat="1" x14ac:dyDescent="0.3">
      <c r="A1051" s="237" t="str">
        <f>name!E$9</f>
        <v>Caring, leisure and other service occupations</v>
      </c>
      <c r="B1051" s="302">
        <v>5.1981075957711491</v>
      </c>
      <c r="C1051" s="302">
        <v>3.4259535876180589</v>
      </c>
      <c r="D1051" s="302">
        <v>1.2744535340386858</v>
      </c>
      <c r="E1051" s="302">
        <f t="shared" si="448"/>
        <v>9.8985147174278953</v>
      </c>
      <c r="F1051" s="303"/>
      <c r="G1051" s="302">
        <v>5.7940452794455997</v>
      </c>
      <c r="H1051" s="302">
        <v>3.7027022903941922</v>
      </c>
      <c r="I1051" s="302">
        <v>1.6546198247959498</v>
      </c>
      <c r="J1051" s="302">
        <f t="shared" ref="J1051:J1054" si="451">SUM(G1051:I1051)</f>
        <v>11.151367394635741</v>
      </c>
      <c r="K1051" s="303"/>
      <c r="L1051" s="302">
        <v>7.0754463353822805</v>
      </c>
      <c r="M1051" s="302">
        <v>4.4775268255787477</v>
      </c>
      <c r="N1051" s="302">
        <v>2.2234229021913241</v>
      </c>
      <c r="O1051" s="302">
        <f t="shared" si="450"/>
        <v>13.776396063152351</v>
      </c>
    </row>
    <row r="1052" spans="1:15" s="236" customFormat="1" x14ac:dyDescent="0.3">
      <c r="A1052" s="237" t="str">
        <f>name!E$10</f>
        <v>Sales and customer service occupations</v>
      </c>
      <c r="B1052" s="302">
        <v>9.5631007371263106</v>
      </c>
      <c r="C1052" s="302">
        <v>2.9940508123036067</v>
      </c>
      <c r="D1052" s="302">
        <v>0.83263720560242227</v>
      </c>
      <c r="E1052" s="302">
        <f t="shared" si="448"/>
        <v>13.38978875503234</v>
      </c>
      <c r="F1052" s="303"/>
      <c r="G1052" s="302">
        <v>10.221309098227945</v>
      </c>
      <c r="H1052" s="302">
        <v>3.1680547853904235</v>
      </c>
      <c r="I1052" s="302">
        <v>0.76466861953708354</v>
      </c>
      <c r="J1052" s="302">
        <f t="shared" si="451"/>
        <v>14.154032503155452</v>
      </c>
      <c r="K1052" s="303"/>
      <c r="L1052" s="302">
        <v>13.449768008433475</v>
      </c>
      <c r="M1052" s="302">
        <v>4.6870587939180526</v>
      </c>
      <c r="N1052" s="302">
        <v>0.74547514088868172</v>
      </c>
      <c r="O1052" s="302">
        <f t="shared" si="450"/>
        <v>18.882301943240211</v>
      </c>
    </row>
    <row r="1053" spans="1:15" s="236" customFormat="1" x14ac:dyDescent="0.3">
      <c r="A1053" s="237" t="str">
        <f>name!E$11</f>
        <v>Process, plant and machine operatives</v>
      </c>
      <c r="B1053" s="302">
        <v>5.1101365196831843</v>
      </c>
      <c r="C1053" s="302">
        <v>2.3645309143745226</v>
      </c>
      <c r="D1053" s="302">
        <v>0.38097879952764463</v>
      </c>
      <c r="E1053" s="302">
        <f t="shared" si="448"/>
        <v>7.8556462335853521</v>
      </c>
      <c r="F1053" s="303"/>
      <c r="G1053" s="302">
        <v>4.5401406563987319</v>
      </c>
      <c r="H1053" s="302">
        <v>2.4616619597161629</v>
      </c>
      <c r="I1053" s="302">
        <v>0.41759596515147579</v>
      </c>
      <c r="J1053" s="302">
        <f t="shared" si="451"/>
        <v>7.4193985812663703</v>
      </c>
      <c r="K1053" s="303"/>
      <c r="L1053" s="302">
        <v>4.4671653287479733</v>
      </c>
      <c r="M1053" s="302">
        <v>2.9284001840907754</v>
      </c>
      <c r="N1053" s="302">
        <v>0.46736724096132332</v>
      </c>
      <c r="O1053" s="302">
        <f t="shared" si="450"/>
        <v>7.8629327538000719</v>
      </c>
    </row>
    <row r="1054" spans="1:15" s="236" customFormat="1" x14ac:dyDescent="0.3">
      <c r="A1054" s="237" t="str">
        <f>name!E$12</f>
        <v>Elementary occupations</v>
      </c>
      <c r="B1054" s="302">
        <v>37.070207533337509</v>
      </c>
      <c r="C1054" s="302">
        <v>22.881230341856689</v>
      </c>
      <c r="D1054" s="302">
        <v>5.6552718387926983</v>
      </c>
      <c r="E1054" s="302">
        <f t="shared" si="448"/>
        <v>65.606709713986902</v>
      </c>
      <c r="F1054" s="303"/>
      <c r="G1054" s="302">
        <v>34.395767679793437</v>
      </c>
      <c r="H1054" s="302">
        <v>20.687797111068647</v>
      </c>
      <c r="I1054" s="302">
        <v>5.3171461578523456</v>
      </c>
      <c r="J1054" s="302">
        <f t="shared" si="451"/>
        <v>60.400710948714433</v>
      </c>
      <c r="K1054" s="303"/>
      <c r="L1054" s="302">
        <v>39.047539624988389</v>
      </c>
      <c r="M1054" s="302">
        <v>19.286022941820537</v>
      </c>
      <c r="N1054" s="302">
        <v>6.9242859404183168</v>
      </c>
      <c r="O1054" s="302">
        <f t="shared" si="450"/>
        <v>65.257848507227237</v>
      </c>
    </row>
    <row r="1055" spans="1:15" s="236" customFormat="1" x14ac:dyDescent="0.3">
      <c r="A1055" s="237"/>
      <c r="B1055" s="302"/>
      <c r="C1055" s="302"/>
      <c r="D1055" s="302"/>
      <c r="E1055" s="302"/>
      <c r="F1055" s="303"/>
      <c r="G1055" s="302"/>
      <c r="H1055" s="302"/>
      <c r="I1055" s="302"/>
      <c r="J1055" s="302"/>
      <c r="K1055" s="303"/>
      <c r="L1055" s="302"/>
      <c r="M1055" s="302"/>
      <c r="N1055" s="302"/>
      <c r="O1055" s="302"/>
    </row>
    <row r="1056" spans="1:15" s="236" customFormat="1" x14ac:dyDescent="0.3">
      <c r="A1056" s="244" t="s">
        <v>32</v>
      </c>
      <c r="B1056" s="311">
        <f>SUM(B1046:B1054)</f>
        <v>132.88300000047309</v>
      </c>
      <c r="C1056" s="311">
        <f t="shared" ref="C1056:E1056" si="452">SUM(C1046:C1054)</f>
        <v>44.026000000702581</v>
      </c>
      <c r="D1056" s="311">
        <f t="shared" si="452"/>
        <v>22.647000000373851</v>
      </c>
      <c r="E1056" s="311">
        <f t="shared" si="452"/>
        <v>199.55600000154953</v>
      </c>
      <c r="F1056" s="311"/>
      <c r="G1056" s="311">
        <f t="shared" ref="G1056:J1056" si="453">SUM(G1046:G1054)</f>
        <v>142.108999999888</v>
      </c>
      <c r="H1056" s="311">
        <f t="shared" si="453"/>
        <v>44.587000000152493</v>
      </c>
      <c r="I1056" s="311">
        <f t="shared" si="453"/>
        <v>22.779000000141082</v>
      </c>
      <c r="J1056" s="311">
        <f t="shared" si="453"/>
        <v>209.47500000018158</v>
      </c>
      <c r="K1056" s="311"/>
      <c r="L1056" s="311">
        <f t="shared" ref="L1056:O1056" si="454">SUM(L1046:L1054)</f>
        <v>162.65999999979829</v>
      </c>
      <c r="M1056" s="311">
        <f t="shared" si="454"/>
        <v>49.230000000156231</v>
      </c>
      <c r="N1056" s="311">
        <f t="shared" si="454"/>
        <v>25.716000000435514</v>
      </c>
      <c r="O1056" s="311">
        <f t="shared" si="454"/>
        <v>237.60600000039003</v>
      </c>
    </row>
    <row r="1057" spans="1:15" s="236" customFormat="1" x14ac:dyDescent="0.3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37"/>
      <c r="M1057" s="237"/>
      <c r="N1057" s="240"/>
    </row>
    <row r="1058" spans="1:15" s="236" customFormat="1" x14ac:dyDescent="0.3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37"/>
      <c r="M1058" s="237"/>
      <c r="N1058" s="240"/>
      <c r="O1058" s="251" t="s">
        <v>35</v>
      </c>
    </row>
    <row r="1059" spans="1:15" s="236" customFormat="1" x14ac:dyDescent="0.3">
      <c r="A1059" s="242"/>
      <c r="B1059" s="242"/>
      <c r="C1059" s="242"/>
      <c r="D1059" s="242"/>
      <c r="E1059" s="242"/>
      <c r="F1059" s="242"/>
      <c r="G1059" s="242"/>
      <c r="H1059" s="242"/>
      <c r="I1059" s="242"/>
      <c r="J1059" s="242"/>
      <c r="K1059" s="242"/>
      <c r="L1059" s="242"/>
      <c r="M1059" s="242"/>
      <c r="N1059" s="242"/>
      <c r="O1059" s="242"/>
    </row>
    <row r="1060" spans="1:15" s="236" customFormat="1" x14ac:dyDescent="0.3">
      <c r="A1060" s="241" t="str">
        <f>name!A65</f>
        <v>Services to buildings</v>
      </c>
      <c r="B1060" s="375">
        <f>$B$6</f>
        <v>2015</v>
      </c>
      <c r="C1060" s="375"/>
      <c r="D1060" s="375"/>
      <c r="E1060" s="375"/>
      <c r="F1060" s="263"/>
      <c r="G1060" s="375">
        <f>$G$6</f>
        <v>2020</v>
      </c>
      <c r="H1060" s="375"/>
      <c r="I1060" s="375"/>
      <c r="J1060" s="375"/>
      <c r="K1060" s="263"/>
      <c r="L1060" s="375">
        <f>$L$6</f>
        <v>2035</v>
      </c>
      <c r="M1060" s="375"/>
      <c r="N1060" s="375"/>
      <c r="O1060" s="375"/>
    </row>
    <row r="1061" spans="1:15" s="236" customFormat="1" x14ac:dyDescent="0.3">
      <c r="A1061" s="254"/>
      <c r="B1061" s="268" t="str">
        <f>$B$7</f>
        <v>FT</v>
      </c>
      <c r="C1061" s="268" t="str">
        <f>$C$7</f>
        <v>PT</v>
      </c>
      <c r="D1061" s="268" t="str">
        <f>$D$7</f>
        <v>SE</v>
      </c>
      <c r="E1061" s="268" t="str">
        <f>$E$7</f>
        <v>Total</v>
      </c>
      <c r="F1061" s="268"/>
      <c r="G1061" s="268" t="str">
        <f>$G$7</f>
        <v>FT</v>
      </c>
      <c r="H1061" s="268" t="str">
        <f>$H$7</f>
        <v>PT</v>
      </c>
      <c r="I1061" s="268" t="str">
        <f>$I$7</f>
        <v>SE</v>
      </c>
      <c r="J1061" s="268" t="str">
        <f>$J$7</f>
        <v>Total</v>
      </c>
      <c r="K1061" s="268"/>
      <c r="L1061" s="268" t="str">
        <f>$L$7</f>
        <v>FT</v>
      </c>
      <c r="M1061" s="268" t="str">
        <f>$M$7</f>
        <v>PT</v>
      </c>
      <c r="N1061" s="268" t="str">
        <f>$N$7</f>
        <v>SE</v>
      </c>
      <c r="O1061" s="268" t="str">
        <f>$O$7</f>
        <v>Total</v>
      </c>
    </row>
    <row r="1062" spans="1:15" s="236" customFormat="1" x14ac:dyDescent="0.3">
      <c r="A1062" s="258"/>
      <c r="B1062" s="239"/>
      <c r="C1062" s="239"/>
      <c r="D1062" s="239"/>
      <c r="E1062" s="239"/>
      <c r="F1062" s="239"/>
      <c r="G1062" s="239"/>
      <c r="H1062" s="239"/>
      <c r="I1062" s="239"/>
      <c r="J1062" s="239"/>
      <c r="K1062" s="239"/>
      <c r="L1062" s="239"/>
      <c r="M1062" s="239"/>
      <c r="N1062" s="239"/>
      <c r="O1062" s="239"/>
    </row>
    <row r="1063" spans="1:15" s="236" customFormat="1" x14ac:dyDescent="0.3">
      <c r="A1063" s="237" t="str">
        <f>name!E$4</f>
        <v>Managers, directors and senior officials</v>
      </c>
      <c r="B1063" s="302">
        <v>41.291079813331386</v>
      </c>
      <c r="C1063" s="302">
        <v>17.217966001121123</v>
      </c>
      <c r="D1063" s="302">
        <v>15.178015831544464</v>
      </c>
      <c r="E1063" s="302">
        <f>SUM(B1063:D1063)</f>
        <v>73.687061645996977</v>
      </c>
      <c r="F1063" s="303"/>
      <c r="G1063" s="302">
        <v>45.020582812039642</v>
      </c>
      <c r="H1063" s="302">
        <v>22.681509631995862</v>
      </c>
      <c r="I1063" s="302">
        <v>17.202183191476106</v>
      </c>
      <c r="J1063" s="302">
        <f>SUM(G1063:I1063)</f>
        <v>84.90427563551161</v>
      </c>
      <c r="K1063" s="303"/>
      <c r="L1063" s="302">
        <v>55.060950442010743</v>
      </c>
      <c r="M1063" s="302">
        <v>29.291142755642927</v>
      </c>
      <c r="N1063" s="302">
        <v>20.269401441908563</v>
      </c>
      <c r="O1063" s="302">
        <f>SUM(L1063:N1063)</f>
        <v>104.62149463956223</v>
      </c>
    </row>
    <row r="1064" spans="1:15" s="236" customFormat="1" x14ac:dyDescent="0.3">
      <c r="A1064" s="237" t="str">
        <f>name!E$5</f>
        <v>Professional occupations</v>
      </c>
      <c r="B1064" s="302">
        <v>56.409850057007617</v>
      </c>
      <c r="C1064" s="302">
        <v>30.690494245177675</v>
      </c>
      <c r="D1064" s="302">
        <v>8.4128104760473104</v>
      </c>
      <c r="E1064" s="302">
        <f t="shared" ref="E1064:E1071" si="455">SUM(B1064:D1064)</f>
        <v>95.513154778232604</v>
      </c>
      <c r="F1064" s="303"/>
      <c r="G1064" s="302">
        <v>69.728303407764741</v>
      </c>
      <c r="H1064" s="302">
        <v>37.685762852982172</v>
      </c>
      <c r="I1064" s="302">
        <v>8.9164175962603469</v>
      </c>
      <c r="J1064" s="302">
        <f t="shared" ref="J1064:J1066" si="456">SUM(G1064:I1064)</f>
        <v>116.33048385700727</v>
      </c>
      <c r="K1064" s="303"/>
      <c r="L1064" s="302">
        <v>91.498074394853802</v>
      </c>
      <c r="M1064" s="302">
        <v>51.862726958069715</v>
      </c>
      <c r="N1064" s="302">
        <v>7.5552393007043612</v>
      </c>
      <c r="O1064" s="302">
        <f t="shared" ref="O1064:O1071" si="457">SUM(L1064:N1064)</f>
        <v>150.91604065362787</v>
      </c>
    </row>
    <row r="1065" spans="1:15" s="236" customFormat="1" x14ac:dyDescent="0.3">
      <c r="A1065" s="237" t="str">
        <f>name!E$6</f>
        <v>Associate professional occupations</v>
      </c>
      <c r="B1065" s="302">
        <v>59.472048082054883</v>
      </c>
      <c r="C1065" s="302">
        <v>34.927801684167932</v>
      </c>
      <c r="D1065" s="302">
        <v>17.100837259536071</v>
      </c>
      <c r="E1065" s="302">
        <f t="shared" si="455"/>
        <v>111.50068702575888</v>
      </c>
      <c r="F1065" s="303"/>
      <c r="G1065" s="302">
        <v>68.081408136954508</v>
      </c>
      <c r="H1065" s="302">
        <v>38.218075275281386</v>
      </c>
      <c r="I1065" s="302">
        <v>17.142242223896542</v>
      </c>
      <c r="J1065" s="302">
        <f t="shared" si="456"/>
        <v>123.44172563613245</v>
      </c>
      <c r="K1065" s="303"/>
      <c r="L1065" s="302">
        <v>73.702879745460166</v>
      </c>
      <c r="M1065" s="302">
        <v>47.428275224863768</v>
      </c>
      <c r="N1065" s="302">
        <v>17.151669982944728</v>
      </c>
      <c r="O1065" s="302">
        <f t="shared" si="457"/>
        <v>138.28282495326866</v>
      </c>
    </row>
    <row r="1066" spans="1:15" s="236" customFormat="1" x14ac:dyDescent="0.3">
      <c r="A1066" s="237" t="str">
        <f>name!E$7</f>
        <v>Administrative and secretarial occupations</v>
      </c>
      <c r="B1066" s="302">
        <v>54.33567491603069</v>
      </c>
      <c r="C1066" s="302">
        <v>70.012851074604015</v>
      </c>
      <c r="D1066" s="302">
        <v>5.5305306435995876</v>
      </c>
      <c r="E1066" s="302">
        <f t="shared" si="455"/>
        <v>129.87905663423427</v>
      </c>
      <c r="F1066" s="303"/>
      <c r="G1066" s="302">
        <v>54.550746175132375</v>
      </c>
      <c r="H1066" s="302">
        <v>66.583461347295923</v>
      </c>
      <c r="I1066" s="302">
        <v>5.642736474897232</v>
      </c>
      <c r="J1066" s="302">
        <f t="shared" si="456"/>
        <v>126.77694399732553</v>
      </c>
      <c r="K1066" s="303"/>
      <c r="L1066" s="302">
        <v>48.746059322434462</v>
      </c>
      <c r="M1066" s="302">
        <v>72.48373570399464</v>
      </c>
      <c r="N1066" s="302">
        <v>6.3800146517625524</v>
      </c>
      <c r="O1066" s="302">
        <f t="shared" si="457"/>
        <v>127.60980967819165</v>
      </c>
    </row>
    <row r="1067" spans="1:15" s="236" customFormat="1" x14ac:dyDescent="0.3">
      <c r="A1067" s="237" t="str">
        <f>name!E$8</f>
        <v>Skilled trades occupations</v>
      </c>
      <c r="B1067" s="302">
        <v>10.687013947058677</v>
      </c>
      <c r="C1067" s="302">
        <v>6.2418005495493034</v>
      </c>
      <c r="D1067" s="302">
        <v>9.071685678448409</v>
      </c>
      <c r="E1067" s="302">
        <f t="shared" si="455"/>
        <v>26.000500175056388</v>
      </c>
      <c r="F1067" s="303"/>
      <c r="G1067" s="302">
        <v>8.7446967774265882</v>
      </c>
      <c r="H1067" s="302">
        <v>4.8152741077557932</v>
      </c>
      <c r="I1067" s="302">
        <v>7.920713194970773</v>
      </c>
      <c r="J1067" s="302">
        <f>SUM(G1067:I1067)</f>
        <v>21.480684080153154</v>
      </c>
      <c r="K1067" s="303"/>
      <c r="L1067" s="302">
        <v>9.3218278196737501</v>
      </c>
      <c r="M1067" s="302">
        <v>8.1236944338793542</v>
      </c>
      <c r="N1067" s="302">
        <v>10.628065890339814</v>
      </c>
      <c r="O1067" s="302">
        <f t="shared" si="457"/>
        <v>28.07358814389292</v>
      </c>
    </row>
    <row r="1068" spans="1:15" s="236" customFormat="1" x14ac:dyDescent="0.3">
      <c r="A1068" s="237" t="str">
        <f>name!E$9</f>
        <v>Caring, leisure and other service occupations</v>
      </c>
      <c r="B1068" s="302">
        <v>27.181741636491761</v>
      </c>
      <c r="C1068" s="302">
        <v>43.829029151412712</v>
      </c>
      <c r="D1068" s="302">
        <v>6.0921066993223452</v>
      </c>
      <c r="E1068" s="302">
        <f t="shared" si="455"/>
        <v>77.10287748722682</v>
      </c>
      <c r="F1068" s="303"/>
      <c r="G1068" s="302">
        <v>28.030850522600037</v>
      </c>
      <c r="H1068" s="302">
        <v>40.833192428716011</v>
      </c>
      <c r="I1068" s="302">
        <v>7.5017485272017987</v>
      </c>
      <c r="J1068" s="302">
        <f t="shared" ref="J1068:J1071" si="458">SUM(G1068:I1068)</f>
        <v>76.365791478517849</v>
      </c>
      <c r="K1068" s="303"/>
      <c r="L1068" s="302">
        <v>36.365446242656802</v>
      </c>
      <c r="M1068" s="302">
        <v>46.86379523436905</v>
      </c>
      <c r="N1068" s="302">
        <v>8.8412120176323477</v>
      </c>
      <c r="O1068" s="302">
        <f t="shared" si="457"/>
        <v>92.070453494658196</v>
      </c>
    </row>
    <row r="1069" spans="1:15" s="236" customFormat="1" x14ac:dyDescent="0.3">
      <c r="A1069" s="237" t="str">
        <f>name!E$10</f>
        <v>Sales and customer service occupations</v>
      </c>
      <c r="B1069" s="302">
        <v>28.454180671089969</v>
      </c>
      <c r="C1069" s="302">
        <v>27.821856066145163</v>
      </c>
      <c r="D1069" s="302">
        <v>4.3235126112390008</v>
      </c>
      <c r="E1069" s="302">
        <f t="shared" si="455"/>
        <v>60.599549348474135</v>
      </c>
      <c r="F1069" s="303"/>
      <c r="G1069" s="302">
        <v>27.638846280139326</v>
      </c>
      <c r="H1069" s="302">
        <v>27.848217344240933</v>
      </c>
      <c r="I1069" s="302">
        <v>3.410562663264185</v>
      </c>
      <c r="J1069" s="302">
        <f t="shared" si="458"/>
        <v>58.897626287644442</v>
      </c>
      <c r="K1069" s="303"/>
      <c r="L1069" s="302">
        <v>34.417259421185868</v>
      </c>
      <c r="M1069" s="302">
        <v>45.417944327722203</v>
      </c>
      <c r="N1069" s="302">
        <v>3.0427105282210736</v>
      </c>
      <c r="O1069" s="302">
        <f t="shared" si="457"/>
        <v>82.87791427712915</v>
      </c>
    </row>
    <row r="1070" spans="1:15" s="236" customFormat="1" x14ac:dyDescent="0.3">
      <c r="A1070" s="237" t="str">
        <f>name!E$11</f>
        <v>Process, plant and machine operatives</v>
      </c>
      <c r="B1070" s="302">
        <v>10.518522254198071</v>
      </c>
      <c r="C1070" s="302">
        <v>8.391369372962961</v>
      </c>
      <c r="D1070" s="302">
        <v>0.98172121271470947</v>
      </c>
      <c r="E1070" s="302">
        <f t="shared" si="455"/>
        <v>19.891612839875741</v>
      </c>
      <c r="F1070" s="303"/>
      <c r="G1070" s="302">
        <v>8.6164665645396212</v>
      </c>
      <c r="H1070" s="302">
        <v>7.7262007454439772</v>
      </c>
      <c r="I1070" s="302">
        <v>1.0380181547503091</v>
      </c>
      <c r="J1070" s="302">
        <f t="shared" si="458"/>
        <v>17.380685464733904</v>
      </c>
      <c r="K1070" s="303"/>
      <c r="L1070" s="302">
        <v>9.5732403051774266</v>
      </c>
      <c r="M1070" s="302">
        <v>10.866342023668107</v>
      </c>
      <c r="N1070" s="302">
        <v>1.3685368313235313</v>
      </c>
      <c r="O1070" s="302">
        <f t="shared" si="457"/>
        <v>21.808119160169063</v>
      </c>
    </row>
    <row r="1071" spans="1:15" s="236" customFormat="1" x14ac:dyDescent="0.3">
      <c r="A1071" s="237" t="str">
        <f>name!E$12</f>
        <v>Elementary occupations</v>
      </c>
      <c r="B1071" s="302">
        <v>68.541888622982043</v>
      </c>
      <c r="C1071" s="302">
        <v>182.41383186064695</v>
      </c>
      <c r="D1071" s="302">
        <v>22.641779588802489</v>
      </c>
      <c r="E1071" s="302">
        <f t="shared" si="455"/>
        <v>273.5975000724315</v>
      </c>
      <c r="F1071" s="303"/>
      <c r="G1071" s="302">
        <v>59.934099322505382</v>
      </c>
      <c r="H1071" s="302">
        <v>144.51530626874799</v>
      </c>
      <c r="I1071" s="302">
        <v>19.776377972615002</v>
      </c>
      <c r="J1071" s="302">
        <f t="shared" si="458"/>
        <v>224.22578356386836</v>
      </c>
      <c r="K1071" s="303"/>
      <c r="L1071" s="302">
        <v>72.161262305189652</v>
      </c>
      <c r="M1071" s="302">
        <v>112.85134333862914</v>
      </c>
      <c r="N1071" s="302">
        <v>25.274149355803083</v>
      </c>
      <c r="O1071" s="302">
        <f t="shared" si="457"/>
        <v>210.28675499962188</v>
      </c>
    </row>
    <row r="1072" spans="1:15" s="236" customFormat="1" x14ac:dyDescent="0.3">
      <c r="A1072" s="237"/>
      <c r="B1072" s="302"/>
      <c r="C1072" s="302"/>
      <c r="D1072" s="302"/>
      <c r="E1072" s="302"/>
      <c r="F1072" s="303"/>
      <c r="G1072" s="302"/>
      <c r="H1072" s="302"/>
      <c r="I1072" s="302"/>
      <c r="J1072" s="302"/>
      <c r="K1072" s="303"/>
      <c r="L1072" s="302"/>
      <c r="M1072" s="302"/>
      <c r="N1072" s="302"/>
      <c r="O1072" s="302"/>
    </row>
    <row r="1073" spans="1:15" s="236" customFormat="1" x14ac:dyDescent="0.3">
      <c r="A1073" s="244" t="s">
        <v>32</v>
      </c>
      <c r="B1073" s="311">
        <f>SUM(B1063:B1071)</f>
        <v>356.89200000024505</v>
      </c>
      <c r="C1073" s="311">
        <f t="shared" ref="C1073:E1073" si="459">SUM(C1063:C1071)</f>
        <v>421.54700000578782</v>
      </c>
      <c r="D1073" s="311">
        <f t="shared" si="459"/>
        <v>89.333000001254391</v>
      </c>
      <c r="E1073" s="311">
        <f t="shared" si="459"/>
        <v>867.77200000728749</v>
      </c>
      <c r="F1073" s="311"/>
      <c r="G1073" s="311">
        <f t="shared" ref="G1073:J1073" si="460">SUM(G1063:G1071)</f>
        <v>370.34599999910222</v>
      </c>
      <c r="H1073" s="311">
        <f t="shared" si="460"/>
        <v>390.90700000246005</v>
      </c>
      <c r="I1073" s="311">
        <f t="shared" si="460"/>
        <v>88.550999999332305</v>
      </c>
      <c r="J1073" s="311">
        <f t="shared" si="460"/>
        <v>849.80400000089458</v>
      </c>
      <c r="K1073" s="311"/>
      <c r="L1073" s="311">
        <f t="shared" ref="L1073:O1073" si="461">SUM(L1063:L1071)</f>
        <v>430.84699999864267</v>
      </c>
      <c r="M1073" s="311">
        <f t="shared" si="461"/>
        <v>425.18900000083886</v>
      </c>
      <c r="N1073" s="311">
        <f t="shared" si="461"/>
        <v>100.51100000064005</v>
      </c>
      <c r="O1073" s="311">
        <f t="shared" si="461"/>
        <v>956.54700000012178</v>
      </c>
    </row>
    <row r="1074" spans="1:15" s="236" customFormat="1" x14ac:dyDescent="0.3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37"/>
      <c r="M1074" s="237"/>
      <c r="N1074" s="240"/>
    </row>
    <row r="1075" spans="1:15" s="236" customFormat="1" x14ac:dyDescent="0.3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37"/>
      <c r="M1075" s="237"/>
      <c r="N1075" s="240"/>
      <c r="O1075" s="251" t="s">
        <v>35</v>
      </c>
    </row>
    <row r="1076" spans="1:15" s="236" customFormat="1" x14ac:dyDescent="0.3">
      <c r="A1076" s="242"/>
      <c r="B1076" s="242"/>
      <c r="C1076" s="242"/>
      <c r="D1076" s="242"/>
      <c r="E1076" s="242"/>
      <c r="F1076" s="242"/>
      <c r="G1076" s="242"/>
      <c r="H1076" s="242"/>
      <c r="I1076" s="242"/>
      <c r="J1076" s="242"/>
      <c r="K1076" s="242"/>
      <c r="L1076" s="242"/>
      <c r="M1076" s="242"/>
      <c r="N1076" s="242"/>
      <c r="O1076" s="242"/>
    </row>
    <row r="1077" spans="1:15" s="236" customFormat="1" x14ac:dyDescent="0.3">
      <c r="A1077" s="241" t="str">
        <f>name!A66</f>
        <v>Office administrative</v>
      </c>
      <c r="B1077" s="375">
        <f>$B$6</f>
        <v>2015</v>
      </c>
      <c r="C1077" s="375"/>
      <c r="D1077" s="375"/>
      <c r="E1077" s="375"/>
      <c r="F1077" s="263"/>
      <c r="G1077" s="375">
        <f>$G$6</f>
        <v>2020</v>
      </c>
      <c r="H1077" s="375"/>
      <c r="I1077" s="375"/>
      <c r="J1077" s="375"/>
      <c r="K1077" s="263"/>
      <c r="L1077" s="375">
        <f>$L$6</f>
        <v>2035</v>
      </c>
      <c r="M1077" s="375"/>
      <c r="N1077" s="375"/>
      <c r="O1077" s="375"/>
    </row>
    <row r="1078" spans="1:15" s="236" customFormat="1" x14ac:dyDescent="0.3">
      <c r="A1078" s="254"/>
      <c r="B1078" s="268" t="str">
        <f>$B$7</f>
        <v>FT</v>
      </c>
      <c r="C1078" s="268" t="str">
        <f>$C$7</f>
        <v>PT</v>
      </c>
      <c r="D1078" s="268" t="str">
        <f>$D$7</f>
        <v>SE</v>
      </c>
      <c r="E1078" s="268" t="str">
        <f>$E$7</f>
        <v>Total</v>
      </c>
      <c r="F1078" s="268"/>
      <c r="G1078" s="268" t="str">
        <f>$G$7</f>
        <v>FT</v>
      </c>
      <c r="H1078" s="268" t="str">
        <f>$H$7</f>
        <v>PT</v>
      </c>
      <c r="I1078" s="268" t="str">
        <f>$I$7</f>
        <v>SE</v>
      </c>
      <c r="J1078" s="268" t="str">
        <f>$J$7</f>
        <v>Total</v>
      </c>
      <c r="K1078" s="268"/>
      <c r="L1078" s="268" t="str">
        <f>$L$7</f>
        <v>FT</v>
      </c>
      <c r="M1078" s="268" t="str">
        <f>$M$7</f>
        <v>PT</v>
      </c>
      <c r="N1078" s="268" t="str">
        <f>$N$7</f>
        <v>SE</v>
      </c>
      <c r="O1078" s="268" t="str">
        <f>$O$7</f>
        <v>Total</v>
      </c>
    </row>
    <row r="1079" spans="1:15" s="236" customFormat="1" x14ac:dyDescent="0.3">
      <c r="A1079" s="258"/>
      <c r="B1079" s="239"/>
      <c r="C1079" s="239"/>
      <c r="D1079" s="239"/>
      <c r="E1079" s="239"/>
      <c r="F1079" s="239"/>
      <c r="G1079" s="239"/>
      <c r="H1079" s="239"/>
      <c r="I1079" s="239"/>
      <c r="J1079" s="239"/>
      <c r="K1079" s="239"/>
      <c r="L1079" s="239"/>
      <c r="M1079" s="239"/>
      <c r="N1079" s="239"/>
      <c r="O1079" s="239"/>
    </row>
    <row r="1080" spans="1:15" s="236" customFormat="1" x14ac:dyDescent="0.3">
      <c r="A1080" s="237" t="str">
        <f>name!E$4</f>
        <v>Managers, directors and senior officials</v>
      </c>
      <c r="B1080" s="302">
        <v>34.757428263656955</v>
      </c>
      <c r="C1080" s="302">
        <v>3.6496521197399283</v>
      </c>
      <c r="D1080" s="302">
        <v>6.3921044150787969</v>
      </c>
      <c r="E1080" s="302">
        <f>SUM(B1080:D1080)</f>
        <v>44.799184798475679</v>
      </c>
      <c r="F1080" s="303"/>
      <c r="G1080" s="302">
        <v>42.618051841312585</v>
      </c>
      <c r="H1080" s="302">
        <v>6.217014020993922</v>
      </c>
      <c r="I1080" s="302">
        <v>7.4329114662296503</v>
      </c>
      <c r="J1080" s="302">
        <f>SUM(G1080:I1080)</f>
        <v>56.267977328536155</v>
      </c>
      <c r="K1080" s="303"/>
      <c r="L1080" s="302">
        <v>49.704863388850264</v>
      </c>
      <c r="M1080" s="302">
        <v>7.6297062447990216</v>
      </c>
      <c r="N1080" s="302">
        <v>8.9127127635710739</v>
      </c>
      <c r="O1080" s="302">
        <f>SUM(L1080:N1080)</f>
        <v>66.24728239722036</v>
      </c>
    </row>
    <row r="1081" spans="1:15" s="236" customFormat="1" x14ac:dyDescent="0.3">
      <c r="A1081" s="237" t="str">
        <f>name!E$5</f>
        <v>Professional occupations</v>
      </c>
      <c r="B1081" s="302">
        <v>42.981675372799856</v>
      </c>
      <c r="C1081" s="302">
        <v>4.4926019264161425</v>
      </c>
      <c r="D1081" s="302">
        <v>5.1403340301655573</v>
      </c>
      <c r="E1081" s="302">
        <f t="shared" ref="E1081:E1088" si="462">SUM(B1081:D1081)</f>
        <v>52.614611329381553</v>
      </c>
      <c r="F1081" s="303"/>
      <c r="G1081" s="302">
        <v>60.52824392545503</v>
      </c>
      <c r="H1081" s="302">
        <v>8.520665642581621</v>
      </c>
      <c r="I1081" s="302">
        <v>5.7014072525799255</v>
      </c>
      <c r="J1081" s="302">
        <f t="shared" ref="J1081:J1083" si="463">SUM(G1081:I1081)</f>
        <v>74.750316820616575</v>
      </c>
      <c r="K1081" s="303"/>
      <c r="L1081" s="302">
        <v>80.026181338593545</v>
      </c>
      <c r="M1081" s="302">
        <v>12.880053745752587</v>
      </c>
      <c r="N1081" s="302">
        <v>5.1263470731256326</v>
      </c>
      <c r="O1081" s="302">
        <f t="shared" ref="O1081:O1088" si="464">SUM(L1081:N1081)</f>
        <v>98.032582157471765</v>
      </c>
    </row>
    <row r="1082" spans="1:15" s="236" customFormat="1" x14ac:dyDescent="0.3">
      <c r="A1082" s="237" t="str">
        <f>name!E$6</f>
        <v>Associate professional occupations</v>
      </c>
      <c r="B1082" s="302">
        <v>56.847692934350526</v>
      </c>
      <c r="C1082" s="302">
        <v>6.0459434820862175</v>
      </c>
      <c r="D1082" s="302">
        <v>13.725826229787151</v>
      </c>
      <c r="E1082" s="302">
        <f t="shared" si="462"/>
        <v>76.619462646223894</v>
      </c>
      <c r="F1082" s="303"/>
      <c r="G1082" s="302">
        <v>71.814706579782197</v>
      </c>
      <c r="H1082" s="302">
        <v>8.9660006235433656</v>
      </c>
      <c r="I1082" s="302">
        <v>15.584602864832</v>
      </c>
      <c r="J1082" s="302">
        <f t="shared" si="463"/>
        <v>96.365310068157555</v>
      </c>
      <c r="K1082" s="303"/>
      <c r="L1082" s="302">
        <v>74.588907501596893</v>
      </c>
      <c r="M1082" s="302">
        <v>10.843314858768448</v>
      </c>
      <c r="N1082" s="302">
        <v>16.082040302112762</v>
      </c>
      <c r="O1082" s="302">
        <f t="shared" si="464"/>
        <v>101.5142626624781</v>
      </c>
    </row>
    <row r="1083" spans="1:15" s="236" customFormat="1" x14ac:dyDescent="0.3">
      <c r="A1083" s="237" t="str">
        <f>name!E$7</f>
        <v>Administrative and secretarial occupations</v>
      </c>
      <c r="B1083" s="302">
        <v>37.645756055663135</v>
      </c>
      <c r="C1083" s="302">
        <v>10.507681813484648</v>
      </c>
      <c r="D1083" s="302">
        <v>2.9771087798544769</v>
      </c>
      <c r="E1083" s="302">
        <f t="shared" si="462"/>
        <v>51.130546649002255</v>
      </c>
      <c r="F1083" s="303"/>
      <c r="G1083" s="302">
        <v>42.234794225168883</v>
      </c>
      <c r="H1083" s="302">
        <v>12.501064454058511</v>
      </c>
      <c r="I1083" s="302">
        <v>3.2527652958569533</v>
      </c>
      <c r="J1083" s="302">
        <f t="shared" si="463"/>
        <v>57.988623975084344</v>
      </c>
      <c r="K1083" s="303"/>
      <c r="L1083" s="302">
        <v>43.390371735612639</v>
      </c>
      <c r="M1083" s="302">
        <v>13.072926514343044</v>
      </c>
      <c r="N1083" s="302">
        <v>3.5885883370533884</v>
      </c>
      <c r="O1083" s="302">
        <f t="shared" si="464"/>
        <v>60.051886587009072</v>
      </c>
    </row>
    <row r="1084" spans="1:15" s="236" customFormat="1" x14ac:dyDescent="0.3">
      <c r="A1084" s="237" t="str">
        <f>name!E$8</f>
        <v>Skilled trades occupations</v>
      </c>
      <c r="B1084" s="302">
        <v>11.75788116365103</v>
      </c>
      <c r="C1084" s="302">
        <v>2.0533543016410967</v>
      </c>
      <c r="D1084" s="302">
        <v>4.479535170155196</v>
      </c>
      <c r="E1084" s="302">
        <f t="shared" si="462"/>
        <v>18.290770635447323</v>
      </c>
      <c r="F1084" s="303"/>
      <c r="G1084" s="302">
        <v>9.6616311238521408</v>
      </c>
      <c r="H1084" s="302">
        <v>1.6074143708248738</v>
      </c>
      <c r="I1084" s="302">
        <v>3.7107376080456209</v>
      </c>
      <c r="J1084" s="302">
        <f>SUM(G1084:I1084)</f>
        <v>14.979783102722635</v>
      </c>
      <c r="K1084" s="303"/>
      <c r="L1084" s="302">
        <v>9.0570412712447368</v>
      </c>
      <c r="M1084" s="302">
        <v>2.3199041014852586</v>
      </c>
      <c r="N1084" s="302">
        <v>3.7092082604225936</v>
      </c>
      <c r="O1084" s="302">
        <f t="shared" si="464"/>
        <v>15.086153633152589</v>
      </c>
    </row>
    <row r="1085" spans="1:15" s="236" customFormat="1" x14ac:dyDescent="0.3">
      <c r="A1085" s="237" t="str">
        <f>name!E$9</f>
        <v>Caring, leisure and other service occupations</v>
      </c>
      <c r="B1085" s="302">
        <v>14.17484199022433</v>
      </c>
      <c r="C1085" s="302">
        <v>7.7837776969253767</v>
      </c>
      <c r="D1085" s="302">
        <v>4.6629092767235329</v>
      </c>
      <c r="E1085" s="302">
        <f t="shared" si="462"/>
        <v>26.621528963873239</v>
      </c>
      <c r="F1085" s="303"/>
      <c r="G1085" s="302">
        <v>15.337238930991798</v>
      </c>
      <c r="H1085" s="302">
        <v>9.3823711948047777</v>
      </c>
      <c r="I1085" s="302">
        <v>6.2913719584704211</v>
      </c>
      <c r="J1085" s="302">
        <f t="shared" ref="J1085:J1088" si="465">SUM(G1085:I1085)</f>
        <v>31.010982084266999</v>
      </c>
      <c r="K1085" s="303"/>
      <c r="L1085" s="302">
        <v>18.725156037636872</v>
      </c>
      <c r="M1085" s="302">
        <v>11.378842886471341</v>
      </c>
      <c r="N1085" s="302">
        <v>7.6293064401182988</v>
      </c>
      <c r="O1085" s="302">
        <f t="shared" si="464"/>
        <v>37.73330536422651</v>
      </c>
    </row>
    <row r="1086" spans="1:15" s="236" customFormat="1" x14ac:dyDescent="0.3">
      <c r="A1086" s="237" t="str">
        <f>name!E$10</f>
        <v>Sales and customer service occupations</v>
      </c>
      <c r="B1086" s="302">
        <v>25.104523668860434</v>
      </c>
      <c r="C1086" s="302">
        <v>6.6625364294174716</v>
      </c>
      <c r="D1086" s="302">
        <v>1.912981247144045</v>
      </c>
      <c r="E1086" s="302">
        <f t="shared" si="462"/>
        <v>33.680041345421948</v>
      </c>
      <c r="F1086" s="303"/>
      <c r="G1086" s="302">
        <v>27.084113826263522</v>
      </c>
      <c r="H1086" s="302">
        <v>7.6177605261193522</v>
      </c>
      <c r="I1086" s="302">
        <v>1.6295632901167796</v>
      </c>
      <c r="J1086" s="302">
        <f t="shared" si="465"/>
        <v>36.331437642499651</v>
      </c>
      <c r="K1086" s="303"/>
      <c r="L1086" s="302">
        <v>35.582618010214716</v>
      </c>
      <c r="M1086" s="302">
        <v>11.61986170788245</v>
      </c>
      <c r="N1086" s="302">
        <v>1.4869846654678385</v>
      </c>
      <c r="O1086" s="302">
        <f t="shared" si="464"/>
        <v>48.689464383565003</v>
      </c>
    </row>
    <row r="1087" spans="1:15" s="236" customFormat="1" x14ac:dyDescent="0.3">
      <c r="A1087" s="237" t="str">
        <f>name!E$11</f>
        <v>Process, plant and machine operatives</v>
      </c>
      <c r="B1087" s="302">
        <v>15.205830694950178</v>
      </c>
      <c r="C1087" s="302">
        <v>4.5698794825961828</v>
      </c>
      <c r="D1087" s="302">
        <v>0.77154306176429777</v>
      </c>
      <c r="E1087" s="302">
        <f t="shared" si="462"/>
        <v>20.54725323931066</v>
      </c>
      <c r="F1087" s="303"/>
      <c r="G1087" s="302">
        <v>12.310073142280592</v>
      </c>
      <c r="H1087" s="302">
        <v>5.3964393313840446</v>
      </c>
      <c r="I1087" s="302">
        <v>0.84799482461211551</v>
      </c>
      <c r="J1087" s="302">
        <f t="shared" si="465"/>
        <v>18.554507298276754</v>
      </c>
      <c r="K1087" s="303"/>
      <c r="L1087" s="302">
        <v>12.075329353076144</v>
      </c>
      <c r="M1087" s="302">
        <v>6.4363895292956146</v>
      </c>
      <c r="N1087" s="302">
        <v>1.082807170670671</v>
      </c>
      <c r="O1087" s="302">
        <f t="shared" si="464"/>
        <v>19.594526053042429</v>
      </c>
    </row>
    <row r="1088" spans="1:15" s="236" customFormat="1" x14ac:dyDescent="0.3">
      <c r="A1088" s="237" t="str">
        <f>name!E$12</f>
        <v>Elementary occupations</v>
      </c>
      <c r="B1088" s="302">
        <v>100.59636985669552</v>
      </c>
      <c r="C1088" s="302">
        <v>49.369572749071594</v>
      </c>
      <c r="D1088" s="302">
        <v>18.076657790308513</v>
      </c>
      <c r="E1088" s="302">
        <f t="shared" si="462"/>
        <v>168.04260039607561</v>
      </c>
      <c r="F1088" s="303"/>
      <c r="G1088" s="302">
        <v>91.573146404539429</v>
      </c>
      <c r="H1088" s="302">
        <v>45.88726983590832</v>
      </c>
      <c r="I1088" s="302">
        <v>18.128645438828226</v>
      </c>
      <c r="J1088" s="302">
        <f t="shared" si="465"/>
        <v>155.58906167927597</v>
      </c>
      <c r="K1088" s="303"/>
      <c r="L1088" s="302">
        <v>104.37853136271556</v>
      </c>
      <c r="M1088" s="302">
        <v>40.807000411408737</v>
      </c>
      <c r="N1088" s="302">
        <v>23.23200498803066</v>
      </c>
      <c r="O1088" s="302">
        <f t="shared" si="464"/>
        <v>168.41753676215495</v>
      </c>
    </row>
    <row r="1089" spans="1:15" s="236" customFormat="1" x14ac:dyDescent="0.3">
      <c r="A1089" s="237"/>
      <c r="B1089" s="302"/>
      <c r="C1089" s="302"/>
      <c r="D1089" s="302"/>
      <c r="E1089" s="302"/>
      <c r="F1089" s="303"/>
      <c r="G1089" s="302"/>
      <c r="H1089" s="302"/>
      <c r="I1089" s="302"/>
      <c r="J1089" s="302"/>
      <c r="K1089" s="303"/>
      <c r="L1089" s="302"/>
      <c r="M1089" s="302"/>
      <c r="N1089" s="302"/>
      <c r="O1089" s="302"/>
    </row>
    <row r="1090" spans="1:15" s="236" customFormat="1" x14ac:dyDescent="0.3">
      <c r="A1090" s="244" t="s">
        <v>32</v>
      </c>
      <c r="B1090" s="311">
        <f>SUM(B1080:B1088)</f>
        <v>339.07200000085197</v>
      </c>
      <c r="C1090" s="311">
        <f t="shared" ref="C1090:E1090" si="466">SUM(C1080:C1088)</f>
        <v>95.135000001378671</v>
      </c>
      <c r="D1090" s="311">
        <f t="shared" si="466"/>
        <v>58.139000000981568</v>
      </c>
      <c r="E1090" s="311">
        <f t="shared" si="466"/>
        <v>492.34600000321217</v>
      </c>
      <c r="F1090" s="311"/>
      <c r="G1090" s="311">
        <f t="shared" ref="G1090:J1090" si="467">SUM(G1080:G1088)</f>
        <v>373.16199999964624</v>
      </c>
      <c r="H1090" s="311">
        <f t="shared" si="467"/>
        <v>106.09600000021879</v>
      </c>
      <c r="I1090" s="311">
        <f t="shared" si="467"/>
        <v>62.579999999571683</v>
      </c>
      <c r="J1090" s="311">
        <f t="shared" si="467"/>
        <v>541.83799999943665</v>
      </c>
      <c r="K1090" s="311"/>
      <c r="L1090" s="311">
        <f t="shared" ref="L1090:O1090" si="468">SUM(L1080:L1088)</f>
        <v>427.52899999954138</v>
      </c>
      <c r="M1090" s="311">
        <f t="shared" si="468"/>
        <v>116.9880000002065</v>
      </c>
      <c r="N1090" s="311">
        <f t="shared" si="468"/>
        <v>70.850000000572919</v>
      </c>
      <c r="O1090" s="311">
        <f t="shared" si="468"/>
        <v>615.36700000032079</v>
      </c>
    </row>
    <row r="1091" spans="1:15" s="236" customFormat="1" x14ac:dyDescent="0.3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40"/>
    </row>
    <row r="1092" spans="1:15" s="236" customFormat="1" x14ac:dyDescent="0.3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37"/>
      <c r="M1092" s="237"/>
      <c r="N1092" s="240"/>
      <c r="O1092" s="251" t="s">
        <v>35</v>
      </c>
    </row>
    <row r="1093" spans="1:15" s="236" customFormat="1" x14ac:dyDescent="0.3">
      <c r="A1093" s="242"/>
      <c r="B1093" s="242"/>
      <c r="C1093" s="242"/>
      <c r="D1093" s="242"/>
      <c r="E1093" s="242"/>
      <c r="F1093" s="242"/>
      <c r="G1093" s="242"/>
      <c r="H1093" s="242"/>
      <c r="I1093" s="242"/>
      <c r="J1093" s="242"/>
      <c r="K1093" s="242"/>
      <c r="L1093" s="242"/>
      <c r="M1093" s="242"/>
      <c r="N1093" s="242"/>
      <c r="O1093" s="242"/>
    </row>
    <row r="1094" spans="1:15" s="236" customFormat="1" x14ac:dyDescent="0.3">
      <c r="A1094" s="241" t="str">
        <f>name!A67</f>
        <v>Public administration and defence</v>
      </c>
      <c r="B1094" s="375">
        <f>$B$6</f>
        <v>2015</v>
      </c>
      <c r="C1094" s="375"/>
      <c r="D1094" s="375"/>
      <c r="E1094" s="375"/>
      <c r="F1094" s="263"/>
      <c r="G1094" s="375">
        <f>$G$6</f>
        <v>2020</v>
      </c>
      <c r="H1094" s="375"/>
      <c r="I1094" s="375"/>
      <c r="J1094" s="375"/>
      <c r="K1094" s="263"/>
      <c r="L1094" s="375">
        <f>$L$6</f>
        <v>2035</v>
      </c>
      <c r="M1094" s="375"/>
      <c r="N1094" s="375"/>
      <c r="O1094" s="375"/>
    </row>
    <row r="1095" spans="1:15" s="236" customFormat="1" x14ac:dyDescent="0.3">
      <c r="A1095" s="254"/>
      <c r="B1095" s="268" t="str">
        <f>$B$7</f>
        <v>FT</v>
      </c>
      <c r="C1095" s="268" t="str">
        <f>$C$7</f>
        <v>PT</v>
      </c>
      <c r="D1095" s="268" t="str">
        <f>$D$7</f>
        <v>SE</v>
      </c>
      <c r="E1095" s="268" t="str">
        <f>$E$7</f>
        <v>Total</v>
      </c>
      <c r="F1095" s="268"/>
      <c r="G1095" s="268" t="str">
        <f>$G$7</f>
        <v>FT</v>
      </c>
      <c r="H1095" s="268" t="str">
        <f>$H$7</f>
        <v>PT</v>
      </c>
      <c r="I1095" s="268" t="str">
        <f>$I$7</f>
        <v>SE</v>
      </c>
      <c r="J1095" s="268" t="str">
        <f>$J$7</f>
        <v>Total</v>
      </c>
      <c r="K1095" s="268"/>
      <c r="L1095" s="268" t="str">
        <f>$L$7</f>
        <v>FT</v>
      </c>
      <c r="M1095" s="268" t="str">
        <f>$M$7</f>
        <v>PT</v>
      </c>
      <c r="N1095" s="268" t="str">
        <f>$N$7</f>
        <v>SE</v>
      </c>
      <c r="O1095" s="268" t="str">
        <f>$O$7</f>
        <v>Total</v>
      </c>
    </row>
    <row r="1096" spans="1:15" s="236" customFormat="1" x14ac:dyDescent="0.3">
      <c r="A1096" s="258"/>
      <c r="B1096" s="239"/>
      <c r="C1096" s="239"/>
      <c r="D1096" s="239"/>
      <c r="E1096" s="239"/>
      <c r="F1096" s="239"/>
      <c r="G1096" s="239"/>
      <c r="H1096" s="239"/>
      <c r="I1096" s="239"/>
      <c r="J1096" s="239"/>
      <c r="K1096" s="239"/>
      <c r="L1096" s="239"/>
      <c r="M1096" s="239"/>
      <c r="N1096" s="239"/>
      <c r="O1096" s="239"/>
    </row>
    <row r="1097" spans="1:15" s="236" customFormat="1" x14ac:dyDescent="0.3">
      <c r="A1097" s="237" t="str">
        <f>name!E$4</f>
        <v>Managers, directors and senior officials</v>
      </c>
      <c r="B1097" s="302">
        <v>75.515246244737938</v>
      </c>
      <c r="C1097" s="302">
        <v>18.151465615207588</v>
      </c>
      <c r="D1097" s="302">
        <v>5.1873745201291444</v>
      </c>
      <c r="E1097" s="302">
        <f>SUM(B1097:D1097)</f>
        <v>98.854086380074662</v>
      </c>
      <c r="F1097" s="303"/>
      <c r="G1097" s="302">
        <v>83.053923236193299</v>
      </c>
      <c r="H1097" s="302">
        <v>24.24499522715104</v>
      </c>
      <c r="I1097" s="302">
        <v>6.8004538046320802</v>
      </c>
      <c r="J1097" s="302">
        <f>SUM(G1097:I1097)</f>
        <v>114.09937226797642</v>
      </c>
      <c r="K1097" s="303"/>
      <c r="L1097" s="302">
        <v>80.653544442816695</v>
      </c>
      <c r="M1097" s="302">
        <v>29.920741089903611</v>
      </c>
      <c r="N1097" s="302">
        <v>7.8548578261244968</v>
      </c>
      <c r="O1097" s="302">
        <f>SUM(L1097:N1097)</f>
        <v>118.42914335884481</v>
      </c>
    </row>
    <row r="1098" spans="1:15" s="236" customFormat="1" x14ac:dyDescent="0.3">
      <c r="A1098" s="237" t="str">
        <f>name!E$5</f>
        <v>Professional occupations</v>
      </c>
      <c r="B1098" s="302">
        <v>197.63700844024319</v>
      </c>
      <c r="C1098" s="302">
        <v>60.729307471888504</v>
      </c>
      <c r="D1098" s="302">
        <v>14.662249978798958</v>
      </c>
      <c r="E1098" s="302">
        <f t="shared" ref="E1098:E1105" si="469">SUM(B1098:D1098)</f>
        <v>273.02856589093068</v>
      </c>
      <c r="F1098" s="303"/>
      <c r="G1098" s="302">
        <v>248.66490436020348</v>
      </c>
      <c r="H1098" s="302">
        <v>75.404075032094369</v>
      </c>
      <c r="I1098" s="302">
        <v>20.755237591809806</v>
      </c>
      <c r="J1098" s="302">
        <f t="shared" ref="J1098:J1100" si="470">SUM(G1098:I1098)</f>
        <v>344.82421698410764</v>
      </c>
      <c r="K1098" s="303"/>
      <c r="L1098" s="302">
        <v>279.81879056680901</v>
      </c>
      <c r="M1098" s="302">
        <v>98.977139531704594</v>
      </c>
      <c r="N1098" s="302">
        <v>18.262184186387717</v>
      </c>
      <c r="O1098" s="302">
        <f t="shared" ref="O1098:O1105" si="471">SUM(L1098:N1098)</f>
        <v>397.05811428490136</v>
      </c>
    </row>
    <row r="1099" spans="1:15" s="236" customFormat="1" x14ac:dyDescent="0.3">
      <c r="A1099" s="237" t="str">
        <f>name!E$6</f>
        <v>Associate professional occupations</v>
      </c>
      <c r="B1099" s="302">
        <v>322.1898239945711</v>
      </c>
      <c r="C1099" s="302">
        <v>66.651784621780664</v>
      </c>
      <c r="D1099" s="302">
        <v>8.160676806567599</v>
      </c>
      <c r="E1099" s="302">
        <f t="shared" si="469"/>
        <v>397.00228542291939</v>
      </c>
      <c r="F1099" s="303"/>
      <c r="G1099" s="302">
        <v>358.19040341058218</v>
      </c>
      <c r="H1099" s="302">
        <v>68.77762739228497</v>
      </c>
      <c r="I1099" s="302">
        <v>8.92125053762439</v>
      </c>
      <c r="J1099" s="302">
        <f t="shared" si="470"/>
        <v>435.88928134049155</v>
      </c>
      <c r="K1099" s="303"/>
      <c r="L1099" s="302">
        <v>401.55035677700249</v>
      </c>
      <c r="M1099" s="302">
        <v>81.017445236038085</v>
      </c>
      <c r="N1099" s="302">
        <v>8.4365050092227243</v>
      </c>
      <c r="O1099" s="302">
        <f t="shared" si="471"/>
        <v>491.00430702226333</v>
      </c>
    </row>
    <row r="1100" spans="1:15" s="236" customFormat="1" x14ac:dyDescent="0.3">
      <c r="A1100" s="237" t="str">
        <f>name!E$7</f>
        <v>Administrative and secretarial occupations</v>
      </c>
      <c r="B1100" s="302">
        <v>191.54697000340016</v>
      </c>
      <c r="C1100" s="302">
        <v>177.29345373743499</v>
      </c>
      <c r="D1100" s="302">
        <v>2.5955602983916428</v>
      </c>
      <c r="E1100" s="302">
        <f t="shared" si="469"/>
        <v>371.43598403922681</v>
      </c>
      <c r="F1100" s="303"/>
      <c r="G1100" s="302">
        <v>181.10181659014765</v>
      </c>
      <c r="H1100" s="302">
        <v>157.50874548537254</v>
      </c>
      <c r="I1100" s="302">
        <v>2.8154133988702452</v>
      </c>
      <c r="J1100" s="302">
        <f t="shared" si="470"/>
        <v>341.42597547439044</v>
      </c>
      <c r="K1100" s="303"/>
      <c r="L1100" s="302">
        <v>120.39374827898831</v>
      </c>
      <c r="M1100" s="302">
        <v>135.89115212149861</v>
      </c>
      <c r="N1100" s="302">
        <v>2.1645212732615038</v>
      </c>
      <c r="O1100" s="302">
        <f t="shared" si="471"/>
        <v>258.44942167374842</v>
      </c>
    </row>
    <row r="1101" spans="1:15" s="236" customFormat="1" x14ac:dyDescent="0.3">
      <c r="A1101" s="237" t="str">
        <f>name!E$8</f>
        <v>Skilled trades occupations</v>
      </c>
      <c r="B1101" s="302">
        <v>15.681159788124386</v>
      </c>
      <c r="C1101" s="302">
        <v>1.9019277956931724</v>
      </c>
      <c r="D1101" s="302">
        <v>3.4356466170426465</v>
      </c>
      <c r="E1101" s="302">
        <f t="shared" si="469"/>
        <v>21.018734200860205</v>
      </c>
      <c r="F1101" s="303"/>
      <c r="G1101" s="302">
        <v>12.555503357967808</v>
      </c>
      <c r="H1101" s="302">
        <v>1.5916678132084097</v>
      </c>
      <c r="I1101" s="302">
        <v>2.112129934926112</v>
      </c>
      <c r="J1101" s="302">
        <f>SUM(G1101:I1101)</f>
        <v>16.259301106102331</v>
      </c>
      <c r="K1101" s="303"/>
      <c r="L1101" s="302">
        <v>12.560550407718001</v>
      </c>
      <c r="M1101" s="302">
        <v>3.9978672955076608</v>
      </c>
      <c r="N1101" s="302">
        <v>2.5753809139979804</v>
      </c>
      <c r="O1101" s="302">
        <f t="shared" si="471"/>
        <v>19.13379861722364</v>
      </c>
    </row>
    <row r="1102" spans="1:15" s="236" customFormat="1" x14ac:dyDescent="0.3">
      <c r="A1102" s="237" t="str">
        <f>name!E$9</f>
        <v>Caring, leisure and other service occupations</v>
      </c>
      <c r="B1102" s="302">
        <v>31.908799418438367</v>
      </c>
      <c r="C1102" s="302">
        <v>25.089010510796747</v>
      </c>
      <c r="D1102" s="302">
        <v>2.4113137155104929</v>
      </c>
      <c r="E1102" s="302">
        <f t="shared" si="469"/>
        <v>59.409123644745613</v>
      </c>
      <c r="F1102" s="303"/>
      <c r="G1102" s="302">
        <v>30.108750282026538</v>
      </c>
      <c r="H1102" s="302">
        <v>23.020431171946299</v>
      </c>
      <c r="I1102" s="302">
        <v>3.4013399670024276</v>
      </c>
      <c r="J1102" s="302">
        <f t="shared" ref="J1102:J1105" si="472">SUM(G1102:I1102)</f>
        <v>56.530521420975262</v>
      </c>
      <c r="K1102" s="303"/>
      <c r="L1102" s="302">
        <v>33.314134277835265</v>
      </c>
      <c r="M1102" s="302">
        <v>25.578283149815647</v>
      </c>
      <c r="N1102" s="302">
        <v>3.2640561653598761</v>
      </c>
      <c r="O1102" s="302">
        <f t="shared" si="471"/>
        <v>62.156473593010787</v>
      </c>
    </row>
    <row r="1103" spans="1:15" s="236" customFormat="1" x14ac:dyDescent="0.3">
      <c r="A1103" s="237" t="str">
        <f>name!E$10</f>
        <v>Sales and customer service occupations</v>
      </c>
      <c r="B1103" s="302">
        <v>16.974391599865125</v>
      </c>
      <c r="C1103" s="302">
        <v>17.125654578228456</v>
      </c>
      <c r="D1103" s="302">
        <v>1.2677348246301972</v>
      </c>
      <c r="E1103" s="302">
        <f t="shared" si="469"/>
        <v>35.367781002723774</v>
      </c>
      <c r="F1103" s="303"/>
      <c r="G1103" s="302">
        <v>16.258212608702785</v>
      </c>
      <c r="H1103" s="302">
        <v>16.530841597530589</v>
      </c>
      <c r="I1103" s="302">
        <v>1.1151161437503347</v>
      </c>
      <c r="J1103" s="302">
        <f t="shared" si="472"/>
        <v>33.904170349983708</v>
      </c>
      <c r="K1103" s="303"/>
      <c r="L1103" s="302">
        <v>17.602780512900097</v>
      </c>
      <c r="M1103" s="302">
        <v>21.396944039677397</v>
      </c>
      <c r="N1103" s="302">
        <v>1.2174698377328332</v>
      </c>
      <c r="O1103" s="302">
        <f t="shared" si="471"/>
        <v>40.217194390310326</v>
      </c>
    </row>
    <row r="1104" spans="1:15" s="236" customFormat="1" x14ac:dyDescent="0.3">
      <c r="A1104" s="237" t="str">
        <f>name!E$11</f>
        <v>Process, plant and machine operatives</v>
      </c>
      <c r="B1104" s="302">
        <v>10.857633894637663</v>
      </c>
      <c r="C1104" s="302">
        <v>4.9703738687841543</v>
      </c>
      <c r="D1104" s="302">
        <v>0.80064592572538673</v>
      </c>
      <c r="E1104" s="302">
        <f t="shared" si="469"/>
        <v>16.628653689147203</v>
      </c>
      <c r="F1104" s="303"/>
      <c r="G1104" s="302">
        <v>8.1890483215041563</v>
      </c>
      <c r="H1104" s="302">
        <v>3.759994470413861</v>
      </c>
      <c r="I1104" s="302">
        <v>0.93314327655814311</v>
      </c>
      <c r="J1104" s="302">
        <f t="shared" si="472"/>
        <v>12.882186068476161</v>
      </c>
      <c r="K1104" s="303"/>
      <c r="L1104" s="302">
        <v>8.0660071669627147</v>
      </c>
      <c r="M1104" s="302">
        <v>5.7477978737884516</v>
      </c>
      <c r="N1104" s="302">
        <v>1.9126437965896566</v>
      </c>
      <c r="O1104" s="302">
        <f t="shared" si="471"/>
        <v>15.726448837340822</v>
      </c>
    </row>
    <row r="1105" spans="1:15" s="236" customFormat="1" x14ac:dyDescent="0.3">
      <c r="A1105" s="237" t="str">
        <f>name!E$12</f>
        <v>Elementary occupations</v>
      </c>
      <c r="B1105" s="302">
        <v>22.483966609237022</v>
      </c>
      <c r="C1105" s="302">
        <v>31.208021797330293</v>
      </c>
      <c r="D1105" s="302">
        <v>4.4767973131001373</v>
      </c>
      <c r="E1105" s="302">
        <f t="shared" si="469"/>
        <v>58.168785719667454</v>
      </c>
      <c r="F1105" s="303"/>
      <c r="G1105" s="302">
        <v>17.737437831123305</v>
      </c>
      <c r="H1105" s="302">
        <v>24.299621808167156</v>
      </c>
      <c r="I1105" s="302">
        <v>5.1429153453147656</v>
      </c>
      <c r="J1105" s="302">
        <f t="shared" si="472"/>
        <v>47.179974984605224</v>
      </c>
      <c r="K1105" s="303"/>
      <c r="L1105" s="302">
        <v>14.572087569707803</v>
      </c>
      <c r="M1105" s="302">
        <v>25.126629662723989</v>
      </c>
      <c r="N1105" s="302">
        <v>9.3753809921372167</v>
      </c>
      <c r="O1105" s="302">
        <f t="shared" si="471"/>
        <v>49.074098224569006</v>
      </c>
    </row>
    <row r="1106" spans="1:15" s="236" customFormat="1" x14ac:dyDescent="0.3">
      <c r="A1106" s="237"/>
      <c r="B1106" s="302"/>
      <c r="C1106" s="302"/>
      <c r="D1106" s="302"/>
      <c r="E1106" s="302"/>
      <c r="F1106" s="303"/>
      <c r="G1106" s="302"/>
      <c r="H1106" s="302"/>
      <c r="I1106" s="302"/>
      <c r="J1106" s="302"/>
      <c r="K1106" s="303"/>
      <c r="L1106" s="302"/>
      <c r="M1106" s="302"/>
      <c r="N1106" s="302"/>
      <c r="O1106" s="302"/>
    </row>
    <row r="1107" spans="1:15" s="236" customFormat="1" x14ac:dyDescent="0.3">
      <c r="A1107" s="244" t="s">
        <v>32</v>
      </c>
      <c r="B1107" s="311">
        <f>SUM(B1097:B1105)</f>
        <v>884.79499999325492</v>
      </c>
      <c r="C1107" s="311">
        <f t="shared" ref="C1107:E1107" si="473">SUM(C1097:C1105)</f>
        <v>403.12099999714462</v>
      </c>
      <c r="D1107" s="311">
        <f t="shared" si="473"/>
        <v>42.997999999896201</v>
      </c>
      <c r="E1107" s="311">
        <f t="shared" si="473"/>
        <v>1330.9139999902961</v>
      </c>
      <c r="F1107" s="311"/>
      <c r="G1107" s="311">
        <f t="shared" ref="G1107:J1107" si="474">SUM(G1097:G1105)</f>
        <v>955.85999999845126</v>
      </c>
      <c r="H1107" s="311">
        <f t="shared" si="474"/>
        <v>395.13799999816922</v>
      </c>
      <c r="I1107" s="311">
        <f t="shared" si="474"/>
        <v>51.997000000488299</v>
      </c>
      <c r="J1107" s="311">
        <f t="shared" si="474"/>
        <v>1402.9949999971088</v>
      </c>
      <c r="K1107" s="311"/>
      <c r="L1107" s="311">
        <f t="shared" ref="L1107:O1107" si="475">SUM(L1097:L1105)</f>
        <v>968.53200000074037</v>
      </c>
      <c r="M1107" s="311">
        <f t="shared" si="475"/>
        <v>427.65400000065807</v>
      </c>
      <c r="N1107" s="311">
        <f t="shared" si="475"/>
        <v>55.063000000814014</v>
      </c>
      <c r="O1107" s="311">
        <f t="shared" si="475"/>
        <v>1451.2490000022126</v>
      </c>
    </row>
    <row r="1108" spans="1:15" s="236" customFormat="1" x14ac:dyDescent="0.3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37"/>
      <c r="M1108" s="237"/>
      <c r="N1108" s="240"/>
    </row>
    <row r="1109" spans="1:15" s="236" customFormat="1" x14ac:dyDescent="0.3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37"/>
      <c r="M1109" s="237"/>
      <c r="N1109" s="240"/>
      <c r="O1109" s="251" t="s">
        <v>35</v>
      </c>
    </row>
    <row r="1110" spans="1:15" s="236" customFormat="1" x14ac:dyDescent="0.3">
      <c r="A1110" s="242"/>
      <c r="B1110" s="242"/>
      <c r="C1110" s="242"/>
      <c r="D1110" s="242"/>
      <c r="E1110" s="242"/>
      <c r="F1110" s="242"/>
      <c r="G1110" s="242"/>
      <c r="H1110" s="242"/>
      <c r="I1110" s="242"/>
      <c r="J1110" s="242"/>
      <c r="K1110" s="242"/>
      <c r="L1110" s="242"/>
      <c r="M1110" s="242"/>
      <c r="N1110" s="242"/>
      <c r="O1110" s="242"/>
    </row>
    <row r="1111" spans="1:15" s="236" customFormat="1" x14ac:dyDescent="0.3">
      <c r="A1111" s="241" t="str">
        <f>name!A68</f>
        <v xml:space="preserve">Education </v>
      </c>
      <c r="B1111" s="375">
        <f>$B$6</f>
        <v>2015</v>
      </c>
      <c r="C1111" s="375"/>
      <c r="D1111" s="375"/>
      <c r="E1111" s="375"/>
      <c r="F1111" s="263"/>
      <c r="G1111" s="375">
        <f>$G$6</f>
        <v>2020</v>
      </c>
      <c r="H1111" s="375"/>
      <c r="I1111" s="375"/>
      <c r="J1111" s="375"/>
      <c r="K1111" s="263"/>
      <c r="L1111" s="375">
        <f>$L$6</f>
        <v>2035</v>
      </c>
      <c r="M1111" s="375"/>
      <c r="N1111" s="375"/>
      <c r="O1111" s="375"/>
    </row>
    <row r="1112" spans="1:15" s="236" customFormat="1" x14ac:dyDescent="0.3">
      <c r="A1112" s="254"/>
      <c r="B1112" s="268" t="str">
        <f>$B$7</f>
        <v>FT</v>
      </c>
      <c r="C1112" s="268" t="str">
        <f>$C$7</f>
        <v>PT</v>
      </c>
      <c r="D1112" s="268" t="str">
        <f>$D$7</f>
        <v>SE</v>
      </c>
      <c r="E1112" s="268" t="str">
        <f>$E$7</f>
        <v>Total</v>
      </c>
      <c r="F1112" s="268"/>
      <c r="G1112" s="268" t="str">
        <f>$G$7</f>
        <v>FT</v>
      </c>
      <c r="H1112" s="268" t="str">
        <f>$H$7</f>
        <v>PT</v>
      </c>
      <c r="I1112" s="268" t="str">
        <f>$I$7</f>
        <v>SE</v>
      </c>
      <c r="J1112" s="268" t="str">
        <f>$J$7</f>
        <v>Total</v>
      </c>
      <c r="K1112" s="268"/>
      <c r="L1112" s="268" t="str">
        <f>$L$7</f>
        <v>FT</v>
      </c>
      <c r="M1112" s="268" t="str">
        <f>$M$7</f>
        <v>PT</v>
      </c>
      <c r="N1112" s="268" t="str">
        <f>$N$7</f>
        <v>SE</v>
      </c>
      <c r="O1112" s="268" t="str">
        <f>$O$7</f>
        <v>Total</v>
      </c>
    </row>
    <row r="1113" spans="1:15" s="236" customFormat="1" x14ac:dyDescent="0.3">
      <c r="A1113" s="258"/>
      <c r="B1113" s="239"/>
      <c r="C1113" s="239"/>
      <c r="D1113" s="239"/>
      <c r="E1113" s="239"/>
      <c r="F1113" s="239"/>
      <c r="G1113" s="239"/>
      <c r="H1113" s="239"/>
      <c r="I1113" s="239"/>
      <c r="J1113" s="239"/>
      <c r="K1113" s="239"/>
      <c r="L1113" s="239"/>
      <c r="M1113" s="239"/>
      <c r="N1113" s="239"/>
      <c r="O1113" s="239"/>
    </row>
    <row r="1114" spans="1:15" s="236" customFormat="1" x14ac:dyDescent="0.3">
      <c r="A1114" s="237" t="str">
        <f>name!E$4</f>
        <v>Managers, directors and senior officials</v>
      </c>
      <c r="B1114" s="302">
        <v>39.105178916960476</v>
      </c>
      <c r="C1114" s="302">
        <v>16.370553331854435</v>
      </c>
      <c r="D1114" s="302">
        <v>18.925724494829641</v>
      </c>
      <c r="E1114" s="302">
        <f>SUM(B1114:D1114)</f>
        <v>74.401456743644545</v>
      </c>
      <c r="F1114" s="303"/>
      <c r="G1114" s="302">
        <v>37.686939982935073</v>
      </c>
      <c r="H1114" s="302">
        <v>21.534066405481369</v>
      </c>
      <c r="I1114" s="302">
        <v>20.313912994287168</v>
      </c>
      <c r="J1114" s="302">
        <f>SUM(G1114:I1114)</f>
        <v>79.534919382703606</v>
      </c>
      <c r="K1114" s="303"/>
      <c r="L1114" s="302">
        <v>38.613294465839864</v>
      </c>
      <c r="M1114" s="302">
        <v>25.267180230272231</v>
      </c>
      <c r="N1114" s="302">
        <v>21.570708812386783</v>
      </c>
      <c r="O1114" s="302">
        <f>SUM(L1114:N1114)</f>
        <v>85.451183508498872</v>
      </c>
    </row>
    <row r="1115" spans="1:15" s="236" customFormat="1" x14ac:dyDescent="0.3">
      <c r="A1115" s="237" t="str">
        <f>name!E$5</f>
        <v>Professional occupations</v>
      </c>
      <c r="B1115" s="302">
        <v>954.81992111933937</v>
      </c>
      <c r="C1115" s="302">
        <v>472.34593577292634</v>
      </c>
      <c r="D1115" s="302">
        <v>117.69785391793998</v>
      </c>
      <c r="E1115" s="302">
        <f t="shared" ref="E1115:E1122" si="476">SUM(B1115:D1115)</f>
        <v>1544.8637108102057</v>
      </c>
      <c r="F1115" s="303"/>
      <c r="G1115" s="302">
        <v>987.33692165671414</v>
      </c>
      <c r="H1115" s="302">
        <v>530.8803357222381</v>
      </c>
      <c r="I1115" s="302">
        <v>147.87255524564708</v>
      </c>
      <c r="J1115" s="302">
        <f t="shared" ref="J1115:J1117" si="477">SUM(G1115:I1115)</f>
        <v>1666.0898126245993</v>
      </c>
      <c r="K1115" s="303"/>
      <c r="L1115" s="302">
        <v>1098.6183158235972</v>
      </c>
      <c r="M1115" s="302">
        <v>647.4501773220145</v>
      </c>
      <c r="N1115" s="302">
        <v>149.94527415405545</v>
      </c>
      <c r="O1115" s="302">
        <f t="shared" ref="O1115:O1122" si="478">SUM(L1115:N1115)</f>
        <v>1896.0137672996671</v>
      </c>
    </row>
    <row r="1116" spans="1:15" s="236" customFormat="1" x14ac:dyDescent="0.3">
      <c r="A1116" s="237" t="str">
        <f>name!E$6</f>
        <v>Associate professional occupations</v>
      </c>
      <c r="B1116" s="302">
        <v>87.819221403526157</v>
      </c>
      <c r="C1116" s="302">
        <v>87.65288168273544</v>
      </c>
      <c r="D1116" s="302">
        <v>54.885593410071102</v>
      </c>
      <c r="E1116" s="302">
        <f t="shared" si="476"/>
        <v>230.35769649633269</v>
      </c>
      <c r="F1116" s="303"/>
      <c r="G1116" s="302">
        <v>90.192612436427751</v>
      </c>
      <c r="H1116" s="302">
        <v>96.600562819625452</v>
      </c>
      <c r="I1116" s="302">
        <v>48.379452059923196</v>
      </c>
      <c r="J1116" s="302">
        <f t="shared" si="477"/>
        <v>235.1726273159764</v>
      </c>
      <c r="K1116" s="303"/>
      <c r="L1116" s="302">
        <v>83.16801569023167</v>
      </c>
      <c r="M1116" s="302">
        <v>96.268982561135033</v>
      </c>
      <c r="N1116" s="302">
        <v>46.725185689147118</v>
      </c>
      <c r="O1116" s="302">
        <f t="shared" si="478"/>
        <v>226.16218394051381</v>
      </c>
    </row>
    <row r="1117" spans="1:15" s="236" customFormat="1" x14ac:dyDescent="0.3">
      <c r="A1117" s="237" t="str">
        <f>name!E$7</f>
        <v>Administrative and secretarial occupations</v>
      </c>
      <c r="B1117" s="302">
        <v>54.059903488994401</v>
      </c>
      <c r="C1117" s="302">
        <v>109.1391228765696</v>
      </c>
      <c r="D1117" s="302">
        <v>6.8767771064106178</v>
      </c>
      <c r="E1117" s="302">
        <f t="shared" si="476"/>
        <v>170.07580347197464</v>
      </c>
      <c r="F1117" s="303"/>
      <c r="G1117" s="302">
        <v>44.896040752300223</v>
      </c>
      <c r="H1117" s="302">
        <v>97.408321977309782</v>
      </c>
      <c r="I1117" s="302">
        <v>5.988066539718222</v>
      </c>
      <c r="J1117" s="302">
        <f t="shared" si="477"/>
        <v>148.29242926932824</v>
      </c>
      <c r="K1117" s="303"/>
      <c r="L1117" s="302">
        <v>24.942897727013531</v>
      </c>
      <c r="M1117" s="302">
        <v>50.570160219264828</v>
      </c>
      <c r="N1117" s="302">
        <v>4.3342774397895623</v>
      </c>
      <c r="O1117" s="302">
        <f t="shared" si="478"/>
        <v>79.847335386067925</v>
      </c>
    </row>
    <row r="1118" spans="1:15" s="236" customFormat="1" x14ac:dyDescent="0.3">
      <c r="A1118" s="237" t="str">
        <f>name!E$8</f>
        <v>Skilled trades occupations</v>
      </c>
      <c r="B1118" s="302">
        <v>21.601028626475731</v>
      </c>
      <c r="C1118" s="302">
        <v>15.493350605376843</v>
      </c>
      <c r="D1118" s="302">
        <v>8.0918296759594757</v>
      </c>
      <c r="E1118" s="302">
        <f t="shared" si="476"/>
        <v>45.186208907812045</v>
      </c>
      <c r="F1118" s="303"/>
      <c r="G1118" s="302">
        <v>14.975360190099881</v>
      </c>
      <c r="H1118" s="302">
        <v>10.909948707048473</v>
      </c>
      <c r="I1118" s="302">
        <v>6.7533262873587603</v>
      </c>
      <c r="J1118" s="302">
        <f>SUM(G1118:I1118)</f>
        <v>32.638635184507116</v>
      </c>
      <c r="K1118" s="303"/>
      <c r="L1118" s="302">
        <v>9.2263775596398769</v>
      </c>
      <c r="M1118" s="302">
        <v>5.6029105654946685</v>
      </c>
      <c r="N1118" s="302">
        <v>9.6019960736753251</v>
      </c>
      <c r="O1118" s="302">
        <f t="shared" si="478"/>
        <v>24.43128419880987</v>
      </c>
    </row>
    <row r="1119" spans="1:15" s="236" customFormat="1" x14ac:dyDescent="0.3">
      <c r="A1119" s="237" t="str">
        <f>name!E$9</f>
        <v>Caring, leisure and other service occupations</v>
      </c>
      <c r="B1119" s="302">
        <v>249.09020378936378</v>
      </c>
      <c r="C1119" s="302">
        <v>343.31870947189117</v>
      </c>
      <c r="D1119" s="302">
        <v>23.189139973783593</v>
      </c>
      <c r="E1119" s="302">
        <f t="shared" si="476"/>
        <v>615.59805323503849</v>
      </c>
      <c r="F1119" s="303"/>
      <c r="G1119" s="302">
        <v>218.70005464661108</v>
      </c>
      <c r="H1119" s="302">
        <v>326.30063119818612</v>
      </c>
      <c r="I1119" s="302">
        <v>22.62070989619821</v>
      </c>
      <c r="J1119" s="302">
        <f t="shared" ref="J1119:J1122" si="479">SUM(G1119:I1119)</f>
        <v>567.62139574099547</v>
      </c>
      <c r="K1119" s="303"/>
      <c r="L1119" s="302">
        <v>259.54845720240689</v>
      </c>
      <c r="M1119" s="302">
        <v>333.35289213870891</v>
      </c>
      <c r="N1119" s="302">
        <v>30.083649203878178</v>
      </c>
      <c r="O1119" s="302">
        <f t="shared" si="478"/>
        <v>622.98499854499391</v>
      </c>
    </row>
    <row r="1120" spans="1:15" s="236" customFormat="1" x14ac:dyDescent="0.3">
      <c r="A1120" s="237" t="str">
        <f>name!E$10</f>
        <v>Sales and customer service occupations</v>
      </c>
      <c r="B1120" s="302">
        <v>5.1645770280218564</v>
      </c>
      <c r="C1120" s="302">
        <v>9.2050507264361325</v>
      </c>
      <c r="D1120" s="302">
        <v>4.5568374981326993</v>
      </c>
      <c r="E1120" s="302">
        <f t="shared" si="476"/>
        <v>18.926465252590688</v>
      </c>
      <c r="F1120" s="303"/>
      <c r="G1120" s="302">
        <v>4.3115991837882559</v>
      </c>
      <c r="H1120" s="302">
        <v>8.3342725647327711</v>
      </c>
      <c r="I1120" s="302">
        <v>3.1907115346237673</v>
      </c>
      <c r="J1120" s="302">
        <f t="shared" si="479"/>
        <v>15.836583283144796</v>
      </c>
      <c r="K1120" s="303"/>
      <c r="L1120" s="302">
        <v>4.3804462119449177</v>
      </c>
      <c r="M1120" s="302">
        <v>7.8291894788791199</v>
      </c>
      <c r="N1120" s="302">
        <v>3.7024540432053819</v>
      </c>
      <c r="O1120" s="302">
        <f t="shared" si="478"/>
        <v>15.912089734029419</v>
      </c>
    </row>
    <row r="1121" spans="1:15" s="236" customFormat="1" x14ac:dyDescent="0.3">
      <c r="A1121" s="237" t="str">
        <f>name!E$11</f>
        <v>Process, plant and machine operatives</v>
      </c>
      <c r="B1121" s="302">
        <v>3.6989638342928282</v>
      </c>
      <c r="C1121" s="302">
        <v>6.5734638691496281</v>
      </c>
      <c r="D1121" s="302">
        <v>49.616107865334683</v>
      </c>
      <c r="E1121" s="302">
        <f t="shared" si="476"/>
        <v>59.888535568777144</v>
      </c>
      <c r="F1121" s="303"/>
      <c r="G1121" s="302">
        <v>2.4922150908603316</v>
      </c>
      <c r="H1121" s="302">
        <v>4.8775522147120176</v>
      </c>
      <c r="I1121" s="302">
        <v>52.822412288017652</v>
      </c>
      <c r="J1121" s="302">
        <f t="shared" si="479"/>
        <v>60.192179593589998</v>
      </c>
      <c r="K1121" s="303"/>
      <c r="L1121" s="302">
        <v>2.020811492590767</v>
      </c>
      <c r="M1121" s="302">
        <v>5.5329962567820337</v>
      </c>
      <c r="N1121" s="302">
        <v>59.603012045195321</v>
      </c>
      <c r="O1121" s="302">
        <f t="shared" si="478"/>
        <v>67.156819794568122</v>
      </c>
    </row>
    <row r="1122" spans="1:15" s="236" customFormat="1" x14ac:dyDescent="0.3">
      <c r="A1122" s="237" t="str">
        <f>name!E$12</f>
        <v>Elementary occupations</v>
      </c>
      <c r="B1122" s="302">
        <v>15.739001829939916</v>
      </c>
      <c r="C1122" s="302">
        <v>172.61893160822217</v>
      </c>
      <c r="D1122" s="302">
        <v>8.157136057534295</v>
      </c>
      <c r="E1122" s="302">
        <f t="shared" si="476"/>
        <v>196.51506949569639</v>
      </c>
      <c r="F1122" s="303"/>
      <c r="G1122" s="302">
        <v>11.407256116671231</v>
      </c>
      <c r="H1122" s="302">
        <v>134.15330835182147</v>
      </c>
      <c r="I1122" s="302">
        <v>5.0598531562043441</v>
      </c>
      <c r="J1122" s="302">
        <f t="shared" si="479"/>
        <v>150.62041762469704</v>
      </c>
      <c r="K1122" s="303"/>
      <c r="L1122" s="302">
        <v>9.5783838451821968</v>
      </c>
      <c r="M1122" s="302">
        <v>64.082511233278694</v>
      </c>
      <c r="N1122" s="302">
        <v>8.7294425481943012</v>
      </c>
      <c r="O1122" s="302">
        <f t="shared" si="478"/>
        <v>82.390337626655196</v>
      </c>
    </row>
    <row r="1123" spans="1:15" s="236" customFormat="1" x14ac:dyDescent="0.3">
      <c r="A1123" s="237"/>
      <c r="B1123" s="302"/>
      <c r="C1123" s="302"/>
      <c r="D1123" s="302"/>
      <c r="E1123" s="302"/>
      <c r="F1123" s="303"/>
      <c r="G1123" s="302"/>
      <c r="H1123" s="302"/>
      <c r="I1123" s="302"/>
      <c r="J1123" s="302"/>
      <c r="K1123" s="303"/>
      <c r="L1123" s="302"/>
      <c r="M1123" s="302"/>
      <c r="N1123" s="302"/>
      <c r="O1123" s="302"/>
    </row>
    <row r="1124" spans="1:15" s="236" customFormat="1" x14ac:dyDescent="0.3">
      <c r="A1124" s="244" t="s">
        <v>32</v>
      </c>
      <c r="B1124" s="311">
        <f>SUM(B1114:B1122)</f>
        <v>1431.0980000369143</v>
      </c>
      <c r="C1124" s="311">
        <f t="shared" ref="C1124:E1124" si="480">SUM(C1114:C1122)</f>
        <v>1232.7179999451619</v>
      </c>
      <c r="D1124" s="311">
        <f t="shared" si="480"/>
        <v>291.99699999999609</v>
      </c>
      <c r="E1124" s="311">
        <f t="shared" si="480"/>
        <v>2955.8129999820726</v>
      </c>
      <c r="F1124" s="311"/>
      <c r="G1124" s="311">
        <f t="shared" ref="G1124:J1124" si="481">SUM(G1114:G1122)</f>
        <v>1411.999000056408</v>
      </c>
      <c r="H1124" s="311">
        <f t="shared" si="481"/>
        <v>1230.9989999611557</v>
      </c>
      <c r="I1124" s="311">
        <f t="shared" si="481"/>
        <v>313.00100000197841</v>
      </c>
      <c r="J1124" s="311">
        <f t="shared" si="481"/>
        <v>2955.9990000195417</v>
      </c>
      <c r="K1124" s="311"/>
      <c r="L1124" s="311">
        <f t="shared" ref="L1124:O1124" si="482">SUM(L1114:L1122)</f>
        <v>1530.0970000184468</v>
      </c>
      <c r="M1124" s="311">
        <f t="shared" si="482"/>
        <v>1235.95700000583</v>
      </c>
      <c r="N1124" s="311">
        <f t="shared" si="482"/>
        <v>334.2960000095274</v>
      </c>
      <c r="O1124" s="311">
        <f t="shared" si="482"/>
        <v>3100.350000033804</v>
      </c>
    </row>
    <row r="1125" spans="1:15" s="236" customFormat="1" x14ac:dyDescent="0.3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37"/>
      <c r="M1125" s="237"/>
      <c r="N1125" s="240"/>
    </row>
    <row r="1126" spans="1:15" s="236" customFormat="1" x14ac:dyDescent="0.3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37"/>
      <c r="M1126" s="237"/>
      <c r="N1126" s="240"/>
      <c r="O1126" s="251" t="s">
        <v>35</v>
      </c>
    </row>
    <row r="1127" spans="1:15" s="236" customFormat="1" x14ac:dyDescent="0.3">
      <c r="A1127" s="242"/>
      <c r="B1127" s="242"/>
      <c r="C1127" s="242"/>
      <c r="D1127" s="242"/>
      <c r="E1127" s="242"/>
      <c r="F1127" s="242"/>
      <c r="G1127" s="242"/>
      <c r="H1127" s="242"/>
      <c r="I1127" s="242"/>
      <c r="J1127" s="242"/>
      <c r="K1127" s="242"/>
      <c r="L1127" s="242"/>
      <c r="M1127" s="242"/>
      <c r="N1127" s="242"/>
      <c r="O1127" s="242"/>
    </row>
    <row r="1128" spans="1:15" s="236" customFormat="1" x14ac:dyDescent="0.3">
      <c r="A1128" s="241" t="str">
        <f>name!A69</f>
        <v>Health</v>
      </c>
      <c r="B1128" s="375">
        <f>$B$6</f>
        <v>2015</v>
      </c>
      <c r="C1128" s="375"/>
      <c r="D1128" s="375"/>
      <c r="E1128" s="375"/>
      <c r="F1128" s="263"/>
      <c r="G1128" s="375">
        <f>$G$6</f>
        <v>2020</v>
      </c>
      <c r="H1128" s="375"/>
      <c r="I1128" s="375"/>
      <c r="J1128" s="375"/>
      <c r="K1128" s="263"/>
      <c r="L1128" s="375">
        <f>$L$6</f>
        <v>2035</v>
      </c>
      <c r="M1128" s="375"/>
      <c r="N1128" s="375"/>
      <c r="O1128" s="375"/>
    </row>
    <row r="1129" spans="1:15" s="236" customFormat="1" x14ac:dyDescent="0.3">
      <c r="A1129" s="254"/>
      <c r="B1129" s="268" t="str">
        <f>$B$7</f>
        <v>FT</v>
      </c>
      <c r="C1129" s="268" t="str">
        <f>$C$7</f>
        <v>PT</v>
      </c>
      <c r="D1129" s="268" t="str">
        <f>$D$7</f>
        <v>SE</v>
      </c>
      <c r="E1129" s="268" t="str">
        <f>$E$7</f>
        <v>Total</v>
      </c>
      <c r="F1129" s="268"/>
      <c r="G1129" s="268" t="str">
        <f>$G$7</f>
        <v>FT</v>
      </c>
      <c r="H1129" s="268" t="str">
        <f>$H$7</f>
        <v>PT</v>
      </c>
      <c r="I1129" s="268" t="str">
        <f>$I$7</f>
        <v>SE</v>
      </c>
      <c r="J1129" s="268" t="str">
        <f>$J$7</f>
        <v>Total</v>
      </c>
      <c r="K1129" s="268"/>
      <c r="L1129" s="268" t="str">
        <f>$L$7</f>
        <v>FT</v>
      </c>
      <c r="M1129" s="268" t="str">
        <f>$M$7</f>
        <v>PT</v>
      </c>
      <c r="N1129" s="268" t="str">
        <f>$N$7</f>
        <v>SE</v>
      </c>
      <c r="O1129" s="268" t="str">
        <f>$O$7</f>
        <v>Total</v>
      </c>
    </row>
    <row r="1130" spans="1:15" s="236" customFormat="1" x14ac:dyDescent="0.3">
      <c r="A1130" s="258"/>
      <c r="B1130" s="239"/>
      <c r="C1130" s="239"/>
      <c r="D1130" s="239"/>
      <c r="E1130" s="239"/>
      <c r="F1130" s="239"/>
      <c r="G1130" s="239"/>
      <c r="H1130" s="239"/>
      <c r="I1130" s="239"/>
      <c r="J1130" s="239"/>
      <c r="K1130" s="239"/>
      <c r="L1130" s="239"/>
      <c r="M1130" s="239"/>
      <c r="N1130" s="239"/>
      <c r="O1130" s="239"/>
    </row>
    <row r="1131" spans="1:15" s="236" customFormat="1" x14ac:dyDescent="0.3">
      <c r="A1131" s="237" t="str">
        <f>name!E$4</f>
        <v>Managers, directors and senior officials</v>
      </c>
      <c r="B1131" s="302">
        <v>69.413044784963361</v>
      </c>
      <c r="C1131" s="302">
        <v>19.325953951629302</v>
      </c>
      <c r="D1131" s="302">
        <v>12.114762075982879</v>
      </c>
      <c r="E1131" s="302">
        <f>SUM(B1131:D1131)</f>
        <v>100.85376081257554</v>
      </c>
      <c r="F1131" s="303"/>
      <c r="G1131" s="302">
        <v>80.137759340939652</v>
      </c>
      <c r="H1131" s="302">
        <v>28.687404884781888</v>
      </c>
      <c r="I1131" s="302">
        <v>17.835799082368251</v>
      </c>
      <c r="J1131" s="302">
        <f>SUM(G1131:I1131)</f>
        <v>126.66096330808979</v>
      </c>
      <c r="K1131" s="303"/>
      <c r="L1131" s="302">
        <v>95.363290689465032</v>
      </c>
      <c r="M1131" s="302">
        <v>37.193344940915672</v>
      </c>
      <c r="N1131" s="302">
        <v>18.849536529052941</v>
      </c>
      <c r="O1131" s="302">
        <f>SUM(L1131:N1131)</f>
        <v>151.40617215943365</v>
      </c>
    </row>
    <row r="1132" spans="1:15" s="236" customFormat="1" x14ac:dyDescent="0.3">
      <c r="A1132" s="237" t="str">
        <f>name!E$5</f>
        <v>Professional occupations</v>
      </c>
      <c r="B1132" s="302">
        <v>460.95032166899693</v>
      </c>
      <c r="C1132" s="302">
        <v>214.65903208730785</v>
      </c>
      <c r="D1132" s="302">
        <v>73.125470102903577</v>
      </c>
      <c r="E1132" s="302">
        <f t="shared" ref="E1132:E1139" si="483">SUM(B1132:D1132)</f>
        <v>748.7348238592084</v>
      </c>
      <c r="F1132" s="303"/>
      <c r="G1132" s="302">
        <v>561.71081360215123</v>
      </c>
      <c r="H1132" s="302">
        <v>270.54886237469907</v>
      </c>
      <c r="I1132" s="302">
        <v>88.287806056721323</v>
      </c>
      <c r="J1132" s="302">
        <f t="shared" ref="J1132:J1134" si="484">SUM(G1132:I1132)</f>
        <v>920.54748203357167</v>
      </c>
      <c r="K1132" s="303"/>
      <c r="L1132" s="302">
        <v>682.79205379267228</v>
      </c>
      <c r="M1132" s="302">
        <v>343.19992523941397</v>
      </c>
      <c r="N1132" s="302">
        <v>102.06273363663738</v>
      </c>
      <c r="O1132" s="302">
        <f t="shared" ref="O1132:O1139" si="485">SUM(L1132:N1132)</f>
        <v>1128.0547126687236</v>
      </c>
    </row>
    <row r="1133" spans="1:15" s="236" customFormat="1" x14ac:dyDescent="0.3">
      <c r="A1133" s="237" t="str">
        <f>name!E$6</f>
        <v>Associate professional occupations</v>
      </c>
      <c r="B1133" s="302">
        <v>181.25264448469119</v>
      </c>
      <c r="C1133" s="302">
        <v>108.08204942773762</v>
      </c>
      <c r="D1133" s="302">
        <v>28.200180849498604</v>
      </c>
      <c r="E1133" s="302">
        <f t="shared" si="483"/>
        <v>317.53487476192743</v>
      </c>
      <c r="F1133" s="303"/>
      <c r="G1133" s="302">
        <v>215.28317118483844</v>
      </c>
      <c r="H1133" s="302">
        <v>136.21354602660983</v>
      </c>
      <c r="I1133" s="302">
        <v>26.001793625082207</v>
      </c>
      <c r="J1133" s="302">
        <f t="shared" si="484"/>
        <v>377.4985108365305</v>
      </c>
      <c r="K1133" s="303"/>
      <c r="L1133" s="302">
        <v>234.18139575970733</v>
      </c>
      <c r="M1133" s="302">
        <v>152.94211740638372</v>
      </c>
      <c r="N1133" s="302">
        <v>35.856276843490328</v>
      </c>
      <c r="O1133" s="302">
        <f t="shared" si="485"/>
        <v>422.97979000958134</v>
      </c>
    </row>
    <row r="1134" spans="1:15" s="236" customFormat="1" x14ac:dyDescent="0.3">
      <c r="A1134" s="237" t="str">
        <f>name!E$7</f>
        <v>Administrative and secretarial occupations</v>
      </c>
      <c r="B1134" s="302">
        <v>100.76258825042989</v>
      </c>
      <c r="C1134" s="302">
        <v>116.00145505765992</v>
      </c>
      <c r="D1134" s="302">
        <v>6.1664964941054885</v>
      </c>
      <c r="E1134" s="302">
        <f t="shared" si="483"/>
        <v>222.93053980219531</v>
      </c>
      <c r="F1134" s="303"/>
      <c r="G1134" s="302">
        <v>100.3187623321903</v>
      </c>
      <c r="H1134" s="302">
        <v>115.12246874331139</v>
      </c>
      <c r="I1134" s="302">
        <v>4.820484629006403</v>
      </c>
      <c r="J1134" s="302">
        <f t="shared" si="484"/>
        <v>220.26171570450811</v>
      </c>
      <c r="K1134" s="303"/>
      <c r="L1134" s="302">
        <v>79.67644410119054</v>
      </c>
      <c r="M1134" s="302">
        <v>66.324719844234522</v>
      </c>
      <c r="N1134" s="302">
        <v>3.4624831852146345</v>
      </c>
      <c r="O1134" s="302">
        <f t="shared" si="485"/>
        <v>149.46364713063969</v>
      </c>
    </row>
    <row r="1135" spans="1:15" s="236" customFormat="1" x14ac:dyDescent="0.3">
      <c r="A1135" s="237" t="str">
        <f>name!E$8</f>
        <v>Skilled trades occupations</v>
      </c>
      <c r="B1135" s="302">
        <v>14.120062760220302</v>
      </c>
      <c r="C1135" s="302">
        <v>11.895827733154048</v>
      </c>
      <c r="D1135" s="302">
        <v>4.7554189229251209</v>
      </c>
      <c r="E1135" s="302">
        <f t="shared" si="483"/>
        <v>30.77130941629947</v>
      </c>
      <c r="F1135" s="303"/>
      <c r="G1135" s="302">
        <v>11.475736942565128</v>
      </c>
      <c r="H1135" s="302">
        <v>9.6411508185486632</v>
      </c>
      <c r="I1135" s="302">
        <v>5.6972514330235304</v>
      </c>
      <c r="J1135" s="302">
        <f>SUM(G1135:I1135)</f>
        <v>26.814139194137322</v>
      </c>
      <c r="K1135" s="303"/>
      <c r="L1135" s="302">
        <v>8.051174700051611</v>
      </c>
      <c r="M1135" s="302">
        <v>8.0281695134534274</v>
      </c>
      <c r="N1135" s="302">
        <v>5.9278099689232935</v>
      </c>
      <c r="O1135" s="302">
        <f t="shared" si="485"/>
        <v>22.00715418242833</v>
      </c>
    </row>
    <row r="1136" spans="1:15" s="236" customFormat="1" x14ac:dyDescent="0.3">
      <c r="A1136" s="237" t="str">
        <f>name!E$9</f>
        <v>Caring, leisure and other service occupations</v>
      </c>
      <c r="B1136" s="302">
        <v>421.84582081889153</v>
      </c>
      <c r="C1136" s="302">
        <v>351.55383517936866</v>
      </c>
      <c r="D1136" s="302">
        <v>56.092281181619001</v>
      </c>
      <c r="E1136" s="302">
        <f t="shared" si="483"/>
        <v>829.49193717987919</v>
      </c>
      <c r="F1136" s="303"/>
      <c r="G1136" s="302">
        <v>445.51487898918936</v>
      </c>
      <c r="H1136" s="302">
        <v>371.96714012792438</v>
      </c>
      <c r="I1136" s="302">
        <v>60.900495661583236</v>
      </c>
      <c r="J1136" s="302">
        <f t="shared" ref="J1136:J1139" si="486">SUM(G1136:I1136)</f>
        <v>878.38251477869699</v>
      </c>
      <c r="K1136" s="303"/>
      <c r="L1136" s="302">
        <v>542.71183732051668</v>
      </c>
      <c r="M1136" s="302">
        <v>439.01881064404273</v>
      </c>
      <c r="N1136" s="302">
        <v>80.665906764040756</v>
      </c>
      <c r="O1136" s="302">
        <f t="shared" si="485"/>
        <v>1062.3965547286002</v>
      </c>
    </row>
    <row r="1137" spans="1:15" s="236" customFormat="1" x14ac:dyDescent="0.3">
      <c r="A1137" s="237" t="str">
        <f>name!E$10</f>
        <v>Sales and customer service occupations</v>
      </c>
      <c r="B1137" s="302">
        <v>15.170962054122814</v>
      </c>
      <c r="C1137" s="302">
        <v>14.809904943125396</v>
      </c>
      <c r="D1137" s="302">
        <v>2.2623212512263895</v>
      </c>
      <c r="E1137" s="302">
        <f t="shared" si="483"/>
        <v>32.243188248474603</v>
      </c>
      <c r="F1137" s="303"/>
      <c r="G1137" s="302">
        <v>15.013300260816523</v>
      </c>
      <c r="H1137" s="302">
        <v>14.781066858687478</v>
      </c>
      <c r="I1137" s="302">
        <v>1.8336625683299022</v>
      </c>
      <c r="J1137" s="302">
        <f t="shared" si="486"/>
        <v>31.628029687833905</v>
      </c>
      <c r="K1137" s="303"/>
      <c r="L1137" s="302">
        <v>16.617241894526394</v>
      </c>
      <c r="M1137" s="302">
        <v>16.772670679883564</v>
      </c>
      <c r="N1137" s="302">
        <v>2.365245015129982</v>
      </c>
      <c r="O1137" s="302">
        <f t="shared" si="485"/>
        <v>35.755157589539941</v>
      </c>
    </row>
    <row r="1138" spans="1:15" s="236" customFormat="1" x14ac:dyDescent="0.3">
      <c r="A1138" s="237" t="str">
        <f>name!E$11</f>
        <v>Process, plant and machine operatives</v>
      </c>
      <c r="B1138" s="302">
        <v>5.0418096608285836</v>
      </c>
      <c r="C1138" s="302">
        <v>8.7462525628888397</v>
      </c>
      <c r="D1138" s="302">
        <v>0.90236552604534825</v>
      </c>
      <c r="E1138" s="302">
        <f t="shared" si="483"/>
        <v>14.690427749762772</v>
      </c>
      <c r="F1138" s="303"/>
      <c r="G1138" s="302">
        <v>3.9902595139965271</v>
      </c>
      <c r="H1138" s="302">
        <v>7.9910160921442239</v>
      </c>
      <c r="I1138" s="302">
        <v>1.310641674571108</v>
      </c>
      <c r="J1138" s="302">
        <f t="shared" si="486"/>
        <v>13.291917280711861</v>
      </c>
      <c r="K1138" s="303"/>
      <c r="L1138" s="302">
        <v>2.656669774806677</v>
      </c>
      <c r="M1138" s="302">
        <v>7.6688593073277778</v>
      </c>
      <c r="N1138" s="302">
        <v>1.1711457842911039</v>
      </c>
      <c r="O1138" s="302">
        <f t="shared" si="485"/>
        <v>11.496674866425559</v>
      </c>
    </row>
    <row r="1139" spans="1:15" s="236" customFormat="1" x14ac:dyDescent="0.3">
      <c r="A1139" s="237" t="str">
        <f>name!E$12</f>
        <v>Elementary occupations</v>
      </c>
      <c r="B1139" s="302">
        <v>18.883745507624688</v>
      </c>
      <c r="C1139" s="302">
        <v>59.900689041735937</v>
      </c>
      <c r="D1139" s="302">
        <v>2.3797035889990097</v>
      </c>
      <c r="E1139" s="302">
        <f t="shared" si="483"/>
        <v>81.164138138359633</v>
      </c>
      <c r="F1139" s="303"/>
      <c r="G1139" s="302">
        <v>16.752317830394094</v>
      </c>
      <c r="H1139" s="302">
        <v>47.848344058992332</v>
      </c>
      <c r="I1139" s="302">
        <v>1.7040652820762316</v>
      </c>
      <c r="J1139" s="302">
        <f t="shared" si="486"/>
        <v>66.304727171462659</v>
      </c>
      <c r="K1139" s="303"/>
      <c r="L1139" s="302">
        <v>13.763891962529545</v>
      </c>
      <c r="M1139" s="302">
        <v>30.129382420514773</v>
      </c>
      <c r="N1139" s="302">
        <v>2.6048622782838637</v>
      </c>
      <c r="O1139" s="302">
        <f t="shared" si="485"/>
        <v>46.498136661328175</v>
      </c>
    </row>
    <row r="1140" spans="1:15" s="236" customFormat="1" x14ac:dyDescent="0.3">
      <c r="A1140" s="237"/>
      <c r="B1140" s="302"/>
      <c r="C1140" s="302"/>
      <c r="D1140" s="302"/>
      <c r="E1140" s="302"/>
      <c r="F1140" s="303"/>
      <c r="G1140" s="302"/>
      <c r="H1140" s="302"/>
      <c r="I1140" s="302"/>
      <c r="J1140" s="302"/>
      <c r="K1140" s="303"/>
      <c r="L1140" s="302"/>
      <c r="M1140" s="302"/>
      <c r="N1140" s="302"/>
      <c r="O1140" s="302"/>
    </row>
    <row r="1141" spans="1:15" s="236" customFormat="1" x14ac:dyDescent="0.3">
      <c r="A1141" s="244" t="s">
        <v>32</v>
      </c>
      <c r="B1141" s="311">
        <f>SUM(B1131:B1139)</f>
        <v>1287.4409999907696</v>
      </c>
      <c r="C1141" s="311">
        <f t="shared" ref="C1141:E1141" si="487">SUM(C1131:C1139)</f>
        <v>904.97499998460751</v>
      </c>
      <c r="D1141" s="311">
        <f t="shared" si="487"/>
        <v>185.9989999933054</v>
      </c>
      <c r="E1141" s="311">
        <f t="shared" si="487"/>
        <v>2378.4149999686829</v>
      </c>
      <c r="F1141" s="311"/>
      <c r="G1141" s="311">
        <f t="shared" ref="G1141:J1141" si="488">SUM(G1131:G1139)</f>
        <v>1450.1969999970813</v>
      </c>
      <c r="H1141" s="311">
        <f t="shared" si="488"/>
        <v>1002.8009999856993</v>
      </c>
      <c r="I1141" s="311">
        <f t="shared" si="488"/>
        <v>208.39200001276225</v>
      </c>
      <c r="J1141" s="311">
        <f t="shared" si="488"/>
        <v>2661.3899999955429</v>
      </c>
      <c r="K1141" s="311"/>
      <c r="L1141" s="311">
        <f t="shared" ref="L1141:O1141" si="489">SUM(L1131:L1139)</f>
        <v>1675.813999995466</v>
      </c>
      <c r="M1141" s="311">
        <f t="shared" si="489"/>
        <v>1101.2779999961699</v>
      </c>
      <c r="N1141" s="311">
        <f t="shared" si="489"/>
        <v>252.96600000506427</v>
      </c>
      <c r="O1141" s="311">
        <f t="shared" si="489"/>
        <v>3030.0579999967008</v>
      </c>
    </row>
    <row r="1142" spans="1:15" s="236" customFormat="1" x14ac:dyDescent="0.3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37"/>
      <c r="M1142" s="237"/>
      <c r="N1142" s="240"/>
    </row>
    <row r="1143" spans="1:15" s="236" customFormat="1" x14ac:dyDescent="0.3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37"/>
      <c r="M1143" s="237"/>
      <c r="N1143" s="240"/>
      <c r="O1143" s="251" t="s">
        <v>35</v>
      </c>
    </row>
    <row r="1144" spans="1:15" s="236" customFormat="1" x14ac:dyDescent="0.3">
      <c r="A1144" s="242"/>
      <c r="B1144" s="242"/>
      <c r="C1144" s="242"/>
      <c r="D1144" s="242"/>
      <c r="E1144" s="242"/>
      <c r="F1144" s="242"/>
      <c r="G1144" s="242"/>
      <c r="H1144" s="242"/>
      <c r="I1144" s="242"/>
      <c r="J1144" s="242"/>
      <c r="K1144" s="242"/>
      <c r="L1144" s="242"/>
      <c r="M1144" s="242"/>
      <c r="N1144" s="242"/>
      <c r="O1144" s="242"/>
    </row>
    <row r="1145" spans="1:15" s="236" customFormat="1" x14ac:dyDescent="0.3">
      <c r="A1145" s="241" t="str">
        <f>name!A70</f>
        <v>Residential care</v>
      </c>
      <c r="B1145" s="375">
        <f>$B$6</f>
        <v>2015</v>
      </c>
      <c r="C1145" s="375"/>
      <c r="D1145" s="375"/>
      <c r="E1145" s="375"/>
      <c r="F1145" s="263"/>
      <c r="G1145" s="375">
        <f>$G$6</f>
        <v>2020</v>
      </c>
      <c r="H1145" s="375"/>
      <c r="I1145" s="375"/>
      <c r="J1145" s="375"/>
      <c r="K1145" s="263"/>
      <c r="L1145" s="375">
        <f>$L$6</f>
        <v>2035</v>
      </c>
      <c r="M1145" s="375"/>
      <c r="N1145" s="375"/>
      <c r="O1145" s="375"/>
    </row>
    <row r="1146" spans="1:15" s="236" customFormat="1" x14ac:dyDescent="0.3">
      <c r="A1146" s="254"/>
      <c r="B1146" s="268" t="str">
        <f>$B$7</f>
        <v>FT</v>
      </c>
      <c r="C1146" s="268" t="str">
        <f>$C$7</f>
        <v>PT</v>
      </c>
      <c r="D1146" s="268" t="str">
        <f>$D$7</f>
        <v>SE</v>
      </c>
      <c r="E1146" s="268" t="str">
        <f>$E$7</f>
        <v>Total</v>
      </c>
      <c r="F1146" s="268"/>
      <c r="G1146" s="268" t="str">
        <f>$G$7</f>
        <v>FT</v>
      </c>
      <c r="H1146" s="268" t="str">
        <f>$H$7</f>
        <v>PT</v>
      </c>
      <c r="I1146" s="268" t="str">
        <f>$I$7</f>
        <v>SE</v>
      </c>
      <c r="J1146" s="268" t="str">
        <f>$J$7</f>
        <v>Total</v>
      </c>
      <c r="K1146" s="268"/>
      <c r="L1146" s="268" t="str">
        <f>$L$7</f>
        <v>FT</v>
      </c>
      <c r="M1146" s="268" t="str">
        <f>$M$7</f>
        <v>PT</v>
      </c>
      <c r="N1146" s="268" t="str">
        <f>$N$7</f>
        <v>SE</v>
      </c>
      <c r="O1146" s="268" t="str">
        <f>$O$7</f>
        <v>Total</v>
      </c>
    </row>
    <row r="1147" spans="1:15" s="236" customFormat="1" x14ac:dyDescent="0.3">
      <c r="A1147" s="258"/>
      <c r="B1147" s="239"/>
      <c r="C1147" s="239"/>
      <c r="D1147" s="239"/>
      <c r="E1147" s="239"/>
      <c r="F1147" s="239"/>
      <c r="G1147" s="239"/>
      <c r="H1147" s="239"/>
      <c r="I1147" s="239"/>
      <c r="J1147" s="239"/>
      <c r="K1147" s="239"/>
      <c r="L1147" s="239"/>
      <c r="M1147" s="239"/>
      <c r="N1147" s="239"/>
      <c r="O1147" s="239"/>
    </row>
    <row r="1148" spans="1:15" s="236" customFormat="1" x14ac:dyDescent="0.3">
      <c r="A1148" s="237" t="str">
        <f>name!E$4</f>
        <v>Managers, directors and senior officials</v>
      </c>
      <c r="B1148" s="302">
        <v>22.206692588294494</v>
      </c>
      <c r="C1148" s="302">
        <v>7.4651039306127771</v>
      </c>
      <c r="D1148" s="302">
        <v>3.3576654966307773</v>
      </c>
      <c r="E1148" s="302">
        <f>SUM(B1148:D1148)</f>
        <v>33.029462015538051</v>
      </c>
      <c r="F1148" s="303"/>
      <c r="G1148" s="302">
        <v>22.847444366666945</v>
      </c>
      <c r="H1148" s="302">
        <v>8.6911087224882966</v>
      </c>
      <c r="I1148" s="302">
        <v>3.3192712983844155</v>
      </c>
      <c r="J1148" s="302">
        <f>SUM(G1148:I1148)</f>
        <v>34.857824387539658</v>
      </c>
      <c r="K1148" s="303"/>
      <c r="L1148" s="302">
        <v>30.567457833800553</v>
      </c>
      <c r="M1148" s="302">
        <v>10.089401838048317</v>
      </c>
      <c r="N1148" s="302">
        <v>4.1390138952921376</v>
      </c>
      <c r="O1148" s="302">
        <f>SUM(L1148:N1148)</f>
        <v>44.795873567141008</v>
      </c>
    </row>
    <row r="1149" spans="1:15" s="236" customFormat="1" x14ac:dyDescent="0.3">
      <c r="A1149" s="237" t="str">
        <f>name!E$5</f>
        <v>Professional occupations</v>
      </c>
      <c r="B1149" s="302">
        <v>146.66361256159749</v>
      </c>
      <c r="C1149" s="302">
        <v>73.969499076297041</v>
      </c>
      <c r="D1149" s="302">
        <v>21.679632959623994</v>
      </c>
      <c r="E1149" s="302">
        <f t="shared" ref="E1149:E1156" si="490">SUM(B1149:D1149)</f>
        <v>242.31274459751853</v>
      </c>
      <c r="F1149" s="303"/>
      <c r="G1149" s="302">
        <v>158.45223069789256</v>
      </c>
      <c r="H1149" s="302">
        <v>75.894188246402862</v>
      </c>
      <c r="I1149" s="302">
        <v>22.243160764578857</v>
      </c>
      <c r="J1149" s="302">
        <f t="shared" ref="J1149:J1151" si="491">SUM(G1149:I1149)</f>
        <v>256.58957970887428</v>
      </c>
      <c r="K1149" s="303"/>
      <c r="L1149" s="302">
        <v>216.81595145174808</v>
      </c>
      <c r="M1149" s="302">
        <v>87.715997109813713</v>
      </c>
      <c r="N1149" s="302">
        <v>27.135082583814434</v>
      </c>
      <c r="O1149" s="302">
        <f t="shared" ref="O1149:O1156" si="492">SUM(L1149:N1149)</f>
        <v>331.6670311453762</v>
      </c>
    </row>
    <row r="1150" spans="1:15" s="236" customFormat="1" x14ac:dyDescent="0.3">
      <c r="A1150" s="237" t="str">
        <f>name!E$6</f>
        <v>Associate professional occupations</v>
      </c>
      <c r="B1150" s="302">
        <v>57.60802606829899</v>
      </c>
      <c r="C1150" s="302">
        <v>38.80813800367099</v>
      </c>
      <c r="D1150" s="302">
        <v>10.318356255029723</v>
      </c>
      <c r="E1150" s="302">
        <f t="shared" si="490"/>
        <v>106.7345203269997</v>
      </c>
      <c r="F1150" s="303"/>
      <c r="G1150" s="302">
        <v>60.744174084545797</v>
      </c>
      <c r="H1150" s="302">
        <v>39.290766471561746</v>
      </c>
      <c r="I1150" s="302">
        <v>8.1100683205253521</v>
      </c>
      <c r="J1150" s="302">
        <f t="shared" si="491"/>
        <v>108.1450088766329</v>
      </c>
      <c r="K1150" s="303"/>
      <c r="L1150" s="302">
        <v>75.174379824371528</v>
      </c>
      <c r="M1150" s="302">
        <v>40.003695962867781</v>
      </c>
      <c r="N1150" s="302">
        <v>10.629411912062713</v>
      </c>
      <c r="O1150" s="302">
        <f t="shared" si="492"/>
        <v>125.80748769930202</v>
      </c>
    </row>
    <row r="1151" spans="1:15" s="236" customFormat="1" x14ac:dyDescent="0.3">
      <c r="A1151" s="237" t="str">
        <f>name!E$7</f>
        <v>Administrative and secretarial occupations</v>
      </c>
      <c r="B1151" s="302">
        <v>32.921878579516289</v>
      </c>
      <c r="C1151" s="302">
        <v>42.68352351833267</v>
      </c>
      <c r="D1151" s="302">
        <v>2.4574600652325498</v>
      </c>
      <c r="E1151" s="302">
        <f t="shared" si="490"/>
        <v>78.062862163081505</v>
      </c>
      <c r="F1151" s="303"/>
      <c r="G1151" s="302">
        <v>29.413304460303792</v>
      </c>
      <c r="H1151" s="302">
        <v>34.377728408485304</v>
      </c>
      <c r="I1151" s="302">
        <v>1.46830981882184</v>
      </c>
      <c r="J1151" s="302">
        <f t="shared" si="491"/>
        <v>65.259342687610939</v>
      </c>
      <c r="K1151" s="303"/>
      <c r="L1151" s="302">
        <v>25.969316580658948</v>
      </c>
      <c r="M1151" s="302">
        <v>18.846896582779962</v>
      </c>
      <c r="N1151" s="302">
        <v>0.85299991954446475</v>
      </c>
      <c r="O1151" s="302">
        <f t="shared" si="492"/>
        <v>45.669213082983376</v>
      </c>
    </row>
    <row r="1152" spans="1:15" s="236" customFormat="1" x14ac:dyDescent="0.3">
      <c r="A1152" s="237" t="str">
        <f>name!E$8</f>
        <v>Skilled trades occupations</v>
      </c>
      <c r="B1152" s="302">
        <v>4.4131536558220832</v>
      </c>
      <c r="C1152" s="302">
        <v>4.8283650664502922</v>
      </c>
      <c r="D1152" s="302">
        <v>1.0025487572682177</v>
      </c>
      <c r="E1152" s="302">
        <f t="shared" si="490"/>
        <v>10.244067479540591</v>
      </c>
      <c r="F1152" s="303"/>
      <c r="G1152" s="302">
        <v>3.1161676784623267</v>
      </c>
      <c r="H1152" s="302">
        <v>2.9971869996892719</v>
      </c>
      <c r="I1152" s="302">
        <v>0.91603578496501536</v>
      </c>
      <c r="J1152" s="302">
        <f>SUM(G1152:I1152)</f>
        <v>7.0293904631166138</v>
      </c>
      <c r="K1152" s="303"/>
      <c r="L1152" s="302">
        <v>2.3244458728170625</v>
      </c>
      <c r="M1152" s="302">
        <v>2.3633265859435988</v>
      </c>
      <c r="N1152" s="302">
        <v>1.1628183139173813</v>
      </c>
      <c r="O1152" s="302">
        <f t="shared" si="492"/>
        <v>5.8505907726780428</v>
      </c>
    </row>
    <row r="1153" spans="1:15" s="236" customFormat="1" x14ac:dyDescent="0.3">
      <c r="A1153" s="237" t="str">
        <f>name!E$9</f>
        <v>Caring, leisure and other service occupations</v>
      </c>
      <c r="B1153" s="302">
        <v>137.20629027117616</v>
      </c>
      <c r="C1153" s="302">
        <v>126.93176854625159</v>
      </c>
      <c r="D1153" s="302">
        <v>24.104245091272233</v>
      </c>
      <c r="E1153" s="302">
        <f t="shared" si="490"/>
        <v>288.24230390869997</v>
      </c>
      <c r="F1153" s="303"/>
      <c r="G1153" s="302">
        <v>129.90765439228451</v>
      </c>
      <c r="H1153" s="302">
        <v>108.2050785302187</v>
      </c>
      <c r="I1153" s="302">
        <v>22.65273802776089</v>
      </c>
      <c r="J1153" s="302">
        <f t="shared" ref="J1153:J1156" si="493">SUM(G1153:I1153)</f>
        <v>260.7654709502641</v>
      </c>
      <c r="K1153" s="303"/>
      <c r="L1153" s="302">
        <v>175.97510893070367</v>
      </c>
      <c r="M1153" s="302">
        <v>117.85253312395476</v>
      </c>
      <c r="N1153" s="302">
        <v>26.450018129407887</v>
      </c>
      <c r="O1153" s="302">
        <f t="shared" si="492"/>
        <v>320.27766018406635</v>
      </c>
    </row>
    <row r="1154" spans="1:15" s="236" customFormat="1" x14ac:dyDescent="0.3">
      <c r="A1154" s="237" t="str">
        <f>name!E$10</f>
        <v>Sales and customer service occupations</v>
      </c>
      <c r="B1154" s="302">
        <v>4.9107173483638764</v>
      </c>
      <c r="C1154" s="302">
        <v>5.5491844370169199</v>
      </c>
      <c r="D1154" s="302">
        <v>0.78304108432249675</v>
      </c>
      <c r="E1154" s="302">
        <f t="shared" si="490"/>
        <v>11.242942869703294</v>
      </c>
      <c r="F1154" s="303"/>
      <c r="G1154" s="302">
        <v>4.3589961745965295</v>
      </c>
      <c r="H1154" s="302">
        <v>4.3566248655455233</v>
      </c>
      <c r="I1154" s="302">
        <v>0.42000744612801949</v>
      </c>
      <c r="J1154" s="302">
        <f t="shared" si="493"/>
        <v>9.1356284862700736</v>
      </c>
      <c r="K1154" s="303"/>
      <c r="L1154" s="302">
        <v>5.4617355278430351</v>
      </c>
      <c r="M1154" s="302">
        <v>4.5353137661386977</v>
      </c>
      <c r="N1154" s="302">
        <v>0.64573020310241058</v>
      </c>
      <c r="O1154" s="302">
        <f t="shared" si="492"/>
        <v>10.642779497084142</v>
      </c>
    </row>
    <row r="1155" spans="1:15" s="236" customFormat="1" x14ac:dyDescent="0.3">
      <c r="A1155" s="237" t="str">
        <f>name!E$11</f>
        <v>Process, plant and machine operatives</v>
      </c>
      <c r="B1155" s="302">
        <v>1.5937992601640489</v>
      </c>
      <c r="C1155" s="302">
        <v>4.0751985055135611</v>
      </c>
      <c r="D1155" s="302">
        <v>0.18690333529879244</v>
      </c>
      <c r="E1155" s="302">
        <f t="shared" si="490"/>
        <v>5.8559011009764026</v>
      </c>
      <c r="F1155" s="303"/>
      <c r="G1155" s="302">
        <v>1.112942064264369</v>
      </c>
      <c r="H1155" s="302">
        <v>2.8598231601685593</v>
      </c>
      <c r="I1155" s="302">
        <v>0.18836784864530484</v>
      </c>
      <c r="J1155" s="302">
        <f t="shared" si="493"/>
        <v>4.1611330730782328</v>
      </c>
      <c r="K1155" s="303"/>
      <c r="L1155" s="302">
        <v>0.7832802184608515</v>
      </c>
      <c r="M1155" s="302">
        <v>2.4930792619968223</v>
      </c>
      <c r="N1155" s="302">
        <v>0.23750547046763301</v>
      </c>
      <c r="O1155" s="302">
        <f t="shared" si="492"/>
        <v>3.5138649509253068</v>
      </c>
    </row>
    <row r="1156" spans="1:15" s="236" customFormat="1" x14ac:dyDescent="0.3">
      <c r="A1156" s="237" t="str">
        <f>name!E$12</f>
        <v>Elementary occupations</v>
      </c>
      <c r="B1156" s="302">
        <v>6.0578296638968707</v>
      </c>
      <c r="C1156" s="302">
        <v>21.998218910552112</v>
      </c>
      <c r="D1156" s="302">
        <v>0.93814695144949389</v>
      </c>
      <c r="E1156" s="302">
        <f t="shared" si="490"/>
        <v>28.994195525898476</v>
      </c>
      <c r="F1156" s="303"/>
      <c r="G1156" s="302">
        <v>4.6370860799183014</v>
      </c>
      <c r="H1156" s="302">
        <v>13.873494591574206</v>
      </c>
      <c r="I1156" s="302">
        <v>0.4370406942982728</v>
      </c>
      <c r="J1156" s="302">
        <f t="shared" si="493"/>
        <v>18.947621365790777</v>
      </c>
      <c r="K1156" s="303"/>
      <c r="L1156" s="302">
        <v>4.1063237580179495</v>
      </c>
      <c r="M1156" s="302">
        <v>8.189755767437827</v>
      </c>
      <c r="N1156" s="302">
        <v>0.73341957289005366</v>
      </c>
      <c r="O1156" s="302">
        <f t="shared" si="492"/>
        <v>13.029499098345831</v>
      </c>
    </row>
    <row r="1157" spans="1:15" s="236" customFormat="1" x14ac:dyDescent="0.3">
      <c r="A1157" s="237"/>
      <c r="B1157" s="302"/>
      <c r="C1157" s="302"/>
      <c r="D1157" s="302"/>
      <c r="E1157" s="302"/>
      <c r="F1157" s="303"/>
      <c r="G1157" s="302"/>
      <c r="H1157" s="302"/>
      <c r="I1157" s="302"/>
      <c r="J1157" s="302"/>
      <c r="K1157" s="303"/>
      <c r="L1157" s="302"/>
      <c r="M1157" s="302"/>
      <c r="N1157" s="302"/>
      <c r="O1157" s="302"/>
    </row>
    <row r="1158" spans="1:15" s="236" customFormat="1" x14ac:dyDescent="0.3">
      <c r="A1158" s="244" t="s">
        <v>32</v>
      </c>
      <c r="B1158" s="311">
        <f>SUM(B1148:B1156)</f>
        <v>413.58199999713037</v>
      </c>
      <c r="C1158" s="311">
        <f t="shared" ref="C1158:E1158" si="494">SUM(C1148:C1156)</f>
        <v>326.30899999469796</v>
      </c>
      <c r="D1158" s="311">
        <f t="shared" si="494"/>
        <v>64.827999996128284</v>
      </c>
      <c r="E1158" s="311">
        <f t="shared" si="494"/>
        <v>804.71899998795652</v>
      </c>
      <c r="F1158" s="311"/>
      <c r="G1158" s="311">
        <f t="shared" ref="G1158:J1158" si="495">SUM(G1148:G1156)</f>
        <v>414.58999999893507</v>
      </c>
      <c r="H1158" s="311">
        <f t="shared" si="495"/>
        <v>290.54599999613447</v>
      </c>
      <c r="I1158" s="311">
        <f t="shared" si="495"/>
        <v>59.75500000410797</v>
      </c>
      <c r="J1158" s="311">
        <f t="shared" si="495"/>
        <v>764.89099999917744</v>
      </c>
      <c r="K1158" s="311"/>
      <c r="L1158" s="311">
        <f t="shared" ref="L1158:O1158" si="496">SUM(L1148:L1156)</f>
        <v>537.17799999842168</v>
      </c>
      <c r="M1158" s="311">
        <f t="shared" si="496"/>
        <v>292.08999999898145</v>
      </c>
      <c r="N1158" s="311">
        <f t="shared" si="496"/>
        <v>71.986000000499132</v>
      </c>
      <c r="O1158" s="311">
        <f t="shared" si="496"/>
        <v>901.25399999790216</v>
      </c>
    </row>
    <row r="1159" spans="1:15" s="236" customFormat="1" x14ac:dyDescent="0.3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37"/>
      <c r="M1159" s="237"/>
      <c r="N1159" s="240"/>
    </row>
    <row r="1160" spans="1:15" s="236" customFormat="1" x14ac:dyDescent="0.3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37"/>
      <c r="M1160" s="237"/>
      <c r="N1160" s="240"/>
      <c r="O1160" s="251" t="s">
        <v>35</v>
      </c>
    </row>
    <row r="1161" spans="1:15" s="236" customFormat="1" x14ac:dyDescent="0.3">
      <c r="A1161" s="242"/>
      <c r="B1161" s="242"/>
      <c r="C1161" s="242"/>
      <c r="D1161" s="242"/>
      <c r="E1161" s="242"/>
      <c r="F1161" s="242"/>
      <c r="G1161" s="242"/>
      <c r="H1161" s="242"/>
      <c r="I1161" s="242"/>
      <c r="J1161" s="242"/>
      <c r="K1161" s="242"/>
      <c r="L1161" s="242"/>
      <c r="M1161" s="242"/>
      <c r="N1161" s="242"/>
      <c r="O1161" s="242"/>
    </row>
    <row r="1162" spans="1:15" s="236" customFormat="1" x14ac:dyDescent="0.3">
      <c r="A1162" s="241" t="str">
        <f>name!A71</f>
        <v>Social work</v>
      </c>
      <c r="B1162" s="375">
        <f>$B$6</f>
        <v>2015</v>
      </c>
      <c r="C1162" s="375"/>
      <c r="D1162" s="375"/>
      <c r="E1162" s="375"/>
      <c r="F1162" s="263"/>
      <c r="G1162" s="375">
        <f>$G$6</f>
        <v>2020</v>
      </c>
      <c r="H1162" s="375"/>
      <c r="I1162" s="375"/>
      <c r="J1162" s="375"/>
      <c r="K1162" s="263"/>
      <c r="L1162" s="375">
        <f>$L$6</f>
        <v>2035</v>
      </c>
      <c r="M1162" s="375"/>
      <c r="N1162" s="375"/>
      <c r="O1162" s="375"/>
    </row>
    <row r="1163" spans="1:15" s="236" customFormat="1" x14ac:dyDescent="0.3">
      <c r="A1163" s="254"/>
      <c r="B1163" s="268" t="str">
        <f>$B$7</f>
        <v>FT</v>
      </c>
      <c r="C1163" s="268" t="str">
        <f>$C$7</f>
        <v>PT</v>
      </c>
      <c r="D1163" s="268" t="str">
        <f>$D$7</f>
        <v>SE</v>
      </c>
      <c r="E1163" s="268" t="str">
        <f>$E$7</f>
        <v>Total</v>
      </c>
      <c r="F1163" s="268"/>
      <c r="G1163" s="268" t="str">
        <f>$G$7</f>
        <v>FT</v>
      </c>
      <c r="H1163" s="268" t="str">
        <f>$H$7</f>
        <v>PT</v>
      </c>
      <c r="I1163" s="268" t="str">
        <f>$I$7</f>
        <v>SE</v>
      </c>
      <c r="J1163" s="268" t="str">
        <f>$J$7</f>
        <v>Total</v>
      </c>
      <c r="K1163" s="268"/>
      <c r="L1163" s="268" t="str">
        <f>$L$7</f>
        <v>FT</v>
      </c>
      <c r="M1163" s="268" t="str">
        <f>$M$7</f>
        <v>PT</v>
      </c>
      <c r="N1163" s="268" t="str">
        <f>$N$7</f>
        <v>SE</v>
      </c>
      <c r="O1163" s="268" t="str">
        <f>$O$7</f>
        <v>Total</v>
      </c>
    </row>
    <row r="1164" spans="1:15" s="236" customFormat="1" x14ac:dyDescent="0.3">
      <c r="A1164" s="258"/>
      <c r="B1164" s="239"/>
      <c r="C1164" s="239"/>
      <c r="D1164" s="239"/>
      <c r="E1164" s="239"/>
      <c r="F1164" s="239"/>
      <c r="G1164" s="239"/>
      <c r="H1164" s="239"/>
      <c r="I1164" s="239"/>
      <c r="J1164" s="239"/>
      <c r="K1164" s="239"/>
      <c r="L1164" s="239"/>
      <c r="M1164" s="239"/>
      <c r="N1164" s="239"/>
      <c r="O1164" s="239"/>
    </row>
    <row r="1165" spans="1:15" s="236" customFormat="1" x14ac:dyDescent="0.3">
      <c r="A1165" s="237" t="str">
        <f>name!E$4</f>
        <v>Managers, directors and senior officials</v>
      </c>
      <c r="B1165" s="302">
        <v>26.837366007973571</v>
      </c>
      <c r="C1165" s="302">
        <v>10.292488801292661</v>
      </c>
      <c r="D1165" s="302">
        <v>4.1812637757196205</v>
      </c>
      <c r="E1165" s="302">
        <f>SUM(B1165:D1165)</f>
        <v>41.311118584985856</v>
      </c>
      <c r="F1165" s="303"/>
      <c r="G1165" s="302">
        <v>26.234963859477343</v>
      </c>
      <c r="H1165" s="302">
        <v>12.96164889543857</v>
      </c>
      <c r="I1165" s="302">
        <v>4.1538753165032922</v>
      </c>
      <c r="J1165" s="302">
        <f>SUM(G1165:I1165)</f>
        <v>43.350488071419207</v>
      </c>
      <c r="K1165" s="303"/>
      <c r="L1165" s="302">
        <v>34.618350128828517</v>
      </c>
      <c r="M1165" s="302">
        <v>14.95817407694801</v>
      </c>
      <c r="N1165" s="302">
        <v>5.0774225549899512</v>
      </c>
      <c r="O1165" s="302">
        <f>SUM(L1165:N1165)</f>
        <v>54.65394676076648</v>
      </c>
    </row>
    <row r="1166" spans="1:15" s="236" customFormat="1" x14ac:dyDescent="0.3">
      <c r="A1166" s="237" t="str">
        <f>name!E$5</f>
        <v>Professional occupations</v>
      </c>
      <c r="B1166" s="302">
        <v>180.23427933835143</v>
      </c>
      <c r="C1166" s="302">
        <v>109.17912744385524</v>
      </c>
      <c r="D1166" s="302">
        <v>27.4389562540314</v>
      </c>
      <c r="E1166" s="302">
        <f t="shared" ref="E1166:E1173" si="497">SUM(B1166:D1166)</f>
        <v>316.85236303623805</v>
      </c>
      <c r="F1166" s="303"/>
      <c r="G1166" s="302">
        <v>186.42944126267429</v>
      </c>
      <c r="H1166" s="302">
        <v>118.47196309182139</v>
      </c>
      <c r="I1166" s="302">
        <v>28.419887781555932</v>
      </c>
      <c r="J1166" s="302">
        <f t="shared" ref="J1166:J1168" si="498">SUM(G1166:I1166)</f>
        <v>333.32129213605162</v>
      </c>
      <c r="K1166" s="303"/>
      <c r="L1166" s="302">
        <v>251.97939620660171</v>
      </c>
      <c r="M1166" s="302">
        <v>135.04680251233111</v>
      </c>
      <c r="N1166" s="302">
        <v>34.499567956587974</v>
      </c>
      <c r="O1166" s="302">
        <f t="shared" ref="O1166:O1173" si="499">SUM(L1166:N1166)</f>
        <v>421.5257666755208</v>
      </c>
    </row>
    <row r="1167" spans="1:15" s="236" customFormat="1" x14ac:dyDescent="0.3">
      <c r="A1167" s="237" t="str">
        <f>name!E$6</f>
        <v>Associate professional occupations</v>
      </c>
      <c r="B1167" s="302">
        <v>70.207106648409123</v>
      </c>
      <c r="C1167" s="302">
        <v>55.541262052790167</v>
      </c>
      <c r="D1167" s="302">
        <v>12.654763300396603</v>
      </c>
      <c r="E1167" s="302">
        <f t="shared" si="497"/>
        <v>138.40313200159591</v>
      </c>
      <c r="F1167" s="303"/>
      <c r="G1167" s="302">
        <v>70.9064163732304</v>
      </c>
      <c r="H1167" s="302">
        <v>59.964678530788326</v>
      </c>
      <c r="I1167" s="302">
        <v>10.084234400123728</v>
      </c>
      <c r="J1167" s="302">
        <f t="shared" si="498"/>
        <v>140.95532930414245</v>
      </c>
      <c r="K1167" s="303"/>
      <c r="L1167" s="302">
        <v>86.627004327894042</v>
      </c>
      <c r="M1167" s="302">
        <v>60.440913046523441</v>
      </c>
      <c r="N1167" s="302">
        <v>13.170049421090031</v>
      </c>
      <c r="O1167" s="302">
        <f t="shared" si="499"/>
        <v>160.2379667955075</v>
      </c>
    </row>
    <row r="1168" spans="1:15" s="236" customFormat="1" x14ac:dyDescent="0.3">
      <c r="A1168" s="237" t="str">
        <f>name!E$7</f>
        <v>Administrative and secretarial occupations</v>
      </c>
      <c r="B1168" s="302">
        <v>40.037926027624522</v>
      </c>
      <c r="C1168" s="302">
        <v>58.384296605385614</v>
      </c>
      <c r="D1168" s="302">
        <v>2.9838372813106169</v>
      </c>
      <c r="E1168" s="302">
        <f t="shared" si="497"/>
        <v>101.40605991432075</v>
      </c>
      <c r="F1168" s="303"/>
      <c r="G1168" s="302">
        <v>33.872168903561835</v>
      </c>
      <c r="H1168" s="302">
        <v>50.28820234789255</v>
      </c>
      <c r="I1168" s="302">
        <v>1.8205170083787032</v>
      </c>
      <c r="J1168" s="302">
        <f t="shared" si="498"/>
        <v>85.980888259833094</v>
      </c>
      <c r="K1168" s="303"/>
      <c r="L1168" s="302">
        <v>29.653324176246599</v>
      </c>
      <c r="M1168" s="302">
        <v>27.726735812031585</v>
      </c>
      <c r="N1168" s="302">
        <v>1.0640105375830513</v>
      </c>
      <c r="O1168" s="302">
        <f t="shared" si="499"/>
        <v>58.444070525861235</v>
      </c>
    </row>
    <row r="1169" spans="1:15" s="236" customFormat="1" x14ac:dyDescent="0.3">
      <c r="A1169" s="237" t="str">
        <f>name!E$8</f>
        <v>Skilled trades occupations</v>
      </c>
      <c r="B1169" s="302">
        <v>5.2640930435183355</v>
      </c>
      <c r="C1169" s="302">
        <v>6.4398826015366248</v>
      </c>
      <c r="D1169" s="302">
        <v>1.2593759430559663</v>
      </c>
      <c r="E1169" s="302">
        <f t="shared" si="497"/>
        <v>12.963351588110926</v>
      </c>
      <c r="F1169" s="303"/>
      <c r="G1169" s="302">
        <v>3.5239400090983204</v>
      </c>
      <c r="H1169" s="302">
        <v>4.3855745329053812</v>
      </c>
      <c r="I1169" s="302">
        <v>1.0552275469996746</v>
      </c>
      <c r="J1169" s="302">
        <f>SUM(G1169:I1169)</f>
        <v>8.9647420890033764</v>
      </c>
      <c r="K1169" s="303"/>
      <c r="L1169" s="302">
        <v>2.6752677502276665</v>
      </c>
      <c r="M1169" s="302">
        <v>3.4272735241077736</v>
      </c>
      <c r="N1169" s="302">
        <v>1.2956047284589285</v>
      </c>
      <c r="O1169" s="302">
        <f t="shared" si="499"/>
        <v>7.3981460027943688</v>
      </c>
    </row>
    <row r="1170" spans="1:15" s="236" customFormat="1" x14ac:dyDescent="0.3">
      <c r="A1170" s="237" t="str">
        <f>name!E$9</f>
        <v>Caring, leisure and other service occupations</v>
      </c>
      <c r="B1170" s="302">
        <v>164.2815708679035</v>
      </c>
      <c r="C1170" s="302">
        <v>177.31000984362726</v>
      </c>
      <c r="D1170" s="302">
        <v>29.374601847276526</v>
      </c>
      <c r="E1170" s="302">
        <f t="shared" si="497"/>
        <v>370.9661825588073</v>
      </c>
      <c r="F1170" s="303"/>
      <c r="G1170" s="302">
        <v>148.7722450171415</v>
      </c>
      <c r="H1170" s="302">
        <v>161.77749005359837</v>
      </c>
      <c r="I1170" s="302">
        <v>28.059977153795796</v>
      </c>
      <c r="J1170" s="302">
        <f t="shared" ref="J1170:J1173" si="500">SUM(G1170:I1170)</f>
        <v>338.60971222453566</v>
      </c>
      <c r="K1170" s="303"/>
      <c r="L1170" s="302">
        <v>201.2845188276072</v>
      </c>
      <c r="M1170" s="302">
        <v>174.43974398887786</v>
      </c>
      <c r="N1170" s="302">
        <v>32.651760044912834</v>
      </c>
      <c r="O1170" s="302">
        <f t="shared" si="499"/>
        <v>408.37602286139793</v>
      </c>
    </row>
    <row r="1171" spans="1:15" s="236" customFormat="1" x14ac:dyDescent="0.3">
      <c r="A1171" s="237" t="str">
        <f>name!E$10</f>
        <v>Sales and customer service occupations</v>
      </c>
      <c r="B1171" s="302">
        <v>5.95638187075616</v>
      </c>
      <c r="C1171" s="302">
        <v>7.6024608193712586</v>
      </c>
      <c r="D1171" s="302">
        <v>0.9543525882299656</v>
      </c>
      <c r="E1171" s="302">
        <f t="shared" si="497"/>
        <v>14.513195278357385</v>
      </c>
      <c r="F1171" s="303"/>
      <c r="G1171" s="302">
        <v>5.0264442496834967</v>
      </c>
      <c r="H1171" s="302">
        <v>6.432818199797004</v>
      </c>
      <c r="I1171" s="302">
        <v>0.52465589533950296</v>
      </c>
      <c r="J1171" s="302">
        <f t="shared" si="500"/>
        <v>11.983918344820005</v>
      </c>
      <c r="K1171" s="303"/>
      <c r="L1171" s="302">
        <v>6.2123748312302238</v>
      </c>
      <c r="M1171" s="302">
        <v>6.6718550810017172</v>
      </c>
      <c r="N1171" s="302">
        <v>0.7915942970962645</v>
      </c>
      <c r="O1171" s="302">
        <f t="shared" si="499"/>
        <v>13.675824209328205</v>
      </c>
    </row>
    <row r="1172" spans="1:15" s="236" customFormat="1" x14ac:dyDescent="0.3">
      <c r="A1172" s="237" t="str">
        <f>name!E$11</f>
        <v>Process, plant and machine operatives</v>
      </c>
      <c r="B1172" s="302">
        <v>1.9052016242782839</v>
      </c>
      <c r="C1172" s="302">
        <v>5.230431947828694</v>
      </c>
      <c r="D1172" s="302">
        <v>0.23903923675877772</v>
      </c>
      <c r="E1172" s="302">
        <f t="shared" si="497"/>
        <v>7.374672808865756</v>
      </c>
      <c r="F1172" s="303"/>
      <c r="G1172" s="302">
        <v>1.2645402827379613</v>
      </c>
      <c r="H1172" s="302">
        <v>4.1168001754194607</v>
      </c>
      <c r="I1172" s="302">
        <v>0.22696888202147131</v>
      </c>
      <c r="J1172" s="302">
        <f t="shared" si="500"/>
        <v>5.6083093401788933</v>
      </c>
      <c r="K1172" s="303"/>
      <c r="L1172" s="302">
        <v>0.91926044843699517</v>
      </c>
      <c r="M1172" s="302">
        <v>3.6298672361939777</v>
      </c>
      <c r="N1172" s="302">
        <v>0.25553791509992096</v>
      </c>
      <c r="O1172" s="302">
        <f t="shared" si="499"/>
        <v>4.8046655997308934</v>
      </c>
    </row>
    <row r="1173" spans="1:15" s="236" customFormat="1" x14ac:dyDescent="0.3">
      <c r="A1173" s="237" t="str">
        <f>name!E$12</f>
        <v>Elementary occupations</v>
      </c>
      <c r="B1173" s="302">
        <v>6.8670745675466005</v>
      </c>
      <c r="C1173" s="302">
        <v>30.861039876638444</v>
      </c>
      <c r="D1173" s="302">
        <v>1.0838097685928567</v>
      </c>
      <c r="E1173" s="302">
        <f t="shared" si="497"/>
        <v>38.811924212777903</v>
      </c>
      <c r="F1173" s="303"/>
      <c r="G1173" s="302">
        <v>4.9578400416231476</v>
      </c>
      <c r="H1173" s="302">
        <v>21.476824166309878</v>
      </c>
      <c r="I1173" s="302">
        <v>0.50565602050481473</v>
      </c>
      <c r="J1173" s="302">
        <f t="shared" si="500"/>
        <v>26.940320228437841</v>
      </c>
      <c r="K1173" s="303"/>
      <c r="L1173" s="302">
        <v>4.2525033013874634</v>
      </c>
      <c r="M1173" s="302">
        <v>12.818634720385024</v>
      </c>
      <c r="N1173" s="302">
        <v>0.80845254497446095</v>
      </c>
      <c r="O1173" s="302">
        <f t="shared" si="499"/>
        <v>17.879590566746948</v>
      </c>
    </row>
    <row r="1174" spans="1:15" s="236" customFormat="1" x14ac:dyDescent="0.3">
      <c r="A1174" s="237"/>
      <c r="B1174" s="302"/>
      <c r="C1174" s="302"/>
      <c r="D1174" s="302"/>
      <c r="E1174" s="302"/>
      <c r="F1174" s="303"/>
      <c r="G1174" s="302"/>
      <c r="H1174" s="302"/>
      <c r="I1174" s="302"/>
      <c r="J1174" s="302"/>
      <c r="K1174" s="303"/>
      <c r="L1174" s="302"/>
      <c r="M1174" s="302"/>
      <c r="N1174" s="302"/>
      <c r="O1174" s="302"/>
    </row>
    <row r="1175" spans="1:15" s="236" customFormat="1" x14ac:dyDescent="0.3">
      <c r="A1175" s="244" t="s">
        <v>32</v>
      </c>
      <c r="B1175" s="311">
        <f>SUM(B1165:B1173)</f>
        <v>501.59099999636152</v>
      </c>
      <c r="C1175" s="311">
        <f t="shared" ref="C1175:E1175" si="501">SUM(C1165:C1173)</f>
        <v>460.84099999232592</v>
      </c>
      <c r="D1175" s="311">
        <f t="shared" si="501"/>
        <v>80.169999995372322</v>
      </c>
      <c r="E1175" s="311">
        <f t="shared" si="501"/>
        <v>1042.6019999840598</v>
      </c>
      <c r="F1175" s="311"/>
      <c r="G1175" s="311">
        <f t="shared" ref="G1175:J1175" si="502">SUM(G1165:G1173)</f>
        <v>480.98799999922835</v>
      </c>
      <c r="H1175" s="311">
        <f t="shared" si="502"/>
        <v>439.87599999397094</v>
      </c>
      <c r="I1175" s="311">
        <f t="shared" si="502"/>
        <v>74.851000005222915</v>
      </c>
      <c r="J1175" s="311">
        <f t="shared" si="502"/>
        <v>995.71499999842229</v>
      </c>
      <c r="K1175" s="311"/>
      <c r="L1175" s="311">
        <f t="shared" ref="L1175:O1175" si="503">SUM(L1165:L1173)</f>
        <v>618.22199999846043</v>
      </c>
      <c r="M1175" s="311">
        <f t="shared" si="503"/>
        <v>439.15999999840051</v>
      </c>
      <c r="N1175" s="311">
        <f t="shared" si="503"/>
        <v>89.614000000793425</v>
      </c>
      <c r="O1175" s="311">
        <f t="shared" si="503"/>
        <v>1146.9959999976543</v>
      </c>
    </row>
    <row r="1176" spans="1:15" s="236" customFormat="1" x14ac:dyDescent="0.3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37"/>
      <c r="M1176" s="237"/>
      <c r="N1176" s="240"/>
    </row>
    <row r="1177" spans="1:15" s="236" customFormat="1" x14ac:dyDescent="0.3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37"/>
      <c r="M1177" s="237"/>
      <c r="N1177" s="240"/>
      <c r="O1177" s="251" t="s">
        <v>35</v>
      </c>
    </row>
    <row r="1178" spans="1:15" s="236" customFormat="1" x14ac:dyDescent="0.3">
      <c r="A1178" s="242"/>
      <c r="B1178" s="242"/>
      <c r="C1178" s="242"/>
      <c r="D1178" s="242"/>
      <c r="E1178" s="242"/>
      <c r="F1178" s="242"/>
      <c r="G1178" s="242"/>
      <c r="H1178" s="242"/>
      <c r="I1178" s="242"/>
      <c r="J1178" s="242"/>
      <c r="K1178" s="242"/>
      <c r="L1178" s="242"/>
      <c r="M1178" s="242"/>
      <c r="N1178" s="242"/>
      <c r="O1178" s="242"/>
    </row>
    <row r="1179" spans="1:15" s="236" customFormat="1" x14ac:dyDescent="0.3">
      <c r="A1179" s="241" t="str">
        <f>name!A72</f>
        <v>Arts and entertainment</v>
      </c>
      <c r="B1179" s="375">
        <f>$B$6</f>
        <v>2015</v>
      </c>
      <c r="C1179" s="375"/>
      <c r="D1179" s="375"/>
      <c r="E1179" s="375"/>
      <c r="F1179" s="263"/>
      <c r="G1179" s="375">
        <f>$G$6</f>
        <v>2020</v>
      </c>
      <c r="H1179" s="375"/>
      <c r="I1179" s="375"/>
      <c r="J1179" s="375"/>
      <c r="K1179" s="263"/>
      <c r="L1179" s="375">
        <f>$L$6</f>
        <v>2035</v>
      </c>
      <c r="M1179" s="375"/>
      <c r="N1179" s="375"/>
      <c r="O1179" s="375"/>
    </row>
    <row r="1180" spans="1:15" s="236" customFormat="1" x14ac:dyDescent="0.3">
      <c r="A1180" s="254"/>
      <c r="B1180" s="268" t="str">
        <f>$B$7</f>
        <v>FT</v>
      </c>
      <c r="C1180" s="268" t="str">
        <f>$C$7</f>
        <v>PT</v>
      </c>
      <c r="D1180" s="268" t="str">
        <f>$D$7</f>
        <v>SE</v>
      </c>
      <c r="E1180" s="268" t="str">
        <f>$E$7</f>
        <v>Total</v>
      </c>
      <c r="F1180" s="268"/>
      <c r="G1180" s="268" t="str">
        <f>$G$7</f>
        <v>FT</v>
      </c>
      <c r="H1180" s="268" t="str">
        <f>$H$7</f>
        <v>PT</v>
      </c>
      <c r="I1180" s="268" t="str">
        <f>$I$7</f>
        <v>SE</v>
      </c>
      <c r="J1180" s="268" t="str">
        <f>$J$7</f>
        <v>Total</v>
      </c>
      <c r="K1180" s="268"/>
      <c r="L1180" s="268" t="str">
        <f>$L$7</f>
        <v>FT</v>
      </c>
      <c r="M1180" s="268" t="str">
        <f>$M$7</f>
        <v>PT</v>
      </c>
      <c r="N1180" s="268" t="str">
        <f>$N$7</f>
        <v>SE</v>
      </c>
      <c r="O1180" s="268" t="str">
        <f>$O$7</f>
        <v>Total</v>
      </c>
    </row>
    <row r="1181" spans="1:15" s="236" customFormat="1" x14ac:dyDescent="0.3">
      <c r="A1181" s="258"/>
      <c r="B1181" s="239"/>
      <c r="C1181" s="239"/>
      <c r="D1181" s="239"/>
      <c r="E1181" s="239"/>
      <c r="F1181" s="239"/>
      <c r="G1181" s="239"/>
      <c r="H1181" s="239"/>
      <c r="I1181" s="239"/>
      <c r="J1181" s="239"/>
      <c r="K1181" s="239"/>
      <c r="L1181" s="239"/>
      <c r="M1181" s="239"/>
      <c r="N1181" s="239"/>
      <c r="O1181" s="239"/>
    </row>
    <row r="1182" spans="1:15" s="236" customFormat="1" x14ac:dyDescent="0.3">
      <c r="A1182" s="237" t="str">
        <f>name!E$4</f>
        <v>Managers, directors and senior officials</v>
      </c>
      <c r="B1182" s="302">
        <v>7.8908626008672833</v>
      </c>
      <c r="C1182" s="302">
        <v>1.6757254316399721</v>
      </c>
      <c r="D1182" s="302">
        <v>5.5041954158490549</v>
      </c>
      <c r="E1182" s="302">
        <f>SUM(B1182:D1182)</f>
        <v>15.070783448356309</v>
      </c>
      <c r="F1182" s="303"/>
      <c r="G1182" s="302">
        <v>8.9612168455984218</v>
      </c>
      <c r="H1182" s="302">
        <v>2.8088330115778239</v>
      </c>
      <c r="I1182" s="302">
        <v>7.4916081634833169</v>
      </c>
      <c r="J1182" s="302">
        <f>SUM(G1182:I1182)</f>
        <v>19.261658020659564</v>
      </c>
      <c r="K1182" s="303"/>
      <c r="L1182" s="302">
        <v>9.5954466329207726</v>
      </c>
      <c r="M1182" s="302">
        <v>3.9365955244570241</v>
      </c>
      <c r="N1182" s="302">
        <v>8.8099315411158816</v>
      </c>
      <c r="O1182" s="302">
        <f>SUM(L1182:N1182)</f>
        <v>22.341973698493678</v>
      </c>
    </row>
    <row r="1183" spans="1:15" s="236" customFormat="1" x14ac:dyDescent="0.3">
      <c r="A1183" s="237" t="str">
        <f>name!E$5</f>
        <v>Professional occupations</v>
      </c>
      <c r="B1183" s="302">
        <v>10.938951664739228</v>
      </c>
      <c r="C1183" s="302">
        <v>3.5989058417134556</v>
      </c>
      <c r="D1183" s="302">
        <v>15.934500187097624</v>
      </c>
      <c r="E1183" s="302">
        <f t="shared" ref="E1183:E1190" si="504">SUM(B1183:D1183)</f>
        <v>30.472357693550308</v>
      </c>
      <c r="F1183" s="303"/>
      <c r="G1183" s="302">
        <v>14.216879795141196</v>
      </c>
      <c r="H1183" s="302">
        <v>5.819301463771148</v>
      </c>
      <c r="I1183" s="302">
        <v>17.981444953413888</v>
      </c>
      <c r="J1183" s="302">
        <f t="shared" ref="J1183:J1185" si="505">SUM(G1183:I1183)</f>
        <v>38.017626212326235</v>
      </c>
      <c r="K1183" s="303"/>
      <c r="L1183" s="302">
        <v>15.921083599128281</v>
      </c>
      <c r="M1183" s="302">
        <v>7.973864516767124</v>
      </c>
      <c r="N1183" s="302">
        <v>15.386145325948757</v>
      </c>
      <c r="O1183" s="302">
        <f t="shared" ref="O1183:O1190" si="506">SUM(L1183:N1183)</f>
        <v>39.281093441844163</v>
      </c>
    </row>
    <row r="1184" spans="1:15" s="236" customFormat="1" x14ac:dyDescent="0.3">
      <c r="A1184" s="237" t="str">
        <f>name!E$6</f>
        <v>Associate professional occupations</v>
      </c>
      <c r="B1184" s="302">
        <v>13.140001090911047</v>
      </c>
      <c r="C1184" s="302">
        <v>6.432971566665115</v>
      </c>
      <c r="D1184" s="302">
        <v>46.163237731566653</v>
      </c>
      <c r="E1184" s="302">
        <f t="shared" si="504"/>
        <v>65.736210389142812</v>
      </c>
      <c r="F1184" s="303"/>
      <c r="G1184" s="302">
        <v>14.266822114615826</v>
      </c>
      <c r="H1184" s="302">
        <v>8.2283582616331703</v>
      </c>
      <c r="I1184" s="302">
        <v>58.026230844171089</v>
      </c>
      <c r="J1184" s="302">
        <f t="shared" si="505"/>
        <v>80.521411220420077</v>
      </c>
      <c r="K1184" s="303"/>
      <c r="L1184" s="302">
        <v>14.542942488420499</v>
      </c>
      <c r="M1184" s="302">
        <v>9.2450283161138866</v>
      </c>
      <c r="N1184" s="302">
        <v>58.249232268457057</v>
      </c>
      <c r="O1184" s="302">
        <f t="shared" si="506"/>
        <v>82.037203072991446</v>
      </c>
    </row>
    <row r="1185" spans="1:15" s="236" customFormat="1" x14ac:dyDescent="0.3">
      <c r="A1185" s="237" t="str">
        <f>name!E$7</f>
        <v>Administrative and secretarial occupations</v>
      </c>
      <c r="B1185" s="302">
        <v>6.4479627953209677</v>
      </c>
      <c r="C1185" s="302">
        <v>7.4811613519774633</v>
      </c>
      <c r="D1185" s="302">
        <v>1.0420497345192021</v>
      </c>
      <c r="E1185" s="302">
        <f t="shared" si="504"/>
        <v>14.971173881817633</v>
      </c>
      <c r="F1185" s="303"/>
      <c r="G1185" s="302">
        <v>6.6989902501610334</v>
      </c>
      <c r="H1185" s="302">
        <v>8.8387274154643141</v>
      </c>
      <c r="I1185" s="302">
        <v>1.4191877601913725</v>
      </c>
      <c r="J1185" s="302">
        <f t="shared" si="505"/>
        <v>16.956905425816721</v>
      </c>
      <c r="K1185" s="303"/>
      <c r="L1185" s="302">
        <v>5.3248381160214668</v>
      </c>
      <c r="M1185" s="302">
        <v>7.9614014772026076</v>
      </c>
      <c r="N1185" s="302">
        <v>0.99585124060297525</v>
      </c>
      <c r="O1185" s="302">
        <f t="shared" si="506"/>
        <v>14.28209083382705</v>
      </c>
    </row>
    <row r="1186" spans="1:15" s="236" customFormat="1" x14ac:dyDescent="0.3">
      <c r="A1186" s="237" t="str">
        <f>name!E$8</f>
        <v>Skilled trades occupations</v>
      </c>
      <c r="B1186" s="302">
        <v>4.897786843388328</v>
      </c>
      <c r="C1186" s="302">
        <v>1.2919583682063784</v>
      </c>
      <c r="D1186" s="302">
        <v>7.0376557940164952</v>
      </c>
      <c r="E1186" s="302">
        <f t="shared" si="504"/>
        <v>13.227401005611203</v>
      </c>
      <c r="F1186" s="303"/>
      <c r="G1186" s="302">
        <v>4.101831736431877</v>
      </c>
      <c r="H1186" s="302">
        <v>1.512638020581508</v>
      </c>
      <c r="I1186" s="302">
        <v>8.6301349670371614</v>
      </c>
      <c r="J1186" s="302">
        <f>SUM(G1186:I1186)</f>
        <v>14.244604724050546</v>
      </c>
      <c r="K1186" s="303"/>
      <c r="L1186" s="302">
        <v>3.5048918127937143</v>
      </c>
      <c r="M1186" s="302">
        <v>2.1349898670119205</v>
      </c>
      <c r="N1186" s="302">
        <v>10.139424066240997</v>
      </c>
      <c r="O1186" s="302">
        <f t="shared" si="506"/>
        <v>15.779305746046631</v>
      </c>
    </row>
    <row r="1187" spans="1:15" s="236" customFormat="1" x14ac:dyDescent="0.3">
      <c r="A1187" s="237" t="str">
        <f>name!E$9</f>
        <v>Caring, leisure and other service occupations</v>
      </c>
      <c r="B1187" s="302">
        <v>3.8015252587148147</v>
      </c>
      <c r="C1187" s="302">
        <v>4.2461547579073624</v>
      </c>
      <c r="D1187" s="302">
        <v>1.1889271473137168</v>
      </c>
      <c r="E1187" s="302">
        <f t="shared" si="504"/>
        <v>9.2366071639358935</v>
      </c>
      <c r="F1187" s="303"/>
      <c r="G1187" s="302">
        <v>3.519042623093207</v>
      </c>
      <c r="H1187" s="302">
        <v>4.8368558786893185</v>
      </c>
      <c r="I1187" s="302">
        <v>1.9602790337994889</v>
      </c>
      <c r="J1187" s="302">
        <f t="shared" ref="J1187:J1190" si="507">SUM(G1187:I1187)</f>
        <v>10.316177535582016</v>
      </c>
      <c r="K1187" s="303"/>
      <c r="L1187" s="302">
        <v>3.204162088072652</v>
      </c>
      <c r="M1187" s="302">
        <v>5.080900255859258</v>
      </c>
      <c r="N1187" s="302">
        <v>2.2110155119300656</v>
      </c>
      <c r="O1187" s="302">
        <f t="shared" si="506"/>
        <v>10.496077855861977</v>
      </c>
    </row>
    <row r="1188" spans="1:15" s="236" customFormat="1" x14ac:dyDescent="0.3">
      <c r="A1188" s="237" t="str">
        <f>name!E$10</f>
        <v>Sales and customer service occupations</v>
      </c>
      <c r="B1188" s="302">
        <v>2.9374407990066773</v>
      </c>
      <c r="C1188" s="302">
        <v>2.7718821885818659</v>
      </c>
      <c r="D1188" s="302">
        <v>1.1884802504164556</v>
      </c>
      <c r="E1188" s="302">
        <f t="shared" si="504"/>
        <v>6.8978032380049985</v>
      </c>
      <c r="F1188" s="303"/>
      <c r="G1188" s="302">
        <v>3.0480714988155468</v>
      </c>
      <c r="H1188" s="302">
        <v>3.585660729744967</v>
      </c>
      <c r="I1188" s="302">
        <v>1.1455656434880028</v>
      </c>
      <c r="J1188" s="302">
        <f t="shared" si="507"/>
        <v>7.7792978720485166</v>
      </c>
      <c r="K1188" s="303"/>
      <c r="L1188" s="302">
        <v>2.8800534714946235</v>
      </c>
      <c r="M1188" s="302">
        <v>3.8125485696413999</v>
      </c>
      <c r="N1188" s="302">
        <v>1.0666569627652791</v>
      </c>
      <c r="O1188" s="302">
        <f t="shared" si="506"/>
        <v>7.7592590039013025</v>
      </c>
    </row>
    <row r="1189" spans="1:15" s="236" customFormat="1" x14ac:dyDescent="0.3">
      <c r="A1189" s="237" t="str">
        <f>name!E$11</f>
        <v>Process, plant and machine operatives</v>
      </c>
      <c r="B1189" s="302">
        <v>0.53097348933635069</v>
      </c>
      <c r="C1189" s="302">
        <v>0.28513815622110872</v>
      </c>
      <c r="D1189" s="302">
        <v>0.32098120833937061</v>
      </c>
      <c r="E1189" s="302">
        <f t="shared" si="504"/>
        <v>1.1370928538968301</v>
      </c>
      <c r="F1189" s="303"/>
      <c r="G1189" s="302">
        <v>0.37341318724247663</v>
      </c>
      <c r="H1189" s="302">
        <v>0.40658254608180427</v>
      </c>
      <c r="I1189" s="302">
        <v>0.40303981416425971</v>
      </c>
      <c r="J1189" s="302">
        <f t="shared" si="507"/>
        <v>1.1830355474885406</v>
      </c>
      <c r="K1189" s="303"/>
      <c r="L1189" s="302">
        <v>0.35288943355025315</v>
      </c>
      <c r="M1189" s="302">
        <v>0.52553949484041995</v>
      </c>
      <c r="N1189" s="302">
        <v>0.45809259286195969</v>
      </c>
      <c r="O1189" s="302">
        <f t="shared" si="506"/>
        <v>1.3365215212526329</v>
      </c>
    </row>
    <row r="1190" spans="1:15" s="236" customFormat="1" x14ac:dyDescent="0.3">
      <c r="A1190" s="237" t="str">
        <f>name!E$12</f>
        <v>Elementary occupations</v>
      </c>
      <c r="B1190" s="302">
        <v>2.2394954573539407</v>
      </c>
      <c r="C1190" s="302">
        <v>8.0241023372985936</v>
      </c>
      <c r="D1190" s="302">
        <v>0.74997253259889274</v>
      </c>
      <c r="E1190" s="302">
        <f t="shared" si="504"/>
        <v>11.013570327251427</v>
      </c>
      <c r="F1190" s="303"/>
      <c r="G1190" s="302">
        <v>1.7297319488285414</v>
      </c>
      <c r="H1190" s="302">
        <v>7.6610426725352623</v>
      </c>
      <c r="I1190" s="302">
        <v>0.72650882101185188</v>
      </c>
      <c r="J1190" s="302">
        <f t="shared" si="507"/>
        <v>10.117283442375655</v>
      </c>
      <c r="K1190" s="303"/>
      <c r="L1190" s="302">
        <v>1.425692357774734</v>
      </c>
      <c r="M1190" s="302">
        <v>5.937131978006458</v>
      </c>
      <c r="N1190" s="302">
        <v>0.77365049296915589</v>
      </c>
      <c r="O1190" s="302">
        <f t="shared" si="506"/>
        <v>8.1364748287503481</v>
      </c>
    </row>
    <row r="1191" spans="1:15" s="236" customFormat="1" x14ac:dyDescent="0.3">
      <c r="A1191" s="237"/>
      <c r="B1191" s="302"/>
      <c r="C1191" s="302"/>
      <c r="D1191" s="302"/>
      <c r="E1191" s="302"/>
      <c r="F1191" s="303"/>
      <c r="G1191" s="302"/>
      <c r="H1191" s="302"/>
      <c r="I1191" s="302"/>
      <c r="J1191" s="302"/>
      <c r="K1191" s="303"/>
      <c r="L1191" s="302"/>
      <c r="M1191" s="302"/>
      <c r="N1191" s="302"/>
      <c r="O1191" s="302"/>
    </row>
    <row r="1192" spans="1:15" s="236" customFormat="1" x14ac:dyDescent="0.3">
      <c r="A1192" s="244" t="s">
        <v>32</v>
      </c>
      <c r="B1192" s="311">
        <f>SUM(B1182:B1190)</f>
        <v>52.824999999638642</v>
      </c>
      <c r="C1192" s="311">
        <f t="shared" ref="C1192:E1192" si="508">SUM(C1182:C1190)</f>
        <v>35.808000000211322</v>
      </c>
      <c r="D1192" s="311">
        <f t="shared" si="508"/>
        <v>79.130000001717477</v>
      </c>
      <c r="E1192" s="311">
        <f t="shared" si="508"/>
        <v>167.76300000156741</v>
      </c>
      <c r="F1192" s="311"/>
      <c r="G1192" s="311">
        <f t="shared" ref="G1192:J1192" si="509">SUM(G1182:G1190)</f>
        <v>56.915999999928125</v>
      </c>
      <c r="H1192" s="311">
        <f t="shared" si="509"/>
        <v>43.698000000079311</v>
      </c>
      <c r="I1192" s="311">
        <f t="shared" si="509"/>
        <v>97.784000000760443</v>
      </c>
      <c r="J1192" s="311">
        <f t="shared" si="509"/>
        <v>198.39800000076787</v>
      </c>
      <c r="K1192" s="311"/>
      <c r="L1192" s="311">
        <f t="shared" ref="L1192:O1192" si="510">SUM(L1182:L1190)</f>
        <v>56.752000000176999</v>
      </c>
      <c r="M1192" s="311">
        <f t="shared" si="510"/>
        <v>46.607999999900102</v>
      </c>
      <c r="N1192" s="311">
        <f t="shared" si="510"/>
        <v>98.090000002892126</v>
      </c>
      <c r="O1192" s="311">
        <f t="shared" si="510"/>
        <v>201.45000000296923</v>
      </c>
    </row>
    <row r="1193" spans="1:15" s="236" customFormat="1" x14ac:dyDescent="0.3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37"/>
      <c r="M1193" s="237"/>
      <c r="N1193" s="240"/>
    </row>
    <row r="1194" spans="1:15" s="236" customFormat="1" x14ac:dyDescent="0.3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37"/>
      <c r="M1194" s="237"/>
      <c r="N1194" s="240"/>
      <c r="O1194" s="251" t="s">
        <v>35</v>
      </c>
    </row>
    <row r="1195" spans="1:15" s="236" customFormat="1" x14ac:dyDescent="0.3">
      <c r="A1195" s="242"/>
      <c r="B1195" s="242"/>
      <c r="C1195" s="242"/>
      <c r="D1195" s="242"/>
      <c r="E1195" s="242"/>
      <c r="F1195" s="242"/>
      <c r="G1195" s="242"/>
      <c r="H1195" s="242"/>
      <c r="I1195" s="242"/>
      <c r="J1195" s="242"/>
      <c r="K1195" s="242"/>
      <c r="L1195" s="242"/>
      <c r="M1195" s="242"/>
      <c r="N1195" s="242"/>
      <c r="O1195" s="242"/>
    </row>
    <row r="1196" spans="1:15" s="236" customFormat="1" x14ac:dyDescent="0.3">
      <c r="A1196" s="241" t="str">
        <f>name!A73</f>
        <v>Libraries, etc</v>
      </c>
      <c r="B1196" s="375">
        <f>$B$6</f>
        <v>2015</v>
      </c>
      <c r="C1196" s="375"/>
      <c r="D1196" s="375"/>
      <c r="E1196" s="375"/>
      <c r="F1196" s="263"/>
      <c r="G1196" s="375">
        <f>$G$6</f>
        <v>2020</v>
      </c>
      <c r="H1196" s="375"/>
      <c r="I1196" s="375"/>
      <c r="J1196" s="375"/>
      <c r="K1196" s="263"/>
      <c r="L1196" s="375">
        <f>$L$6</f>
        <v>2035</v>
      </c>
      <c r="M1196" s="375"/>
      <c r="N1196" s="375"/>
      <c r="O1196" s="375"/>
    </row>
    <row r="1197" spans="1:15" s="236" customFormat="1" x14ac:dyDescent="0.3">
      <c r="A1197" s="254"/>
      <c r="B1197" s="268" t="str">
        <f>$B$7</f>
        <v>FT</v>
      </c>
      <c r="C1197" s="268" t="str">
        <f>$C$7</f>
        <v>PT</v>
      </c>
      <c r="D1197" s="268" t="str">
        <f>$D$7</f>
        <v>SE</v>
      </c>
      <c r="E1197" s="268" t="str">
        <f>$E$7</f>
        <v>Total</v>
      </c>
      <c r="F1197" s="268"/>
      <c r="G1197" s="268" t="str">
        <f>$G$7</f>
        <v>FT</v>
      </c>
      <c r="H1197" s="268" t="str">
        <f>$H$7</f>
        <v>PT</v>
      </c>
      <c r="I1197" s="268" t="str">
        <f>$I$7</f>
        <v>SE</v>
      </c>
      <c r="J1197" s="268" t="str">
        <f>$J$7</f>
        <v>Total</v>
      </c>
      <c r="K1197" s="268"/>
      <c r="L1197" s="268" t="str">
        <f>$L$7</f>
        <v>FT</v>
      </c>
      <c r="M1197" s="268" t="str">
        <f>$M$7</f>
        <v>PT</v>
      </c>
      <c r="N1197" s="268" t="str">
        <f>$N$7</f>
        <v>SE</v>
      </c>
      <c r="O1197" s="268" t="str">
        <f>$O$7</f>
        <v>Total</v>
      </c>
    </row>
    <row r="1198" spans="1:15" s="236" customFormat="1" x14ac:dyDescent="0.3">
      <c r="A1198" s="258"/>
      <c r="B1198" s="239"/>
      <c r="C1198" s="239"/>
      <c r="D1198" s="239"/>
      <c r="E1198" s="239"/>
      <c r="F1198" s="239"/>
      <c r="G1198" s="239"/>
      <c r="H1198" s="239"/>
      <c r="I1198" s="239"/>
      <c r="J1198" s="239"/>
      <c r="K1198" s="239"/>
      <c r="L1198" s="239"/>
      <c r="M1198" s="239"/>
      <c r="N1198" s="239"/>
      <c r="O1198" s="239"/>
    </row>
    <row r="1199" spans="1:15" s="236" customFormat="1" x14ac:dyDescent="0.3">
      <c r="A1199" s="237" t="str">
        <f>name!E$4</f>
        <v>Managers, directors and senior officials</v>
      </c>
      <c r="B1199" s="302">
        <v>8.9447998408363159</v>
      </c>
      <c r="C1199" s="302">
        <v>2.7981009597262556</v>
      </c>
      <c r="D1199" s="302">
        <v>5.3487835142516609</v>
      </c>
      <c r="E1199" s="302">
        <f>SUM(B1199:D1199)</f>
        <v>17.091684314814231</v>
      </c>
      <c r="F1199" s="303"/>
      <c r="G1199" s="302">
        <v>7.6189490629172969</v>
      </c>
      <c r="H1199" s="302">
        <v>4.4502744801117151</v>
      </c>
      <c r="I1199" s="302">
        <v>6.6241466641613824</v>
      </c>
      <c r="J1199" s="302">
        <f>SUM(G1199:I1199)</f>
        <v>18.693370207190394</v>
      </c>
      <c r="K1199" s="303"/>
      <c r="L1199" s="302">
        <v>8.5685612962436686</v>
      </c>
      <c r="M1199" s="302">
        <v>6.4714966516298293</v>
      </c>
      <c r="N1199" s="302">
        <v>7.6914140350465416</v>
      </c>
      <c r="O1199" s="302">
        <f>SUM(L1199:N1199)</f>
        <v>22.731471982920041</v>
      </c>
    </row>
    <row r="1200" spans="1:15" s="236" customFormat="1" x14ac:dyDescent="0.3">
      <c r="A1200" s="237" t="str">
        <f>name!E$5</f>
        <v>Professional occupations</v>
      </c>
      <c r="B1200" s="302">
        <v>10.46077020366404</v>
      </c>
      <c r="C1200" s="302">
        <v>3.9052380573978991</v>
      </c>
      <c r="D1200" s="302">
        <v>15.634775499088857</v>
      </c>
      <c r="E1200" s="302">
        <f t="shared" ref="E1200:E1207" si="511">SUM(B1200:D1200)</f>
        <v>30.000783760150796</v>
      </c>
      <c r="F1200" s="303"/>
      <c r="G1200" s="302">
        <v>11.005891260291143</v>
      </c>
      <c r="H1200" s="302">
        <v>6.2337814850826003</v>
      </c>
      <c r="I1200" s="302">
        <v>16.263471421011388</v>
      </c>
      <c r="J1200" s="302">
        <f t="shared" ref="J1200:J1202" si="512">SUM(G1200:I1200)</f>
        <v>33.503144166385134</v>
      </c>
      <c r="K1200" s="303"/>
      <c r="L1200" s="302">
        <v>12.550863816874486</v>
      </c>
      <c r="M1200" s="302">
        <v>8.10232628987292</v>
      </c>
      <c r="N1200" s="302">
        <v>14.232401510279946</v>
      </c>
      <c r="O1200" s="302">
        <f t="shared" ref="O1200:O1207" si="513">SUM(L1200:N1200)</f>
        <v>34.885591617027352</v>
      </c>
    </row>
    <row r="1201" spans="1:15" s="236" customFormat="1" x14ac:dyDescent="0.3">
      <c r="A1201" s="237" t="str">
        <f>name!E$6</f>
        <v>Associate professional occupations</v>
      </c>
      <c r="B1201" s="302">
        <v>12.604716305083794</v>
      </c>
      <c r="C1201" s="302">
        <v>6.6394726852638213</v>
      </c>
      <c r="D1201" s="302">
        <v>47.073007568280502</v>
      </c>
      <c r="E1201" s="302">
        <f t="shared" si="511"/>
        <v>66.317196558628126</v>
      </c>
      <c r="F1201" s="303"/>
      <c r="G1201" s="302">
        <v>11.059382359483207</v>
      </c>
      <c r="H1201" s="302">
        <v>8.4100911816359947</v>
      </c>
      <c r="I1201" s="302">
        <v>53.970882427799459</v>
      </c>
      <c r="J1201" s="302">
        <f t="shared" si="512"/>
        <v>73.440355968918652</v>
      </c>
      <c r="K1201" s="303"/>
      <c r="L1201" s="302">
        <v>11.456334590759397</v>
      </c>
      <c r="M1201" s="302">
        <v>9.2869723271518119</v>
      </c>
      <c r="N1201" s="302">
        <v>55.724160192759896</v>
      </c>
      <c r="O1201" s="302">
        <f t="shared" si="513"/>
        <v>76.467467110671109</v>
      </c>
    </row>
    <row r="1202" spans="1:15" s="236" customFormat="1" x14ac:dyDescent="0.3">
      <c r="A1202" s="237" t="str">
        <f>name!E$7</f>
        <v>Administrative and secretarial occupations</v>
      </c>
      <c r="B1202" s="302">
        <v>7.2287968963237761</v>
      </c>
      <c r="C1202" s="302">
        <v>11.225289476469852</v>
      </c>
      <c r="D1202" s="302">
        <v>1.3377118792337019</v>
      </c>
      <c r="E1202" s="302">
        <f t="shared" si="511"/>
        <v>19.791798252027331</v>
      </c>
      <c r="F1202" s="303"/>
      <c r="G1202" s="302">
        <v>5.6109174481804756</v>
      </c>
      <c r="H1202" s="302">
        <v>12.644014706892737</v>
      </c>
      <c r="I1202" s="302">
        <v>1.5356174452693803</v>
      </c>
      <c r="J1202" s="302">
        <f t="shared" si="512"/>
        <v>19.790549600342594</v>
      </c>
      <c r="K1202" s="303"/>
      <c r="L1202" s="302">
        <v>4.8193297504101222</v>
      </c>
      <c r="M1202" s="302">
        <v>11.417369802446167</v>
      </c>
      <c r="N1202" s="302">
        <v>1.0296570132565397</v>
      </c>
      <c r="O1202" s="302">
        <f t="shared" si="513"/>
        <v>17.26635656611283</v>
      </c>
    </row>
    <row r="1203" spans="1:15" s="236" customFormat="1" x14ac:dyDescent="0.3">
      <c r="A1203" s="237" t="str">
        <f>name!E$8</f>
        <v>Skilled trades occupations</v>
      </c>
      <c r="B1203" s="302">
        <v>6.5644395195512519</v>
      </c>
      <c r="C1203" s="302">
        <v>1.7540615668124162</v>
      </c>
      <c r="D1203" s="302">
        <v>8.1374922505081653</v>
      </c>
      <c r="E1203" s="302">
        <f t="shared" si="511"/>
        <v>16.455993336871835</v>
      </c>
      <c r="F1203" s="303"/>
      <c r="G1203" s="302">
        <v>4.1180542300557681</v>
      </c>
      <c r="H1203" s="302">
        <v>2.0128125466005664</v>
      </c>
      <c r="I1203" s="302">
        <v>9.140522847019005</v>
      </c>
      <c r="J1203" s="302">
        <f>SUM(G1203:I1203)</f>
        <v>15.27138962367534</v>
      </c>
      <c r="K1203" s="303"/>
      <c r="L1203" s="302">
        <v>3.7878766749039898</v>
      </c>
      <c r="M1203" s="302">
        <v>3.0891025556427603</v>
      </c>
      <c r="N1203" s="302">
        <v>11.182711455563261</v>
      </c>
      <c r="O1203" s="302">
        <f t="shared" si="513"/>
        <v>18.059690686110009</v>
      </c>
    </row>
    <row r="1204" spans="1:15" s="236" customFormat="1" x14ac:dyDescent="0.3">
      <c r="A1204" s="237" t="str">
        <f>name!E$9</f>
        <v>Caring, leisure and other service occupations</v>
      </c>
      <c r="B1204" s="302">
        <v>4.523675721176641</v>
      </c>
      <c r="C1204" s="302">
        <v>6.201620769607131</v>
      </c>
      <c r="D1204" s="302">
        <v>1.4733409499449546</v>
      </c>
      <c r="E1204" s="302">
        <f t="shared" si="511"/>
        <v>12.198637440728728</v>
      </c>
      <c r="F1204" s="303"/>
      <c r="G1204" s="302">
        <v>3.1772375750501998</v>
      </c>
      <c r="H1204" s="302">
        <v>6.731568219784684</v>
      </c>
      <c r="I1204" s="302">
        <v>2.1188735182110054</v>
      </c>
      <c r="J1204" s="302">
        <f t="shared" ref="J1204:J1207" si="514">SUM(G1204:I1204)</f>
        <v>12.027679313045889</v>
      </c>
      <c r="K1204" s="303"/>
      <c r="L1204" s="302">
        <v>3.1264097724485773</v>
      </c>
      <c r="M1204" s="302">
        <v>7.0724737499174202</v>
      </c>
      <c r="N1204" s="302">
        <v>2.339567942935536</v>
      </c>
      <c r="O1204" s="302">
        <f t="shared" si="513"/>
        <v>12.538451465301534</v>
      </c>
    </row>
    <row r="1205" spans="1:15" s="236" customFormat="1" x14ac:dyDescent="0.3">
      <c r="A1205" s="237" t="str">
        <f>name!E$10</f>
        <v>Sales and customer service occupations</v>
      </c>
      <c r="B1205" s="302">
        <v>3.4513351380856707</v>
      </c>
      <c r="C1205" s="302">
        <v>3.8852554621454694</v>
      </c>
      <c r="D1205" s="302">
        <v>1.1919468617794755</v>
      </c>
      <c r="E1205" s="302">
        <f t="shared" si="511"/>
        <v>8.5285374620106165</v>
      </c>
      <c r="F1205" s="303"/>
      <c r="G1205" s="302">
        <v>2.5710076684974967</v>
      </c>
      <c r="H1205" s="302">
        <v>4.6762626450277329</v>
      </c>
      <c r="I1205" s="302">
        <v>1.0183752725192992</v>
      </c>
      <c r="J1205" s="302">
        <f t="shared" si="514"/>
        <v>8.2656455860445277</v>
      </c>
      <c r="K1205" s="303"/>
      <c r="L1205" s="302">
        <v>2.7322105698811838</v>
      </c>
      <c r="M1205" s="302">
        <v>5.0606945163329717</v>
      </c>
      <c r="N1205" s="302">
        <v>0.94269235221699932</v>
      </c>
      <c r="O1205" s="302">
        <f t="shared" si="513"/>
        <v>8.7355974384311548</v>
      </c>
    </row>
    <row r="1206" spans="1:15" s="236" customFormat="1" x14ac:dyDescent="0.3">
      <c r="A1206" s="237" t="str">
        <f>name!E$11</f>
        <v>Process, plant and machine operatives</v>
      </c>
      <c r="B1206" s="302">
        <v>0.84003175883499559</v>
      </c>
      <c r="C1206" s="302">
        <v>0.38067708092394426</v>
      </c>
      <c r="D1206" s="302">
        <v>0.36940076196519739</v>
      </c>
      <c r="E1206" s="302">
        <f t="shared" si="511"/>
        <v>1.5901096017241372</v>
      </c>
      <c r="F1206" s="303"/>
      <c r="G1206" s="302">
        <v>0.43638498503876749</v>
      </c>
      <c r="H1206" s="302">
        <v>0.50784065426114611</v>
      </c>
      <c r="I1206" s="302">
        <v>0.40974881514372125</v>
      </c>
      <c r="J1206" s="302">
        <f t="shared" si="514"/>
        <v>1.3539744544436347</v>
      </c>
      <c r="K1206" s="303"/>
      <c r="L1206" s="302">
        <v>0.47115190557823378</v>
      </c>
      <c r="M1206" s="302">
        <v>0.74524791988964623</v>
      </c>
      <c r="N1206" s="302">
        <v>0.49016707698427459</v>
      </c>
      <c r="O1206" s="302">
        <f t="shared" si="513"/>
        <v>1.7065669024521546</v>
      </c>
    </row>
    <row r="1207" spans="1:15" s="236" customFormat="1" x14ac:dyDescent="0.3">
      <c r="A1207" s="237" t="str">
        <f>name!E$12</f>
        <v>Elementary occupations</v>
      </c>
      <c r="B1207" s="302">
        <v>3.2454346160906611</v>
      </c>
      <c r="C1207" s="302">
        <v>11.702283941963861</v>
      </c>
      <c r="D1207" s="302">
        <v>1.0215407165223689</v>
      </c>
      <c r="E1207" s="302">
        <f t="shared" si="511"/>
        <v>15.96925927457689</v>
      </c>
      <c r="F1207" s="303"/>
      <c r="G1207" s="302">
        <v>1.8351754103782116</v>
      </c>
      <c r="H1207" s="302">
        <v>11.279354080824978</v>
      </c>
      <c r="I1207" s="302">
        <v>0.79736158876705499</v>
      </c>
      <c r="J1207" s="302">
        <f t="shared" si="514"/>
        <v>13.911891079970244</v>
      </c>
      <c r="K1207" s="303"/>
      <c r="L1207" s="302">
        <v>1.6742616230471796</v>
      </c>
      <c r="M1207" s="302">
        <v>9.9223161870011971</v>
      </c>
      <c r="N1207" s="302">
        <v>0.91022842321671282</v>
      </c>
      <c r="O1207" s="302">
        <f t="shared" si="513"/>
        <v>12.50680623326509</v>
      </c>
    </row>
    <row r="1208" spans="1:15" s="236" customFormat="1" x14ac:dyDescent="0.3">
      <c r="A1208" s="237"/>
      <c r="B1208" s="302"/>
      <c r="C1208" s="302"/>
      <c r="D1208" s="302"/>
      <c r="E1208" s="302"/>
      <c r="F1208" s="303"/>
      <c r="G1208" s="302"/>
      <c r="H1208" s="302"/>
      <c r="I1208" s="302"/>
      <c r="J1208" s="302"/>
      <c r="K1208" s="303"/>
      <c r="L1208" s="302"/>
      <c r="M1208" s="302"/>
      <c r="N1208" s="302"/>
      <c r="O1208" s="302"/>
    </row>
    <row r="1209" spans="1:15" s="236" customFormat="1" x14ac:dyDescent="0.3">
      <c r="A1209" s="244" t="s">
        <v>32</v>
      </c>
      <c r="B1209" s="311">
        <f>SUM(B1199:B1207)</f>
        <v>57.863999999647149</v>
      </c>
      <c r="C1209" s="311">
        <f t="shared" ref="C1209:E1209" si="515">SUM(C1199:C1207)</f>
        <v>48.492000000310661</v>
      </c>
      <c r="D1209" s="311">
        <f t="shared" si="515"/>
        <v>81.588000001574869</v>
      </c>
      <c r="E1209" s="311">
        <f t="shared" si="515"/>
        <v>187.94400000153271</v>
      </c>
      <c r="F1209" s="311"/>
      <c r="G1209" s="311">
        <f t="shared" ref="G1209:J1209" si="516">SUM(G1199:G1207)</f>
        <v>47.432999999892566</v>
      </c>
      <c r="H1209" s="311">
        <f t="shared" si="516"/>
        <v>56.946000000222156</v>
      </c>
      <c r="I1209" s="311">
        <f t="shared" si="516"/>
        <v>91.87899999990168</v>
      </c>
      <c r="J1209" s="311">
        <f t="shared" si="516"/>
        <v>196.25800000001641</v>
      </c>
      <c r="K1209" s="311"/>
      <c r="L1209" s="311">
        <f t="shared" ref="L1209:O1209" si="517">SUM(L1199:L1207)</f>
        <v>49.187000000146831</v>
      </c>
      <c r="M1209" s="311">
        <f t="shared" si="517"/>
        <v>61.167999999884728</v>
      </c>
      <c r="N1209" s="311">
        <f t="shared" si="517"/>
        <v>94.543000002259703</v>
      </c>
      <c r="O1209" s="311">
        <f t="shared" si="517"/>
        <v>204.89800000229124</v>
      </c>
    </row>
    <row r="1210" spans="1:15" s="236" customFormat="1" x14ac:dyDescent="0.3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37"/>
      <c r="M1210" s="237"/>
      <c r="N1210" s="240"/>
    </row>
    <row r="1211" spans="1:15" s="236" customFormat="1" x14ac:dyDescent="0.3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37"/>
      <c r="M1211" s="237"/>
      <c r="N1211" s="240"/>
      <c r="O1211" s="251" t="s">
        <v>35</v>
      </c>
    </row>
    <row r="1212" spans="1:15" s="236" customFormat="1" x14ac:dyDescent="0.3">
      <c r="A1212" s="242"/>
      <c r="B1212" s="242"/>
      <c r="C1212" s="242"/>
      <c r="D1212" s="242"/>
      <c r="E1212" s="242"/>
      <c r="F1212" s="242"/>
      <c r="G1212" s="242"/>
      <c r="H1212" s="242"/>
      <c r="I1212" s="242"/>
      <c r="J1212" s="242"/>
      <c r="K1212" s="242"/>
      <c r="L1212" s="242"/>
      <c r="M1212" s="242"/>
      <c r="N1212" s="242"/>
      <c r="O1212" s="242"/>
    </row>
    <row r="1213" spans="1:15" s="236" customFormat="1" x14ac:dyDescent="0.3">
      <c r="A1213" s="241" t="str">
        <f>name!A74</f>
        <v>Gambling and betting</v>
      </c>
      <c r="B1213" s="375">
        <f>$B$6</f>
        <v>2015</v>
      </c>
      <c r="C1213" s="375"/>
      <c r="D1213" s="375"/>
      <c r="E1213" s="375"/>
      <c r="F1213" s="263"/>
      <c r="G1213" s="375">
        <f>$G$6</f>
        <v>2020</v>
      </c>
      <c r="H1213" s="375"/>
      <c r="I1213" s="375"/>
      <c r="J1213" s="375"/>
      <c r="K1213" s="263"/>
      <c r="L1213" s="375">
        <f>$L$6</f>
        <v>2035</v>
      </c>
      <c r="M1213" s="375"/>
      <c r="N1213" s="375"/>
      <c r="O1213" s="375"/>
    </row>
    <row r="1214" spans="1:15" s="236" customFormat="1" x14ac:dyDescent="0.3">
      <c r="A1214" s="254"/>
      <c r="B1214" s="268" t="str">
        <f>$B$7</f>
        <v>FT</v>
      </c>
      <c r="C1214" s="268" t="str">
        <f>$C$7</f>
        <v>PT</v>
      </c>
      <c r="D1214" s="268" t="str">
        <f>$D$7</f>
        <v>SE</v>
      </c>
      <c r="E1214" s="268" t="str">
        <f>$E$7</f>
        <v>Total</v>
      </c>
      <c r="F1214" s="268"/>
      <c r="G1214" s="268" t="str">
        <f>$G$7</f>
        <v>FT</v>
      </c>
      <c r="H1214" s="268" t="str">
        <f>$H$7</f>
        <v>PT</v>
      </c>
      <c r="I1214" s="268" t="str">
        <f>$I$7</f>
        <v>SE</v>
      </c>
      <c r="J1214" s="268" t="str">
        <f>$J$7</f>
        <v>Total</v>
      </c>
      <c r="K1214" s="268"/>
      <c r="L1214" s="268" t="str">
        <f>$L$7</f>
        <v>FT</v>
      </c>
      <c r="M1214" s="268" t="str">
        <f>$M$7</f>
        <v>PT</v>
      </c>
      <c r="N1214" s="268" t="str">
        <f>$N$7</f>
        <v>SE</v>
      </c>
      <c r="O1214" s="268" t="str">
        <f>$O$7</f>
        <v>Total</v>
      </c>
    </row>
    <row r="1215" spans="1:15" s="236" customFormat="1" x14ac:dyDescent="0.3">
      <c r="A1215" s="258"/>
      <c r="B1215" s="239"/>
      <c r="C1215" s="239"/>
      <c r="D1215" s="239"/>
      <c r="E1215" s="239"/>
      <c r="F1215" s="239"/>
      <c r="G1215" s="239"/>
      <c r="H1215" s="239"/>
      <c r="I1215" s="239"/>
      <c r="J1215" s="239"/>
      <c r="K1215" s="239"/>
      <c r="L1215" s="239"/>
      <c r="M1215" s="239"/>
      <c r="N1215" s="239"/>
      <c r="O1215" s="239"/>
    </row>
    <row r="1216" spans="1:15" s="236" customFormat="1" x14ac:dyDescent="0.3">
      <c r="A1216" s="237" t="str">
        <f>name!E$4</f>
        <v>Managers, directors and senior officials</v>
      </c>
      <c r="B1216" s="302">
        <v>8.7261216521942657</v>
      </c>
      <c r="C1216" s="302">
        <v>1.6327416247063318</v>
      </c>
      <c r="D1216" s="302">
        <v>1.0184347525016195</v>
      </c>
      <c r="E1216" s="302">
        <f>SUM(B1216:D1216)</f>
        <v>11.377298029402217</v>
      </c>
      <c r="F1216" s="303"/>
      <c r="G1216" s="302">
        <v>7.5723478758215661</v>
      </c>
      <c r="H1216" s="302">
        <v>2.1017527360387249</v>
      </c>
      <c r="I1216" s="302">
        <v>1.014887346813482</v>
      </c>
      <c r="J1216" s="302">
        <f>SUM(G1216:I1216)</f>
        <v>10.688987958673774</v>
      </c>
      <c r="K1216" s="303"/>
      <c r="L1216" s="302">
        <v>9.0709004090796146</v>
      </c>
      <c r="M1216" s="302">
        <v>3.5239959033634505</v>
      </c>
      <c r="N1216" s="302">
        <v>1.3700788896390621</v>
      </c>
      <c r="O1216" s="302">
        <f>SUM(L1216:N1216)</f>
        <v>13.964975202082128</v>
      </c>
    </row>
    <row r="1217" spans="1:15" s="236" customFormat="1" x14ac:dyDescent="0.3">
      <c r="A1217" s="237" t="str">
        <f>name!E$5</f>
        <v>Professional occupations</v>
      </c>
      <c r="B1217" s="302">
        <v>9.7299353663590544</v>
      </c>
      <c r="C1217" s="302">
        <v>2.9998059013734149</v>
      </c>
      <c r="D1217" s="302">
        <v>2.8938293133076645</v>
      </c>
      <c r="E1217" s="302">
        <f t="shared" ref="E1217:E1224" si="518">SUM(B1217:D1217)</f>
        <v>15.623570581040134</v>
      </c>
      <c r="F1217" s="303"/>
      <c r="G1217" s="302">
        <v>9.862487324441183</v>
      </c>
      <c r="H1217" s="302">
        <v>4.1757773369528604</v>
      </c>
      <c r="I1217" s="302">
        <v>2.6304582058455681</v>
      </c>
      <c r="J1217" s="302">
        <f t="shared" ref="J1217:J1219" si="519">SUM(G1217:I1217)</f>
        <v>16.668722867239612</v>
      </c>
      <c r="K1217" s="303"/>
      <c r="L1217" s="302">
        <v>12.48702177916944</v>
      </c>
      <c r="M1217" s="302">
        <v>6.6901067844446551</v>
      </c>
      <c r="N1217" s="302">
        <v>3.1505631363774373</v>
      </c>
      <c r="O1217" s="302">
        <f t="shared" ref="O1217:O1224" si="520">SUM(L1217:N1217)</f>
        <v>22.327691699991533</v>
      </c>
    </row>
    <row r="1218" spans="1:15" s="236" customFormat="1" x14ac:dyDescent="0.3">
      <c r="A1218" s="237" t="str">
        <f>name!E$6</f>
        <v>Associate professional occupations</v>
      </c>
      <c r="B1218" s="302">
        <v>13.519668081912114</v>
      </c>
      <c r="C1218" s="302">
        <v>5.650581066417705</v>
      </c>
      <c r="D1218" s="302">
        <v>9.0189524696201087</v>
      </c>
      <c r="E1218" s="302">
        <f t="shared" si="518"/>
        <v>28.189201617949927</v>
      </c>
      <c r="F1218" s="303"/>
      <c r="G1218" s="302">
        <v>12.41048306708762</v>
      </c>
      <c r="H1218" s="302">
        <v>5.9045219862957019</v>
      </c>
      <c r="I1218" s="302">
        <v>8.2185538743049253</v>
      </c>
      <c r="J1218" s="302">
        <f t="shared" si="519"/>
        <v>26.533558927688247</v>
      </c>
      <c r="K1218" s="303"/>
      <c r="L1218" s="302">
        <v>14.631106865516861</v>
      </c>
      <c r="M1218" s="302">
        <v>6.7407772991877879</v>
      </c>
      <c r="N1218" s="302">
        <v>10.9036441674053</v>
      </c>
      <c r="O1218" s="302">
        <f t="shared" si="520"/>
        <v>32.27552833210995</v>
      </c>
    </row>
    <row r="1219" spans="1:15" s="236" customFormat="1" x14ac:dyDescent="0.3">
      <c r="A1219" s="237" t="str">
        <f>name!E$7</f>
        <v>Administrative and secretarial occupations</v>
      </c>
      <c r="B1219" s="302">
        <v>6.14723823031078</v>
      </c>
      <c r="C1219" s="302">
        <v>7.3056171339328948</v>
      </c>
      <c r="D1219" s="302">
        <v>0.26959821215455537</v>
      </c>
      <c r="E1219" s="302">
        <f t="shared" si="518"/>
        <v>13.72245357639823</v>
      </c>
      <c r="F1219" s="303"/>
      <c r="G1219" s="302">
        <v>5.0978182908480667</v>
      </c>
      <c r="H1219" s="302">
        <v>7.0855820500386901</v>
      </c>
      <c r="I1219" s="302">
        <v>0.192218098084423</v>
      </c>
      <c r="J1219" s="302">
        <f t="shared" si="519"/>
        <v>12.375618438971179</v>
      </c>
      <c r="K1219" s="303"/>
      <c r="L1219" s="302">
        <v>5.2189649722570755</v>
      </c>
      <c r="M1219" s="302">
        <v>7.082907390177736</v>
      </c>
      <c r="N1219" s="302">
        <v>0.18148309207049565</v>
      </c>
      <c r="O1219" s="302">
        <f t="shared" si="520"/>
        <v>12.483355454505306</v>
      </c>
    </row>
    <row r="1220" spans="1:15" s="236" customFormat="1" x14ac:dyDescent="0.3">
      <c r="A1220" s="237" t="str">
        <f>name!E$8</f>
        <v>Skilled trades occupations</v>
      </c>
      <c r="B1220" s="302">
        <v>7.1858199961155762</v>
      </c>
      <c r="C1220" s="302">
        <v>2.3984236311238809</v>
      </c>
      <c r="D1220" s="302">
        <v>1.5086053914818389</v>
      </c>
      <c r="E1220" s="302">
        <f t="shared" si="518"/>
        <v>11.092849018721296</v>
      </c>
      <c r="F1220" s="303"/>
      <c r="G1220" s="302">
        <v>5.1828401974894023</v>
      </c>
      <c r="H1220" s="302">
        <v>1.7140522932059297</v>
      </c>
      <c r="I1220" s="302">
        <v>1.3012303865895938</v>
      </c>
      <c r="J1220" s="302">
        <f>SUM(G1220:I1220)</f>
        <v>8.1981228772849253</v>
      </c>
      <c r="K1220" s="303"/>
      <c r="L1220" s="302">
        <v>4.4339012234728896</v>
      </c>
      <c r="M1220" s="302">
        <v>2.7103264104367146</v>
      </c>
      <c r="N1220" s="302">
        <v>1.8028040699787498</v>
      </c>
      <c r="O1220" s="302">
        <f t="shared" si="520"/>
        <v>8.9470317038883547</v>
      </c>
    </row>
    <row r="1221" spans="1:15" s="236" customFormat="1" x14ac:dyDescent="0.3">
      <c r="A1221" s="237" t="str">
        <f>name!E$9</f>
        <v>Caring, leisure and other service occupations</v>
      </c>
      <c r="B1221" s="302">
        <v>4.0875997738793206</v>
      </c>
      <c r="C1221" s="302">
        <v>5.5164906812168271</v>
      </c>
      <c r="D1221" s="302">
        <v>0.29714861037892742</v>
      </c>
      <c r="E1221" s="302">
        <f t="shared" si="518"/>
        <v>9.9012390654750764</v>
      </c>
      <c r="F1221" s="303"/>
      <c r="G1221" s="302">
        <v>3.2006299617067713</v>
      </c>
      <c r="H1221" s="302">
        <v>4.6237404475731951</v>
      </c>
      <c r="I1221" s="302">
        <v>0.27190204997023948</v>
      </c>
      <c r="J1221" s="302">
        <f t="shared" ref="J1221:J1224" si="521">SUM(G1221:I1221)</f>
        <v>8.0962724592502067</v>
      </c>
      <c r="K1221" s="303"/>
      <c r="L1221" s="302">
        <v>3.5333526117148546</v>
      </c>
      <c r="M1221" s="302">
        <v>5.8131019218756022</v>
      </c>
      <c r="N1221" s="302">
        <v>0.36575546477755555</v>
      </c>
      <c r="O1221" s="302">
        <f t="shared" si="520"/>
        <v>9.7122099983680119</v>
      </c>
    </row>
    <row r="1222" spans="1:15" s="236" customFormat="1" x14ac:dyDescent="0.3">
      <c r="A1222" s="237" t="str">
        <f>name!E$10</f>
        <v>Sales and customer service occupations</v>
      </c>
      <c r="B1222" s="302">
        <v>3.1649262371791567</v>
      </c>
      <c r="C1222" s="302">
        <v>4.103058672640743</v>
      </c>
      <c r="D1222" s="302">
        <v>0.23357920945470456</v>
      </c>
      <c r="E1222" s="302">
        <f t="shared" si="518"/>
        <v>7.5015641192746045</v>
      </c>
      <c r="F1222" s="303"/>
      <c r="G1222" s="302">
        <v>2.5318547169907601</v>
      </c>
      <c r="H1222" s="302">
        <v>3.6560355059652623</v>
      </c>
      <c r="I1222" s="302">
        <v>0.15695841088740931</v>
      </c>
      <c r="J1222" s="302">
        <f t="shared" si="521"/>
        <v>6.3448486338434318</v>
      </c>
      <c r="K1222" s="303"/>
      <c r="L1222" s="302">
        <v>3.1791329509640018</v>
      </c>
      <c r="M1222" s="302">
        <v>4.7743880493242061</v>
      </c>
      <c r="N1222" s="302">
        <v>0.17010304668030504</v>
      </c>
      <c r="O1222" s="302">
        <f t="shared" si="520"/>
        <v>8.1236240469685121</v>
      </c>
    </row>
    <row r="1223" spans="1:15" s="236" customFormat="1" x14ac:dyDescent="0.3">
      <c r="A1223" s="237" t="str">
        <f>name!E$11</f>
        <v>Process, plant and machine operatives</v>
      </c>
      <c r="B1223" s="302">
        <v>0.91462079200542734</v>
      </c>
      <c r="C1223" s="302">
        <v>0.58969212320025133</v>
      </c>
      <c r="D1223" s="302">
        <v>6.4194639647579155E-2</v>
      </c>
      <c r="E1223" s="302">
        <f t="shared" si="518"/>
        <v>1.5685075548532579</v>
      </c>
      <c r="F1223" s="303"/>
      <c r="G1223" s="302">
        <v>0.63127176144704755</v>
      </c>
      <c r="H1223" s="302">
        <v>0.50870203285803728</v>
      </c>
      <c r="I1223" s="302">
        <v>6.2240584694689245E-2</v>
      </c>
      <c r="J1223" s="302">
        <f t="shared" si="521"/>
        <v>1.2022143789997739</v>
      </c>
      <c r="K1223" s="303"/>
      <c r="L1223" s="302">
        <v>0.63593198812577889</v>
      </c>
      <c r="M1223" s="302">
        <v>0.75270040466236288</v>
      </c>
      <c r="N1223" s="302">
        <v>9.7847299513081021E-2</v>
      </c>
      <c r="O1223" s="302">
        <f t="shared" si="520"/>
        <v>1.4864796923012229</v>
      </c>
    </row>
    <row r="1224" spans="1:15" s="236" customFormat="1" x14ac:dyDescent="0.3">
      <c r="A1224" s="237" t="str">
        <f>name!E$12</f>
        <v>Elementary occupations</v>
      </c>
      <c r="B1224" s="302">
        <v>3.417069869734275</v>
      </c>
      <c r="C1224" s="302">
        <v>10.362589165681241</v>
      </c>
      <c r="D1224" s="302">
        <v>0.19865740171815788</v>
      </c>
      <c r="E1224" s="302">
        <f t="shared" si="518"/>
        <v>13.978316437133675</v>
      </c>
      <c r="F1224" s="303"/>
      <c r="G1224" s="302">
        <v>2.4482668040977424</v>
      </c>
      <c r="H1224" s="302">
        <v>7.5108356111622827</v>
      </c>
      <c r="I1224" s="302">
        <v>0.11455104293030741</v>
      </c>
      <c r="J1224" s="302">
        <f t="shared" si="521"/>
        <v>10.073653458190332</v>
      </c>
      <c r="K1224" s="303"/>
      <c r="L1224" s="302">
        <v>2.2436871998200565</v>
      </c>
      <c r="M1224" s="302">
        <v>6.6376958365110648</v>
      </c>
      <c r="N1224" s="302">
        <v>0.15372083425960648</v>
      </c>
      <c r="O1224" s="302">
        <f t="shared" si="520"/>
        <v>9.0351038705907278</v>
      </c>
    </row>
    <row r="1225" spans="1:15" s="236" customFormat="1" x14ac:dyDescent="0.3">
      <c r="A1225" s="237"/>
      <c r="B1225" s="302"/>
      <c r="C1225" s="302"/>
      <c r="D1225" s="302"/>
      <c r="E1225" s="302"/>
      <c r="F1225" s="303"/>
      <c r="G1225" s="302"/>
      <c r="H1225" s="302"/>
      <c r="I1225" s="302"/>
      <c r="J1225" s="302"/>
      <c r="K1225" s="303"/>
      <c r="L1225" s="302"/>
      <c r="M1225" s="302"/>
      <c r="N1225" s="302"/>
      <c r="O1225" s="302"/>
    </row>
    <row r="1226" spans="1:15" s="236" customFormat="1" x14ac:dyDescent="0.3">
      <c r="A1226" s="244" t="s">
        <v>32</v>
      </c>
      <c r="B1226" s="311">
        <f>SUM(B1216:B1224)</f>
        <v>56.892999999689977</v>
      </c>
      <c r="C1226" s="311">
        <f t="shared" ref="C1226:E1226" si="522">SUM(C1216:C1224)</f>
        <v>40.559000000293288</v>
      </c>
      <c r="D1226" s="311">
        <f t="shared" si="522"/>
        <v>15.503000000265157</v>
      </c>
      <c r="E1226" s="311">
        <f t="shared" si="522"/>
        <v>112.95500000024842</v>
      </c>
      <c r="F1226" s="311"/>
      <c r="G1226" s="311">
        <f t="shared" ref="G1226:J1226" si="523">SUM(G1216:G1224)</f>
        <v>48.937999999930163</v>
      </c>
      <c r="H1226" s="311">
        <f t="shared" si="523"/>
        <v>37.281000000090685</v>
      </c>
      <c r="I1226" s="311">
        <f t="shared" si="523"/>
        <v>13.963000000120639</v>
      </c>
      <c r="J1226" s="311">
        <f t="shared" si="523"/>
        <v>100.18200000014147</v>
      </c>
      <c r="K1226" s="311"/>
      <c r="L1226" s="311">
        <f t="shared" ref="L1226:O1226" si="524">SUM(L1216:L1224)</f>
        <v>55.434000000120569</v>
      </c>
      <c r="M1226" s="311">
        <f t="shared" si="524"/>
        <v>44.725999999983578</v>
      </c>
      <c r="N1226" s="311">
        <f t="shared" si="524"/>
        <v>18.196000000701591</v>
      </c>
      <c r="O1226" s="311">
        <f t="shared" si="524"/>
        <v>118.35600000080574</v>
      </c>
    </row>
    <row r="1227" spans="1:15" s="236" customFormat="1" x14ac:dyDescent="0.3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37"/>
      <c r="M1227" s="237"/>
      <c r="N1227" s="240"/>
    </row>
    <row r="1228" spans="1:15" s="236" customFormat="1" x14ac:dyDescent="0.3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37"/>
      <c r="M1228" s="237"/>
      <c r="N1228" s="240"/>
      <c r="O1228" s="251" t="s">
        <v>35</v>
      </c>
    </row>
    <row r="1229" spans="1:15" s="236" customFormat="1" x14ac:dyDescent="0.3">
      <c r="A1229" s="242"/>
      <c r="B1229" s="242"/>
      <c r="C1229" s="242"/>
      <c r="D1229" s="242"/>
      <c r="E1229" s="242"/>
      <c r="F1229" s="242"/>
      <c r="G1229" s="242"/>
      <c r="H1229" s="242"/>
      <c r="I1229" s="242"/>
      <c r="J1229" s="242"/>
      <c r="K1229" s="242"/>
      <c r="L1229" s="242"/>
      <c r="M1229" s="242"/>
      <c r="N1229" s="242"/>
      <c r="O1229" s="242"/>
    </row>
    <row r="1230" spans="1:15" s="236" customFormat="1" x14ac:dyDescent="0.3">
      <c r="A1230" s="241" t="str">
        <f>name!A75</f>
        <v>Sport and recreation</v>
      </c>
      <c r="B1230" s="375">
        <f>$B$6</f>
        <v>2015</v>
      </c>
      <c r="C1230" s="375"/>
      <c r="D1230" s="375"/>
      <c r="E1230" s="375"/>
      <c r="F1230" s="263"/>
      <c r="G1230" s="375">
        <f>$G$6</f>
        <v>2020</v>
      </c>
      <c r="H1230" s="375"/>
      <c r="I1230" s="375"/>
      <c r="J1230" s="375"/>
      <c r="K1230" s="263"/>
      <c r="L1230" s="375">
        <f>$L$6</f>
        <v>2035</v>
      </c>
      <c r="M1230" s="375"/>
      <c r="N1230" s="375"/>
      <c r="O1230" s="375"/>
    </row>
    <row r="1231" spans="1:15" s="236" customFormat="1" x14ac:dyDescent="0.3">
      <c r="A1231" s="254"/>
      <c r="B1231" s="268" t="str">
        <f>$B$7</f>
        <v>FT</v>
      </c>
      <c r="C1231" s="268" t="str">
        <f>$C$7</f>
        <v>PT</v>
      </c>
      <c r="D1231" s="268" t="str">
        <f>$D$7</f>
        <v>SE</v>
      </c>
      <c r="E1231" s="268" t="str">
        <f>$E$7</f>
        <v>Total</v>
      </c>
      <c r="F1231" s="268"/>
      <c r="G1231" s="268" t="str">
        <f>$G$7</f>
        <v>FT</v>
      </c>
      <c r="H1231" s="268" t="str">
        <f>$H$7</f>
        <v>PT</v>
      </c>
      <c r="I1231" s="268" t="str">
        <f>$I$7</f>
        <v>SE</v>
      </c>
      <c r="J1231" s="268" t="str">
        <f>$J$7</f>
        <v>Total</v>
      </c>
      <c r="K1231" s="268"/>
      <c r="L1231" s="268" t="str">
        <f>$L$7</f>
        <v>FT</v>
      </c>
      <c r="M1231" s="268" t="str">
        <f>$M$7</f>
        <v>PT</v>
      </c>
      <c r="N1231" s="268" t="str">
        <f>$N$7</f>
        <v>SE</v>
      </c>
      <c r="O1231" s="268" t="str">
        <f>$O$7</f>
        <v>Total</v>
      </c>
    </row>
    <row r="1232" spans="1:15" s="236" customFormat="1" x14ac:dyDescent="0.3">
      <c r="A1232" s="258"/>
      <c r="B1232" s="239"/>
      <c r="C1232" s="239"/>
      <c r="D1232" s="239"/>
      <c r="E1232" s="239"/>
      <c r="F1232" s="239"/>
      <c r="G1232" s="239"/>
      <c r="H1232" s="239"/>
      <c r="I1232" s="239"/>
      <c r="J1232" s="239"/>
      <c r="K1232" s="239"/>
      <c r="L1232" s="239"/>
      <c r="M1232" s="239"/>
      <c r="N1232" s="239"/>
      <c r="O1232" s="239"/>
    </row>
    <row r="1233" spans="1:15" s="236" customFormat="1" x14ac:dyDescent="0.3">
      <c r="A1233" s="237" t="str">
        <f>name!E$4</f>
        <v>Managers, directors and senior officials</v>
      </c>
      <c r="B1233" s="302">
        <v>28.642840739962455</v>
      </c>
      <c r="C1233" s="302">
        <v>13.247203921804909</v>
      </c>
      <c r="D1233" s="302">
        <v>5.6948780225739846</v>
      </c>
      <c r="E1233" s="302">
        <f>SUM(B1233:D1233)</f>
        <v>47.58492268434135</v>
      </c>
      <c r="F1233" s="303"/>
      <c r="G1233" s="302">
        <v>30.365519445080949</v>
      </c>
      <c r="H1233" s="302">
        <v>18.081851417951981</v>
      </c>
      <c r="I1233" s="302">
        <v>5.9845079510257193</v>
      </c>
      <c r="J1233" s="302">
        <f>SUM(G1233:I1233)</f>
        <v>54.431878814058649</v>
      </c>
      <c r="K1233" s="303"/>
      <c r="L1233" s="302">
        <v>37.619013079252241</v>
      </c>
      <c r="M1233" s="302">
        <v>29.606863564075159</v>
      </c>
      <c r="N1233" s="302">
        <v>8.1662846520908428</v>
      </c>
      <c r="O1233" s="302">
        <f>SUM(L1233:N1233)</f>
        <v>75.392161295418234</v>
      </c>
    </row>
    <row r="1234" spans="1:15" s="236" customFormat="1" x14ac:dyDescent="0.3">
      <c r="A1234" s="237" t="str">
        <f>name!E$5</f>
        <v>Professional occupations</v>
      </c>
      <c r="B1234" s="302">
        <v>30.341788852126392</v>
      </c>
      <c r="C1234" s="302">
        <v>18.707417452451352</v>
      </c>
      <c r="D1234" s="302">
        <v>15.12367816796116</v>
      </c>
      <c r="E1234" s="302">
        <f t="shared" ref="E1234:E1241" si="525">SUM(B1234:D1234)</f>
        <v>64.172884472538897</v>
      </c>
      <c r="F1234" s="303"/>
      <c r="G1234" s="302">
        <v>37.13023499548585</v>
      </c>
      <c r="H1234" s="302">
        <v>25.469924377302583</v>
      </c>
      <c r="I1234" s="302">
        <v>14.974193328956542</v>
      </c>
      <c r="J1234" s="302">
        <f t="shared" ref="J1234:J1236" si="526">SUM(G1234:I1234)</f>
        <v>77.574352701744971</v>
      </c>
      <c r="K1234" s="303"/>
      <c r="L1234" s="302">
        <v>45.862522957729318</v>
      </c>
      <c r="M1234" s="302">
        <v>38.35741053702418</v>
      </c>
      <c r="N1234" s="302">
        <v>18.197692823500919</v>
      </c>
      <c r="O1234" s="302">
        <f t="shared" ref="O1234:O1241" si="527">SUM(L1234:N1234)</f>
        <v>102.41762631825441</v>
      </c>
    </row>
    <row r="1235" spans="1:15" s="236" customFormat="1" x14ac:dyDescent="0.3">
      <c r="A1235" s="237" t="str">
        <f>name!E$6</f>
        <v>Associate professional occupations</v>
      </c>
      <c r="B1235" s="302">
        <v>35.699599136706766</v>
      </c>
      <c r="C1235" s="302">
        <v>32.986896486662026</v>
      </c>
      <c r="D1235" s="302">
        <v>45.759838639194307</v>
      </c>
      <c r="E1235" s="302">
        <f t="shared" si="525"/>
        <v>114.44633426256308</v>
      </c>
      <c r="F1235" s="303"/>
      <c r="G1235" s="302">
        <v>39.233115078004047</v>
      </c>
      <c r="H1235" s="302">
        <v>34.648200087140985</v>
      </c>
      <c r="I1235" s="302">
        <v>46.022238151801325</v>
      </c>
      <c r="J1235" s="302">
        <f t="shared" si="526"/>
        <v>119.90355331694636</v>
      </c>
      <c r="K1235" s="303"/>
      <c r="L1235" s="302">
        <v>43.710598628809485</v>
      </c>
      <c r="M1235" s="302">
        <v>40.933943306933884</v>
      </c>
      <c r="N1235" s="302">
        <v>61.620460369408001</v>
      </c>
      <c r="O1235" s="302">
        <f t="shared" si="527"/>
        <v>146.26500230515137</v>
      </c>
    </row>
    <row r="1236" spans="1:15" s="236" customFormat="1" x14ac:dyDescent="0.3">
      <c r="A1236" s="237" t="str">
        <f>name!E$7</f>
        <v>Administrative and secretarial occupations</v>
      </c>
      <c r="B1236" s="302">
        <v>21.4237938025041</v>
      </c>
      <c r="C1236" s="302">
        <v>50.089451855893536</v>
      </c>
      <c r="D1236" s="302">
        <v>1.3095385631196259</v>
      </c>
      <c r="E1236" s="302">
        <f t="shared" si="525"/>
        <v>72.822784221517267</v>
      </c>
      <c r="F1236" s="303"/>
      <c r="G1236" s="302">
        <v>19.872432455746122</v>
      </c>
      <c r="H1236" s="302">
        <v>49.264010988988083</v>
      </c>
      <c r="I1236" s="302">
        <v>1.0561034607114084</v>
      </c>
      <c r="J1236" s="302">
        <f t="shared" si="526"/>
        <v>70.19254690544561</v>
      </c>
      <c r="K1236" s="303"/>
      <c r="L1236" s="302">
        <v>18.78782324110573</v>
      </c>
      <c r="M1236" s="302">
        <v>48.190692275884274</v>
      </c>
      <c r="N1236" s="302">
        <v>1.1107961958125181</v>
      </c>
      <c r="O1236" s="302">
        <f t="shared" si="527"/>
        <v>68.089311712802512</v>
      </c>
    </row>
    <row r="1237" spans="1:15" s="236" customFormat="1" x14ac:dyDescent="0.3">
      <c r="A1237" s="237" t="str">
        <f>name!E$8</f>
        <v>Skilled trades occupations</v>
      </c>
      <c r="B1237" s="302">
        <v>20.042936095129239</v>
      </c>
      <c r="C1237" s="302">
        <v>11.794206966601951</v>
      </c>
      <c r="D1237" s="302">
        <v>8.3717139199094444</v>
      </c>
      <c r="E1237" s="302">
        <f t="shared" si="525"/>
        <v>40.208856981640636</v>
      </c>
      <c r="F1237" s="303"/>
      <c r="G1237" s="302">
        <v>18.28674456942403</v>
      </c>
      <c r="H1237" s="302">
        <v>9.4803460946313418</v>
      </c>
      <c r="I1237" s="302">
        <v>7.6834839704672788</v>
      </c>
      <c r="J1237" s="302">
        <f>SUM(G1237:I1237)</f>
        <v>35.450574634522653</v>
      </c>
      <c r="K1237" s="303"/>
      <c r="L1237" s="302">
        <v>16.723473247216635</v>
      </c>
      <c r="M1237" s="302">
        <v>16.366541437981041</v>
      </c>
      <c r="N1237" s="302">
        <v>10.807271913380648</v>
      </c>
      <c r="O1237" s="302">
        <f t="shared" si="527"/>
        <v>43.897286598578319</v>
      </c>
    </row>
    <row r="1238" spans="1:15" s="236" customFormat="1" x14ac:dyDescent="0.3">
      <c r="A1238" s="237" t="str">
        <f>name!E$9</f>
        <v>Caring, leisure and other service occupations</v>
      </c>
      <c r="B1238" s="302">
        <v>20.274873779559609</v>
      </c>
      <c r="C1238" s="302">
        <v>37.45125136464619</v>
      </c>
      <c r="D1238" s="302">
        <v>4.4901935229722696</v>
      </c>
      <c r="E1238" s="302">
        <f t="shared" si="525"/>
        <v>62.216318667178065</v>
      </c>
      <c r="F1238" s="303"/>
      <c r="G1238" s="302">
        <v>17.798979669687547</v>
      </c>
      <c r="H1238" s="302">
        <v>31.855426271897642</v>
      </c>
      <c r="I1238" s="302">
        <v>4.3501354447351082</v>
      </c>
      <c r="J1238" s="302">
        <f t="shared" ref="J1238:J1241" si="528">SUM(G1238:I1238)</f>
        <v>54.004541386320298</v>
      </c>
      <c r="K1238" s="303"/>
      <c r="L1238" s="302">
        <v>19.359934970231869</v>
      </c>
      <c r="M1238" s="302">
        <v>36.669362954465619</v>
      </c>
      <c r="N1238" s="302">
        <v>5.0494874231378644</v>
      </c>
      <c r="O1238" s="302">
        <f t="shared" si="527"/>
        <v>61.07878534783535</v>
      </c>
    </row>
    <row r="1239" spans="1:15" s="236" customFormat="1" x14ac:dyDescent="0.3">
      <c r="A1239" s="237" t="str">
        <f>name!E$10</f>
        <v>Sales and customer service occupations</v>
      </c>
      <c r="B1239" s="302">
        <v>10.579589100374433</v>
      </c>
      <c r="C1239" s="302">
        <v>22.37529479531009</v>
      </c>
      <c r="D1239" s="302">
        <v>1.3002367081504052</v>
      </c>
      <c r="E1239" s="302">
        <f t="shared" si="525"/>
        <v>34.255120603834932</v>
      </c>
      <c r="F1239" s="303"/>
      <c r="G1239" s="302">
        <v>9.8232607408391566</v>
      </c>
      <c r="H1239" s="302">
        <v>21.17568554838364</v>
      </c>
      <c r="I1239" s="302">
        <v>0.98217691145955077</v>
      </c>
      <c r="J1239" s="302">
        <f t="shared" si="528"/>
        <v>31.981123200682347</v>
      </c>
      <c r="K1239" s="303"/>
      <c r="L1239" s="302">
        <v>11.753218263859477</v>
      </c>
      <c r="M1239" s="302">
        <v>26.764469123600584</v>
      </c>
      <c r="N1239" s="302">
        <v>1.0583508656039395</v>
      </c>
      <c r="O1239" s="302">
        <f t="shared" si="527"/>
        <v>39.576038253063999</v>
      </c>
    </row>
    <row r="1240" spans="1:15" s="236" customFormat="1" x14ac:dyDescent="0.3">
      <c r="A1240" s="237" t="str">
        <f>name!E$11</f>
        <v>Process, plant and machine operatives</v>
      </c>
      <c r="B1240" s="302">
        <v>3.2188979581578452</v>
      </c>
      <c r="C1240" s="302">
        <v>3.1288793306925062</v>
      </c>
      <c r="D1240" s="302">
        <v>0.42235352722595304</v>
      </c>
      <c r="E1240" s="302">
        <f t="shared" si="525"/>
        <v>6.7701308160763043</v>
      </c>
      <c r="F1240" s="303"/>
      <c r="G1240" s="302">
        <v>2.6768183671899655</v>
      </c>
      <c r="H1240" s="302">
        <v>2.7683324177890247</v>
      </c>
      <c r="I1240" s="302">
        <v>0.43979900407593142</v>
      </c>
      <c r="J1240" s="302">
        <f t="shared" si="528"/>
        <v>5.8849497890549216</v>
      </c>
      <c r="K1240" s="303"/>
      <c r="L1240" s="302">
        <v>2.8529441422713142</v>
      </c>
      <c r="M1240" s="302">
        <v>3.9052043014329199</v>
      </c>
      <c r="N1240" s="302">
        <v>0.67389698432023348</v>
      </c>
      <c r="O1240" s="302">
        <f t="shared" si="527"/>
        <v>7.4320454280244679</v>
      </c>
    </row>
    <row r="1241" spans="1:15" s="236" customFormat="1" x14ac:dyDescent="0.3">
      <c r="A1241" s="237" t="str">
        <f>name!E$12</f>
        <v>Elementary occupations</v>
      </c>
      <c r="B1241" s="302">
        <v>10.86568053444814</v>
      </c>
      <c r="C1241" s="302">
        <v>58.638397827585834</v>
      </c>
      <c r="D1241" s="302">
        <v>1.3015689305742353</v>
      </c>
      <c r="E1241" s="302">
        <f t="shared" si="525"/>
        <v>70.805647292608214</v>
      </c>
      <c r="F1241" s="303"/>
      <c r="G1241" s="302">
        <v>9.0268946779188415</v>
      </c>
      <c r="H1241" s="302">
        <v>45.822222796934881</v>
      </c>
      <c r="I1241" s="302">
        <v>0.88536177736558874</v>
      </c>
      <c r="J1241" s="302">
        <f t="shared" si="528"/>
        <v>55.734479252219309</v>
      </c>
      <c r="K1241" s="303"/>
      <c r="L1241" s="302">
        <v>8.4774714697560096</v>
      </c>
      <c r="M1241" s="302">
        <v>40.247512498571879</v>
      </c>
      <c r="N1241" s="302">
        <v>1.1857587766511359</v>
      </c>
      <c r="O1241" s="302">
        <f t="shared" si="527"/>
        <v>49.910742744979025</v>
      </c>
    </row>
    <row r="1242" spans="1:15" s="236" customFormat="1" x14ac:dyDescent="0.3">
      <c r="A1242" s="237"/>
      <c r="B1242" s="302"/>
      <c r="C1242" s="302"/>
      <c r="D1242" s="302"/>
      <c r="E1242" s="302"/>
      <c r="F1242" s="303"/>
      <c r="G1242" s="302"/>
      <c r="H1242" s="302"/>
      <c r="I1242" s="302"/>
      <c r="J1242" s="302"/>
      <c r="K1242" s="303"/>
      <c r="L1242" s="302"/>
      <c r="M1242" s="302"/>
      <c r="N1242" s="302"/>
      <c r="O1242" s="302"/>
    </row>
    <row r="1243" spans="1:15" s="236" customFormat="1" x14ac:dyDescent="0.3">
      <c r="A1243" s="244" t="s">
        <v>32</v>
      </c>
      <c r="B1243" s="311">
        <f>SUM(B1233:B1241)</f>
        <v>181.08999999896898</v>
      </c>
      <c r="C1243" s="311">
        <f t="shared" ref="C1243:E1243" si="529">SUM(C1233:C1241)</f>
        <v>248.41900000164839</v>
      </c>
      <c r="D1243" s="311">
        <f t="shared" si="529"/>
        <v>83.774000001681387</v>
      </c>
      <c r="E1243" s="311">
        <f t="shared" si="529"/>
        <v>513.28300000229876</v>
      </c>
      <c r="F1243" s="311"/>
      <c r="G1243" s="311">
        <f t="shared" ref="G1243:J1243" si="530">SUM(G1233:G1241)</f>
        <v>184.21399999937648</v>
      </c>
      <c r="H1243" s="311">
        <f t="shared" si="530"/>
        <v>238.56600000102014</v>
      </c>
      <c r="I1243" s="311">
        <f t="shared" si="530"/>
        <v>82.378000000598448</v>
      </c>
      <c r="J1243" s="311">
        <f t="shared" si="530"/>
        <v>505.15800000099512</v>
      </c>
      <c r="K1243" s="311"/>
      <c r="L1243" s="311">
        <f t="shared" ref="L1243:O1243" si="531">SUM(L1233:L1241)</f>
        <v>205.14700000023214</v>
      </c>
      <c r="M1243" s="311">
        <f t="shared" si="531"/>
        <v>281.04199999996951</v>
      </c>
      <c r="N1243" s="311">
        <f t="shared" si="531"/>
        <v>107.8700000039061</v>
      </c>
      <c r="O1243" s="311">
        <f t="shared" si="531"/>
        <v>594.0590000041077</v>
      </c>
    </row>
    <row r="1244" spans="1:15" s="236" customFormat="1" x14ac:dyDescent="0.3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37"/>
      <c r="M1244" s="237"/>
      <c r="N1244" s="240"/>
    </row>
    <row r="1245" spans="1:15" s="236" customFormat="1" x14ac:dyDescent="0.3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37"/>
      <c r="M1245" s="237"/>
      <c r="N1245" s="240"/>
      <c r="O1245" s="251" t="s">
        <v>35</v>
      </c>
    </row>
    <row r="1246" spans="1:15" s="236" customFormat="1" x14ac:dyDescent="0.3">
      <c r="A1246" s="242"/>
      <c r="B1246" s="242"/>
      <c r="C1246" s="242"/>
      <c r="D1246" s="242"/>
      <c r="E1246" s="242"/>
      <c r="F1246" s="242"/>
      <c r="G1246" s="242"/>
      <c r="H1246" s="242"/>
      <c r="I1246" s="242"/>
      <c r="J1246" s="242"/>
      <c r="K1246" s="242"/>
      <c r="L1246" s="242"/>
      <c r="M1246" s="242"/>
      <c r="N1246" s="242"/>
      <c r="O1246" s="242"/>
    </row>
    <row r="1247" spans="1:15" s="236" customFormat="1" x14ac:dyDescent="0.3">
      <c r="A1247" s="241" t="str">
        <f>name!A76</f>
        <v>Membership organisations</v>
      </c>
      <c r="B1247" s="375">
        <f>$B$6</f>
        <v>2015</v>
      </c>
      <c r="C1247" s="375"/>
      <c r="D1247" s="375"/>
      <c r="E1247" s="375"/>
      <c r="F1247" s="263"/>
      <c r="G1247" s="375">
        <f>$G$6</f>
        <v>2020</v>
      </c>
      <c r="H1247" s="375"/>
      <c r="I1247" s="375"/>
      <c r="J1247" s="375"/>
      <c r="K1247" s="263"/>
      <c r="L1247" s="375">
        <f>$L$6</f>
        <v>2035</v>
      </c>
      <c r="M1247" s="375"/>
      <c r="N1247" s="375"/>
      <c r="O1247" s="375"/>
    </row>
    <row r="1248" spans="1:15" s="236" customFormat="1" x14ac:dyDescent="0.3">
      <c r="A1248" s="254"/>
      <c r="B1248" s="268" t="str">
        <f>$B$7</f>
        <v>FT</v>
      </c>
      <c r="C1248" s="268" t="str">
        <f>$C$7</f>
        <v>PT</v>
      </c>
      <c r="D1248" s="268" t="str">
        <f>$D$7</f>
        <v>SE</v>
      </c>
      <c r="E1248" s="268" t="str">
        <f>$E$7</f>
        <v>Total</v>
      </c>
      <c r="F1248" s="268"/>
      <c r="G1248" s="268" t="str">
        <f>$G$7</f>
        <v>FT</v>
      </c>
      <c r="H1248" s="268" t="str">
        <f>$H$7</f>
        <v>PT</v>
      </c>
      <c r="I1248" s="268" t="str">
        <f>$I$7</f>
        <v>SE</v>
      </c>
      <c r="J1248" s="268" t="str">
        <f>$J$7</f>
        <v>Total</v>
      </c>
      <c r="K1248" s="268"/>
      <c r="L1248" s="268" t="str">
        <f>$L$7</f>
        <v>FT</v>
      </c>
      <c r="M1248" s="268" t="str">
        <f>$M$7</f>
        <v>PT</v>
      </c>
      <c r="N1248" s="268" t="str">
        <f>$N$7</f>
        <v>SE</v>
      </c>
      <c r="O1248" s="268" t="str">
        <f>$O$7</f>
        <v>Total</v>
      </c>
    </row>
    <row r="1249" spans="1:15" s="236" customFormat="1" x14ac:dyDescent="0.3">
      <c r="A1249" s="258"/>
      <c r="B1249" s="239"/>
      <c r="C1249" s="239"/>
      <c r="D1249" s="239"/>
      <c r="E1249" s="239"/>
      <c r="F1249" s="239"/>
      <c r="G1249" s="239"/>
      <c r="H1249" s="239"/>
      <c r="I1249" s="239"/>
      <c r="J1249" s="239"/>
      <c r="K1249" s="239"/>
      <c r="L1249" s="239"/>
      <c r="M1249" s="239"/>
      <c r="N1249" s="239"/>
      <c r="O1249" s="239"/>
    </row>
    <row r="1250" spans="1:15" s="236" customFormat="1" x14ac:dyDescent="0.3">
      <c r="A1250" s="237" t="str">
        <f>name!E$4</f>
        <v>Managers, directors and senior officials</v>
      </c>
      <c r="B1250" s="302">
        <v>21.194010878264294</v>
      </c>
      <c r="C1250" s="302">
        <v>6.4441197547926636</v>
      </c>
      <c r="D1250" s="302">
        <v>8.0378342150453257</v>
      </c>
      <c r="E1250" s="302">
        <f>SUM(B1250:D1250)</f>
        <v>35.675964848102282</v>
      </c>
      <c r="F1250" s="303"/>
      <c r="G1250" s="302">
        <v>19.840681290443719</v>
      </c>
      <c r="H1250" s="302">
        <v>8.7832706544106625</v>
      </c>
      <c r="I1250" s="302">
        <v>9.7836464831940972</v>
      </c>
      <c r="J1250" s="302">
        <f>SUM(G1250:I1250)</f>
        <v>38.40759842804848</v>
      </c>
      <c r="K1250" s="303"/>
      <c r="L1250" s="302">
        <v>21.307114225601055</v>
      </c>
      <c r="M1250" s="302">
        <v>11.390778519048196</v>
      </c>
      <c r="N1250" s="302">
        <v>9.8433518930086645</v>
      </c>
      <c r="O1250" s="302">
        <f>SUM(L1250:N1250)</f>
        <v>42.541244637657918</v>
      </c>
    </row>
    <row r="1251" spans="1:15" s="236" customFormat="1" x14ac:dyDescent="0.3">
      <c r="A1251" s="237" t="str">
        <f>name!E$5</f>
        <v>Professional occupations</v>
      </c>
      <c r="B1251" s="302">
        <v>71.874576401740782</v>
      </c>
      <c r="C1251" s="302">
        <v>23.797894564210889</v>
      </c>
      <c r="D1251" s="302">
        <v>46.396328071218228</v>
      </c>
      <c r="E1251" s="302">
        <f t="shared" ref="E1251:E1258" si="532">SUM(B1251:D1251)</f>
        <v>142.0687990371699</v>
      </c>
      <c r="F1251" s="303"/>
      <c r="G1251" s="302">
        <v>75.087108288170171</v>
      </c>
      <c r="H1251" s="302">
        <v>28.655477310317554</v>
      </c>
      <c r="I1251" s="302">
        <v>45.761783186753355</v>
      </c>
      <c r="J1251" s="302">
        <f t="shared" ref="J1251:J1253" si="533">SUM(G1251:I1251)</f>
        <v>149.50436878524107</v>
      </c>
      <c r="K1251" s="303"/>
      <c r="L1251" s="302">
        <v>83.823370285715527</v>
      </c>
      <c r="M1251" s="302">
        <v>32.989025588544379</v>
      </c>
      <c r="N1251" s="302">
        <v>45.554758541458185</v>
      </c>
      <c r="O1251" s="302">
        <f t="shared" ref="O1251:O1258" si="534">SUM(L1251:N1251)</f>
        <v>162.36715441571809</v>
      </c>
    </row>
    <row r="1252" spans="1:15" s="236" customFormat="1" x14ac:dyDescent="0.3">
      <c r="A1252" s="237" t="str">
        <f>name!E$6</f>
        <v>Associate professional occupations</v>
      </c>
      <c r="B1252" s="302">
        <v>27.236579993737017</v>
      </c>
      <c r="C1252" s="302">
        <v>17.155352205546514</v>
      </c>
      <c r="D1252" s="302">
        <v>22.64299668824469</v>
      </c>
      <c r="E1252" s="302">
        <f t="shared" si="532"/>
        <v>67.034928887528224</v>
      </c>
      <c r="F1252" s="303"/>
      <c r="G1252" s="302">
        <v>26.977326683709528</v>
      </c>
      <c r="H1252" s="302">
        <v>17.535783326956611</v>
      </c>
      <c r="I1252" s="302">
        <v>25.503406751528658</v>
      </c>
      <c r="J1252" s="302">
        <f t="shared" si="533"/>
        <v>70.016516762194797</v>
      </c>
      <c r="K1252" s="303"/>
      <c r="L1252" s="302">
        <v>25.292440265083531</v>
      </c>
      <c r="M1252" s="302">
        <v>17.018110212934481</v>
      </c>
      <c r="N1252" s="302">
        <v>25.573516922750141</v>
      </c>
      <c r="O1252" s="302">
        <f t="shared" si="534"/>
        <v>67.88406740076816</v>
      </c>
    </row>
    <row r="1253" spans="1:15" s="236" customFormat="1" x14ac:dyDescent="0.3">
      <c r="A1253" s="237" t="str">
        <f>name!E$7</f>
        <v>Administrative and secretarial occupations</v>
      </c>
      <c r="B1253" s="302">
        <v>30.086051655147333</v>
      </c>
      <c r="C1253" s="302">
        <v>29.535864942508738</v>
      </c>
      <c r="D1253" s="302">
        <v>11.510534919616953</v>
      </c>
      <c r="E1253" s="302">
        <f t="shared" si="532"/>
        <v>71.132451517273026</v>
      </c>
      <c r="F1253" s="303"/>
      <c r="G1253" s="302">
        <v>25.516464231313581</v>
      </c>
      <c r="H1253" s="302">
        <v>25.704800778427085</v>
      </c>
      <c r="I1253" s="302">
        <v>11.966716032854997</v>
      </c>
      <c r="J1253" s="302">
        <f t="shared" si="533"/>
        <v>63.187981042595659</v>
      </c>
      <c r="K1253" s="303"/>
      <c r="L1253" s="302">
        <v>18.620969542836182</v>
      </c>
      <c r="M1253" s="302">
        <v>20.412596945712441</v>
      </c>
      <c r="N1253" s="302">
        <v>10.093588113984492</v>
      </c>
      <c r="O1253" s="302">
        <f t="shared" si="534"/>
        <v>49.127154602533111</v>
      </c>
    </row>
    <row r="1254" spans="1:15" s="236" customFormat="1" x14ac:dyDescent="0.3">
      <c r="A1254" s="237" t="str">
        <f>name!E$8</f>
        <v>Skilled trades occupations</v>
      </c>
      <c r="B1254" s="302">
        <v>3.5537211312127952</v>
      </c>
      <c r="C1254" s="302">
        <v>3.9183488170629039</v>
      </c>
      <c r="D1254" s="302">
        <v>6.4188536824226663</v>
      </c>
      <c r="E1254" s="302">
        <f t="shared" si="532"/>
        <v>13.890923630698365</v>
      </c>
      <c r="F1254" s="303"/>
      <c r="G1254" s="302">
        <v>2.5122399987637092</v>
      </c>
      <c r="H1254" s="302">
        <v>2.8256738476738028</v>
      </c>
      <c r="I1254" s="302">
        <v>4.7777262113732233</v>
      </c>
      <c r="J1254" s="302">
        <f>SUM(G1254:I1254)</f>
        <v>10.115640057810737</v>
      </c>
      <c r="K1254" s="303"/>
      <c r="L1254" s="302">
        <v>2.5600874913483951</v>
      </c>
      <c r="M1254" s="302">
        <v>3.285618100540626</v>
      </c>
      <c r="N1254" s="302">
        <v>6.7870185380020649</v>
      </c>
      <c r="O1254" s="302">
        <f t="shared" si="534"/>
        <v>12.632724129891086</v>
      </c>
    </row>
    <row r="1255" spans="1:15" s="236" customFormat="1" x14ac:dyDescent="0.3">
      <c r="A1255" s="237" t="str">
        <f>name!E$9</f>
        <v>Caring, leisure and other service occupations</v>
      </c>
      <c r="B1255" s="302">
        <v>12.532053840088448</v>
      </c>
      <c r="C1255" s="302">
        <v>10.951739936129535</v>
      </c>
      <c r="D1255" s="302">
        <v>7.1507873383610381</v>
      </c>
      <c r="E1255" s="302">
        <f t="shared" si="532"/>
        <v>30.634581114579021</v>
      </c>
      <c r="F1255" s="303"/>
      <c r="G1255" s="302">
        <v>10.875994879165289</v>
      </c>
      <c r="H1255" s="302">
        <v>8.9816913492818635</v>
      </c>
      <c r="I1255" s="302">
        <v>8.4042074691393314</v>
      </c>
      <c r="J1255" s="302">
        <f t="shared" ref="J1255:J1258" si="535">SUM(G1255:I1255)</f>
        <v>28.26189369758648</v>
      </c>
      <c r="K1255" s="303"/>
      <c r="L1255" s="302">
        <v>10.103039923390453</v>
      </c>
      <c r="M1255" s="302">
        <v>8.0311265277693682</v>
      </c>
      <c r="N1255" s="302">
        <v>10.319454089064381</v>
      </c>
      <c r="O1255" s="302">
        <f t="shared" si="534"/>
        <v>28.4536205402242</v>
      </c>
    </row>
    <row r="1256" spans="1:15" s="236" customFormat="1" x14ac:dyDescent="0.3">
      <c r="A1256" s="237" t="str">
        <f>name!E$10</f>
        <v>Sales and customer service occupations</v>
      </c>
      <c r="B1256" s="302">
        <v>3.794872903794023</v>
      </c>
      <c r="C1256" s="302">
        <v>3.689875459171915</v>
      </c>
      <c r="D1256" s="302">
        <v>2.4883465391263564</v>
      </c>
      <c r="E1256" s="302">
        <f t="shared" si="532"/>
        <v>9.9730949020922939</v>
      </c>
      <c r="F1256" s="303"/>
      <c r="G1256" s="302">
        <v>3.1154173445438937</v>
      </c>
      <c r="H1256" s="302">
        <v>3.5064519025748297</v>
      </c>
      <c r="I1256" s="302">
        <v>1.8996755714777387</v>
      </c>
      <c r="J1256" s="302">
        <f t="shared" si="535"/>
        <v>8.5215448185964622</v>
      </c>
      <c r="K1256" s="303"/>
      <c r="L1256" s="302">
        <v>3.1941577329820312</v>
      </c>
      <c r="M1256" s="302">
        <v>3.8857261458729417</v>
      </c>
      <c r="N1256" s="302">
        <v>1.8231270205687096</v>
      </c>
      <c r="O1256" s="302">
        <f t="shared" si="534"/>
        <v>8.9030108994236823</v>
      </c>
    </row>
    <row r="1257" spans="1:15" s="236" customFormat="1" x14ac:dyDescent="0.3">
      <c r="A1257" s="237" t="str">
        <f>name!E$11</f>
        <v>Process, plant and machine operatives</v>
      </c>
      <c r="B1257" s="302">
        <v>1.4227312530105487</v>
      </c>
      <c r="C1257" s="302">
        <v>2.9253670978229116</v>
      </c>
      <c r="D1257" s="302">
        <v>2.2952626600373711</v>
      </c>
      <c r="E1257" s="302">
        <f t="shared" si="532"/>
        <v>6.6433610108708319</v>
      </c>
      <c r="F1257" s="303"/>
      <c r="G1257" s="302">
        <v>0.97175985580113644</v>
      </c>
      <c r="H1257" s="302">
        <v>2.4763254314581689</v>
      </c>
      <c r="I1257" s="302">
        <v>2.502465692972629</v>
      </c>
      <c r="J1257" s="302">
        <f t="shared" si="535"/>
        <v>5.9505509802319345</v>
      </c>
      <c r="K1257" s="303"/>
      <c r="L1257" s="302">
        <v>0.84181432600205475</v>
      </c>
      <c r="M1257" s="302">
        <v>4.7075445193129681</v>
      </c>
      <c r="N1257" s="302">
        <v>1.8595839164373835</v>
      </c>
      <c r="O1257" s="302">
        <f t="shared" si="534"/>
        <v>7.4089427617524066</v>
      </c>
    </row>
    <row r="1258" spans="1:15" s="236" customFormat="1" x14ac:dyDescent="0.3">
      <c r="A1258" s="237" t="str">
        <f>name!E$12</f>
        <v>Elementary occupations</v>
      </c>
      <c r="B1258" s="302">
        <v>3.027401940160491</v>
      </c>
      <c r="C1258" s="302">
        <v>22.594437222578986</v>
      </c>
      <c r="D1258" s="302">
        <v>9.1190558866105729</v>
      </c>
      <c r="E1258" s="302">
        <f t="shared" si="532"/>
        <v>34.740895049350051</v>
      </c>
      <c r="F1258" s="303"/>
      <c r="G1258" s="302">
        <v>2.2670074274185303</v>
      </c>
      <c r="H1258" s="302">
        <v>16.517525399032078</v>
      </c>
      <c r="I1258" s="302">
        <v>7.3053725996807346</v>
      </c>
      <c r="J1258" s="302">
        <f t="shared" si="535"/>
        <v>26.089905426131342</v>
      </c>
      <c r="K1258" s="303"/>
      <c r="L1258" s="302">
        <v>1.9910062073279253</v>
      </c>
      <c r="M1258" s="302">
        <v>9.4614734401439673</v>
      </c>
      <c r="N1258" s="302">
        <v>5.5036009674351076</v>
      </c>
      <c r="O1258" s="302">
        <f t="shared" si="534"/>
        <v>16.956080614907002</v>
      </c>
    </row>
    <row r="1259" spans="1:15" s="236" customFormat="1" x14ac:dyDescent="0.3">
      <c r="A1259" s="237"/>
      <c r="B1259" s="302"/>
      <c r="C1259" s="302"/>
      <c r="D1259" s="302"/>
      <c r="E1259" s="302"/>
      <c r="F1259" s="303"/>
      <c r="G1259" s="302"/>
      <c r="H1259" s="302"/>
      <c r="I1259" s="302"/>
      <c r="J1259" s="302"/>
      <c r="K1259" s="303"/>
      <c r="L1259" s="302"/>
      <c r="M1259" s="302"/>
      <c r="N1259" s="302"/>
      <c r="O1259" s="302"/>
    </row>
    <row r="1260" spans="1:15" s="236" customFormat="1" x14ac:dyDescent="0.3">
      <c r="A1260" s="244" t="s">
        <v>32</v>
      </c>
      <c r="B1260" s="311">
        <f>SUM(B1250:B1258)</f>
        <v>174.72199999715573</v>
      </c>
      <c r="C1260" s="311">
        <f t="shared" ref="C1260:E1260" si="536">SUM(C1250:C1258)</f>
        <v>121.01299999982506</v>
      </c>
      <c r="D1260" s="311">
        <f t="shared" si="536"/>
        <v>116.0600000006832</v>
      </c>
      <c r="E1260" s="311">
        <f t="shared" si="536"/>
        <v>411.79499999766392</v>
      </c>
      <c r="F1260" s="311"/>
      <c r="G1260" s="311">
        <f t="shared" ref="G1260:J1260" si="537">SUM(G1250:G1258)</f>
        <v>167.16399999932955</v>
      </c>
      <c r="H1260" s="311">
        <f t="shared" si="537"/>
        <v>114.98700000013264</v>
      </c>
      <c r="I1260" s="311">
        <f t="shared" si="537"/>
        <v>117.90499999897477</v>
      </c>
      <c r="J1260" s="311">
        <f t="shared" si="537"/>
        <v>400.05599999843696</v>
      </c>
      <c r="K1260" s="311"/>
      <c r="L1260" s="311">
        <f t="shared" ref="L1260:O1260" si="538">SUM(L1250:L1258)</f>
        <v>167.73400000028715</v>
      </c>
      <c r="M1260" s="311">
        <f t="shared" si="538"/>
        <v>111.18199999987938</v>
      </c>
      <c r="N1260" s="311">
        <f t="shared" si="538"/>
        <v>117.35800000270912</v>
      </c>
      <c r="O1260" s="311">
        <f t="shared" si="538"/>
        <v>396.27400000287571</v>
      </c>
    </row>
    <row r="1261" spans="1:15" s="236" customFormat="1" x14ac:dyDescent="0.3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37"/>
      <c r="M1261" s="237"/>
      <c r="N1261" s="240"/>
    </row>
    <row r="1262" spans="1:15" s="236" customFormat="1" x14ac:dyDescent="0.3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37"/>
      <c r="M1262" s="237"/>
      <c r="N1262" s="240"/>
      <c r="O1262" s="251" t="s">
        <v>35</v>
      </c>
    </row>
    <row r="1263" spans="1:15" s="236" customFormat="1" x14ac:dyDescent="0.3">
      <c r="A1263" s="242"/>
      <c r="B1263" s="242"/>
      <c r="C1263" s="242"/>
      <c r="D1263" s="242"/>
      <c r="E1263" s="242"/>
      <c r="F1263" s="242"/>
      <c r="G1263" s="242"/>
      <c r="H1263" s="242"/>
      <c r="I1263" s="242"/>
      <c r="J1263" s="242"/>
      <c r="K1263" s="242"/>
      <c r="L1263" s="242"/>
      <c r="M1263" s="242"/>
      <c r="N1263" s="242"/>
      <c r="O1263" s="242"/>
    </row>
    <row r="1264" spans="1:15" s="236" customFormat="1" x14ac:dyDescent="0.3">
      <c r="A1264" s="241" t="str">
        <f>name!A77</f>
        <v>Repair of goods</v>
      </c>
      <c r="B1264" s="375">
        <f>$B$6</f>
        <v>2015</v>
      </c>
      <c r="C1264" s="375"/>
      <c r="D1264" s="375"/>
      <c r="E1264" s="375"/>
      <c r="F1264" s="263"/>
      <c r="G1264" s="375">
        <f>$G$6</f>
        <v>2020</v>
      </c>
      <c r="H1264" s="375"/>
      <c r="I1264" s="375"/>
      <c r="J1264" s="375"/>
      <c r="K1264" s="263"/>
      <c r="L1264" s="375">
        <f>$L$6</f>
        <v>2035</v>
      </c>
      <c r="M1264" s="375"/>
      <c r="N1264" s="375"/>
      <c r="O1264" s="375"/>
    </row>
    <row r="1265" spans="1:15" s="236" customFormat="1" x14ac:dyDescent="0.3">
      <c r="A1265" s="254"/>
      <c r="B1265" s="268" t="str">
        <f>$B$7</f>
        <v>FT</v>
      </c>
      <c r="C1265" s="268" t="str">
        <f>$C$7</f>
        <v>PT</v>
      </c>
      <c r="D1265" s="268" t="str">
        <f>$D$7</f>
        <v>SE</v>
      </c>
      <c r="E1265" s="268" t="str">
        <f>$E$7</f>
        <v>Total</v>
      </c>
      <c r="F1265" s="268"/>
      <c r="G1265" s="268" t="str">
        <f>$G$7</f>
        <v>FT</v>
      </c>
      <c r="H1265" s="268" t="str">
        <f>$H$7</f>
        <v>PT</v>
      </c>
      <c r="I1265" s="268" t="str">
        <f>$I$7</f>
        <v>SE</v>
      </c>
      <c r="J1265" s="268" t="str">
        <f>$J$7</f>
        <v>Total</v>
      </c>
      <c r="K1265" s="268"/>
      <c r="L1265" s="268" t="str">
        <f>$L$7</f>
        <v>FT</v>
      </c>
      <c r="M1265" s="268" t="str">
        <f>$M$7</f>
        <v>PT</v>
      </c>
      <c r="N1265" s="268" t="str">
        <f>$N$7</f>
        <v>SE</v>
      </c>
      <c r="O1265" s="268" t="str">
        <f>$O$7</f>
        <v>Total</v>
      </c>
    </row>
    <row r="1266" spans="1:15" s="236" customFormat="1" x14ac:dyDescent="0.3">
      <c r="A1266" s="258"/>
      <c r="B1266" s="239"/>
      <c r="C1266" s="239"/>
      <c r="D1266" s="239"/>
      <c r="E1266" s="239"/>
      <c r="F1266" s="239"/>
      <c r="G1266" s="239"/>
      <c r="H1266" s="239"/>
      <c r="I1266" s="239"/>
      <c r="J1266" s="239"/>
      <c r="K1266" s="239"/>
      <c r="L1266" s="239"/>
      <c r="M1266" s="239"/>
      <c r="N1266" s="239"/>
      <c r="O1266" s="239"/>
    </row>
    <row r="1267" spans="1:15" s="236" customFormat="1" x14ac:dyDescent="0.3">
      <c r="A1267" s="237" t="str">
        <f>name!E$4</f>
        <v>Managers, directors and senior officials</v>
      </c>
      <c r="B1267" s="302">
        <v>6.9811209219507706</v>
      </c>
      <c r="C1267" s="302">
        <v>0.14130647825284265</v>
      </c>
      <c r="D1267" s="302">
        <v>7.9561699463057503</v>
      </c>
      <c r="E1267" s="302">
        <f>SUM(B1267:D1267)</f>
        <v>15.078597346509364</v>
      </c>
      <c r="F1267" s="303"/>
      <c r="G1267" s="302">
        <v>7.1622948420491408</v>
      </c>
      <c r="H1267" s="302">
        <v>0.31757848302615449</v>
      </c>
      <c r="I1267" s="302">
        <v>15.395912913109289</v>
      </c>
      <c r="J1267" s="302">
        <f>SUM(G1267:I1267)</f>
        <v>22.875786238184585</v>
      </c>
      <c r="K1267" s="303"/>
      <c r="L1267" s="302">
        <v>8.0438453564447645</v>
      </c>
      <c r="M1267" s="302">
        <v>0.38333414839298935</v>
      </c>
      <c r="N1267" s="302">
        <v>17.477111040271421</v>
      </c>
      <c r="O1267" s="302">
        <f>SUM(L1267:N1267)</f>
        <v>25.904290545109177</v>
      </c>
    </row>
    <row r="1268" spans="1:15" s="236" customFormat="1" x14ac:dyDescent="0.3">
      <c r="A1268" s="237" t="str">
        <f>name!E$5</f>
        <v>Professional occupations</v>
      </c>
      <c r="B1268" s="302">
        <v>9.0501341793777197</v>
      </c>
      <c r="C1268" s="302">
        <v>0.22759266965172112</v>
      </c>
      <c r="D1268" s="302">
        <v>3.9481209127951162</v>
      </c>
      <c r="E1268" s="302">
        <f t="shared" ref="E1268:E1275" si="539">SUM(B1268:D1268)</f>
        <v>13.225847761824557</v>
      </c>
      <c r="F1268" s="303"/>
      <c r="G1268" s="302">
        <v>10.125107842403322</v>
      </c>
      <c r="H1268" s="302">
        <v>0.46122627409039296</v>
      </c>
      <c r="I1268" s="302">
        <v>7.3179501528509316</v>
      </c>
      <c r="J1268" s="302">
        <f t="shared" ref="J1268:J1270" si="540">SUM(G1268:I1268)</f>
        <v>17.904284269344647</v>
      </c>
      <c r="K1268" s="303"/>
      <c r="L1268" s="302">
        <v>12.659116157022234</v>
      </c>
      <c r="M1268" s="302">
        <v>0.60494082339470445</v>
      </c>
      <c r="N1268" s="302">
        <v>6.5236621750596475</v>
      </c>
      <c r="O1268" s="302">
        <f t="shared" ref="O1268:O1275" si="541">SUM(L1268:N1268)</f>
        <v>19.787719155476587</v>
      </c>
    </row>
    <row r="1269" spans="1:15" s="236" customFormat="1" x14ac:dyDescent="0.3">
      <c r="A1269" s="237" t="str">
        <f>name!E$6</f>
        <v>Associate professional occupations</v>
      </c>
      <c r="B1269" s="302">
        <v>4.580470941042198</v>
      </c>
      <c r="C1269" s="302">
        <v>0.27237640118612344</v>
      </c>
      <c r="D1269" s="302">
        <v>2.2037512264932091</v>
      </c>
      <c r="E1269" s="302">
        <f t="shared" si="539"/>
        <v>7.0565985687215314</v>
      </c>
      <c r="F1269" s="303"/>
      <c r="G1269" s="302">
        <v>4.8853791894287451</v>
      </c>
      <c r="H1269" s="302">
        <v>0.47719209967504433</v>
      </c>
      <c r="I1269" s="302">
        <v>3.8483943497461768</v>
      </c>
      <c r="J1269" s="302">
        <f t="shared" si="540"/>
        <v>9.2109656388499666</v>
      </c>
      <c r="K1269" s="303"/>
      <c r="L1269" s="302">
        <v>5.1553371565251309</v>
      </c>
      <c r="M1269" s="302">
        <v>0.51117033918324761</v>
      </c>
      <c r="N1269" s="302">
        <v>3.6688780721973808</v>
      </c>
      <c r="O1269" s="302">
        <f t="shared" si="541"/>
        <v>9.3353855679057602</v>
      </c>
    </row>
    <row r="1270" spans="1:15" s="236" customFormat="1" x14ac:dyDescent="0.3">
      <c r="A1270" s="237" t="str">
        <f>name!E$7</f>
        <v>Administrative and secretarial occupations</v>
      </c>
      <c r="B1270" s="302">
        <v>2.4583746937120758</v>
      </c>
      <c r="C1270" s="302">
        <v>0.35969192585417192</v>
      </c>
      <c r="D1270" s="302">
        <v>0.46326648123303299</v>
      </c>
      <c r="E1270" s="302">
        <f t="shared" si="539"/>
        <v>3.2813331007992805</v>
      </c>
      <c r="F1270" s="303"/>
      <c r="G1270" s="302">
        <v>2.5784026702657794</v>
      </c>
      <c r="H1270" s="302">
        <v>0.564213238496592</v>
      </c>
      <c r="I1270" s="302">
        <v>0.75402880140438744</v>
      </c>
      <c r="J1270" s="302">
        <f t="shared" si="540"/>
        <v>3.8966447101667585</v>
      </c>
      <c r="K1270" s="303"/>
      <c r="L1270" s="302">
        <v>2.480323483537878</v>
      </c>
      <c r="M1270" s="302">
        <v>0.52400787552954797</v>
      </c>
      <c r="N1270" s="302">
        <v>1.5390242734649653</v>
      </c>
      <c r="O1270" s="302">
        <f t="shared" si="541"/>
        <v>4.5433556325323909</v>
      </c>
    </row>
    <row r="1271" spans="1:15" s="236" customFormat="1" x14ac:dyDescent="0.3">
      <c r="A1271" s="237" t="str">
        <f>name!E$8</f>
        <v>Skilled trades occupations</v>
      </c>
      <c r="B1271" s="302">
        <v>2.4992195977144811</v>
      </c>
      <c r="C1271" s="302">
        <v>0.14843261357223808</v>
      </c>
      <c r="D1271" s="302">
        <v>4.005386695814968</v>
      </c>
      <c r="E1271" s="302">
        <f t="shared" si="539"/>
        <v>6.6530389071016867</v>
      </c>
      <c r="F1271" s="303"/>
      <c r="G1271" s="302">
        <v>1.8145196934893875</v>
      </c>
      <c r="H1271" s="302">
        <v>0.14734081759493631</v>
      </c>
      <c r="I1271" s="302">
        <v>6.8777480097514356</v>
      </c>
      <c r="J1271" s="302">
        <f>SUM(G1271:I1271)</f>
        <v>8.8396085208357587</v>
      </c>
      <c r="K1271" s="303"/>
      <c r="L1271" s="302">
        <v>1.7265558149504481</v>
      </c>
      <c r="M1271" s="302">
        <v>0.14452349454484162</v>
      </c>
      <c r="N1271" s="302">
        <v>8.4733205124573647</v>
      </c>
      <c r="O1271" s="302">
        <f t="shared" si="541"/>
        <v>10.344399821952655</v>
      </c>
    </row>
    <row r="1272" spans="1:15" s="236" customFormat="1" x14ac:dyDescent="0.3">
      <c r="A1272" s="237" t="str">
        <f>name!E$9</f>
        <v>Caring, leisure and other service occupations</v>
      </c>
      <c r="B1272" s="302">
        <v>0.31548675177152685</v>
      </c>
      <c r="C1272" s="302">
        <v>4.5347760452736606E-2</v>
      </c>
      <c r="D1272" s="302">
        <v>0.34393661564158629</v>
      </c>
      <c r="E1272" s="302">
        <f t="shared" si="539"/>
        <v>0.70477112786584972</v>
      </c>
      <c r="F1272" s="303"/>
      <c r="G1272" s="302">
        <v>0.31386123084819884</v>
      </c>
      <c r="H1272" s="302">
        <v>5.7242380379564153E-2</v>
      </c>
      <c r="I1272" s="302">
        <v>0.6946613000443187</v>
      </c>
      <c r="J1272" s="302">
        <f t="shared" ref="J1272:J1275" si="542">SUM(G1272:I1272)</f>
        <v>1.0657649112720817</v>
      </c>
      <c r="K1272" s="303"/>
      <c r="L1272" s="302">
        <v>0.39589156470037368</v>
      </c>
      <c r="M1272" s="302">
        <v>5.1281915690090427E-2</v>
      </c>
      <c r="N1272" s="302">
        <v>1.1331593145063363</v>
      </c>
      <c r="O1272" s="302">
        <f t="shared" si="541"/>
        <v>1.5803327948968005</v>
      </c>
    </row>
    <row r="1273" spans="1:15" s="236" customFormat="1" x14ac:dyDescent="0.3">
      <c r="A1273" s="237" t="str">
        <f>name!E$10</f>
        <v>Sales and customer service occupations</v>
      </c>
      <c r="B1273" s="302">
        <v>6.306519929141519</v>
      </c>
      <c r="C1273" s="302">
        <v>4.3918776166397651</v>
      </c>
      <c r="D1273" s="302">
        <v>4.5646381623449379</v>
      </c>
      <c r="E1273" s="302">
        <f t="shared" si="539"/>
        <v>15.263035708126221</v>
      </c>
      <c r="F1273" s="303"/>
      <c r="G1273" s="302">
        <v>5.4108340114185456</v>
      </c>
      <c r="H1273" s="302">
        <v>6.3936850714810252</v>
      </c>
      <c r="I1273" s="302">
        <v>5.7367191423477992</v>
      </c>
      <c r="J1273" s="302">
        <f t="shared" si="542"/>
        <v>17.541238225247369</v>
      </c>
      <c r="K1273" s="303"/>
      <c r="L1273" s="302">
        <v>3.6396146967121834</v>
      </c>
      <c r="M1273" s="302">
        <v>6.1362768056909509</v>
      </c>
      <c r="N1273" s="302">
        <v>3.7805571724164033</v>
      </c>
      <c r="O1273" s="302">
        <f t="shared" si="541"/>
        <v>13.556448674819537</v>
      </c>
    </row>
    <row r="1274" spans="1:15" s="236" customFormat="1" x14ac:dyDescent="0.3">
      <c r="A1274" s="237" t="str">
        <f>name!E$11</f>
        <v>Process, plant and machine operatives</v>
      </c>
      <c r="B1274" s="302">
        <v>1.8597294207779149</v>
      </c>
      <c r="C1274" s="302">
        <v>0.15756146427670739</v>
      </c>
      <c r="D1274" s="302">
        <v>0.77601669311767896</v>
      </c>
      <c r="E1274" s="302">
        <f t="shared" si="539"/>
        <v>2.7933075781723016</v>
      </c>
      <c r="F1274" s="303"/>
      <c r="G1274" s="302">
        <v>1.2928415315971833</v>
      </c>
      <c r="H1274" s="302">
        <v>0.24383595057336541</v>
      </c>
      <c r="I1274" s="302">
        <v>1.2697268285960268</v>
      </c>
      <c r="J1274" s="302">
        <f t="shared" si="542"/>
        <v>2.8064043107665757</v>
      </c>
      <c r="K1274" s="303"/>
      <c r="L1274" s="302">
        <v>0.9649692557760623</v>
      </c>
      <c r="M1274" s="302">
        <v>0.36402866205552187</v>
      </c>
      <c r="N1274" s="302">
        <v>1.3100901685736137</v>
      </c>
      <c r="O1274" s="302">
        <f t="shared" si="541"/>
        <v>2.6390880864051978</v>
      </c>
    </row>
    <row r="1275" spans="1:15" s="236" customFormat="1" x14ac:dyDescent="0.3">
      <c r="A1275" s="237" t="str">
        <f>name!E$12</f>
        <v>Elementary occupations</v>
      </c>
      <c r="B1275" s="302">
        <v>3.5739435640907455</v>
      </c>
      <c r="C1275" s="302">
        <v>0.89281307036287616</v>
      </c>
      <c r="D1275" s="302">
        <v>0.25271326652571674</v>
      </c>
      <c r="E1275" s="302">
        <f t="shared" si="539"/>
        <v>4.7194699009793384</v>
      </c>
      <c r="F1275" s="303"/>
      <c r="G1275" s="302">
        <v>2.9877589881912554</v>
      </c>
      <c r="H1275" s="302">
        <v>1.0266856848738493</v>
      </c>
      <c r="I1275" s="302">
        <v>0.42885850209034138</v>
      </c>
      <c r="J1275" s="302">
        <f t="shared" si="542"/>
        <v>4.4433031751554468</v>
      </c>
      <c r="K1275" s="303"/>
      <c r="L1275" s="302">
        <v>2.9013465140813901</v>
      </c>
      <c r="M1275" s="302">
        <v>0.8874359354785053</v>
      </c>
      <c r="N1275" s="302">
        <v>0.64419727156738926</v>
      </c>
      <c r="O1275" s="302">
        <f t="shared" si="541"/>
        <v>4.4329797211272846</v>
      </c>
    </row>
    <row r="1276" spans="1:15" s="236" customFormat="1" x14ac:dyDescent="0.3">
      <c r="A1276" s="237"/>
      <c r="B1276" s="302"/>
      <c r="C1276" s="302"/>
      <c r="D1276" s="302"/>
      <c r="E1276" s="302"/>
      <c r="F1276" s="303"/>
      <c r="G1276" s="302"/>
      <c r="H1276" s="302"/>
      <c r="I1276" s="302"/>
      <c r="J1276" s="302"/>
      <c r="K1276" s="303"/>
      <c r="L1276" s="302"/>
      <c r="M1276" s="302"/>
      <c r="N1276" s="302"/>
      <c r="O1276" s="302"/>
    </row>
    <row r="1277" spans="1:15" s="236" customFormat="1" x14ac:dyDescent="0.3">
      <c r="A1277" s="244" t="s">
        <v>32</v>
      </c>
      <c r="B1277" s="311">
        <f>SUM(B1267:B1275)</f>
        <v>37.624999999578961</v>
      </c>
      <c r="C1277" s="311">
        <f t="shared" ref="C1277:E1277" si="543">SUM(C1267:C1275)</f>
        <v>6.6370000002491816</v>
      </c>
      <c r="D1277" s="311">
        <f t="shared" si="543"/>
        <v>24.514000000271995</v>
      </c>
      <c r="E1277" s="311">
        <f t="shared" si="543"/>
        <v>68.776000000100126</v>
      </c>
      <c r="F1277" s="311"/>
      <c r="G1277" s="311">
        <f t="shared" ref="G1277:J1277" si="544">SUM(G1267:G1275)</f>
        <v>36.570999999691558</v>
      </c>
      <c r="H1277" s="311">
        <f t="shared" si="544"/>
        <v>9.6890000001909229</v>
      </c>
      <c r="I1277" s="311">
        <f t="shared" si="544"/>
        <v>42.323999999940703</v>
      </c>
      <c r="J1277" s="311">
        <f t="shared" si="544"/>
        <v>88.583999999823206</v>
      </c>
      <c r="K1277" s="311"/>
      <c r="L1277" s="311">
        <f t="shared" ref="L1277:O1277" si="545">SUM(L1267:L1275)</f>
        <v>37.966999999750463</v>
      </c>
      <c r="M1277" s="311">
        <f t="shared" si="545"/>
        <v>9.6069999999604008</v>
      </c>
      <c r="N1277" s="311">
        <f t="shared" si="545"/>
        <v>44.550000000514522</v>
      </c>
      <c r="O1277" s="311">
        <f t="shared" si="545"/>
        <v>92.124000000225379</v>
      </c>
    </row>
    <row r="1278" spans="1:15" s="236" customFormat="1" x14ac:dyDescent="0.3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37"/>
      <c r="M1278" s="237"/>
      <c r="N1278" s="240"/>
    </row>
    <row r="1279" spans="1:15" s="236" customFormat="1" x14ac:dyDescent="0.3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37"/>
      <c r="M1279" s="237"/>
      <c r="N1279" s="240"/>
      <c r="O1279" s="251" t="s">
        <v>35</v>
      </c>
    </row>
    <row r="1280" spans="1:15" s="236" customFormat="1" x14ac:dyDescent="0.3">
      <c r="A1280" s="242"/>
      <c r="B1280" s="242"/>
      <c r="C1280" s="242"/>
      <c r="D1280" s="242"/>
      <c r="E1280" s="242"/>
      <c r="F1280" s="242"/>
      <c r="G1280" s="242"/>
      <c r="H1280" s="242"/>
      <c r="I1280" s="242"/>
      <c r="J1280" s="242"/>
      <c r="K1280" s="242"/>
      <c r="L1280" s="242"/>
      <c r="M1280" s="242"/>
      <c r="N1280" s="242"/>
      <c r="O1280" s="242"/>
    </row>
    <row r="1281" spans="1:15" s="236" customFormat="1" x14ac:dyDescent="0.3">
      <c r="A1281" s="241" t="str">
        <f>name!A78</f>
        <v>Other personal service</v>
      </c>
      <c r="B1281" s="375">
        <f>$B$6</f>
        <v>2015</v>
      </c>
      <c r="C1281" s="375"/>
      <c r="D1281" s="375"/>
      <c r="E1281" s="375"/>
      <c r="F1281" s="263"/>
      <c r="G1281" s="375">
        <f>$G$6</f>
        <v>2020</v>
      </c>
      <c r="H1281" s="375"/>
      <c r="I1281" s="375"/>
      <c r="J1281" s="375"/>
      <c r="K1281" s="263"/>
      <c r="L1281" s="375">
        <f>$L$6</f>
        <v>2035</v>
      </c>
      <c r="M1281" s="375"/>
      <c r="N1281" s="375"/>
      <c r="O1281" s="375"/>
    </row>
    <row r="1282" spans="1:15" s="236" customFormat="1" x14ac:dyDescent="0.3">
      <c r="A1282" s="254"/>
      <c r="B1282" s="268" t="str">
        <f>$B$7</f>
        <v>FT</v>
      </c>
      <c r="C1282" s="268" t="str">
        <f>$C$7</f>
        <v>PT</v>
      </c>
      <c r="D1282" s="268" t="str">
        <f>$D$7</f>
        <v>SE</v>
      </c>
      <c r="E1282" s="268" t="str">
        <f>$E$7</f>
        <v>Total</v>
      </c>
      <c r="F1282" s="268"/>
      <c r="G1282" s="268" t="str">
        <f>$G$7</f>
        <v>FT</v>
      </c>
      <c r="H1282" s="268" t="str">
        <f>$H$7</f>
        <v>PT</v>
      </c>
      <c r="I1282" s="268" t="str">
        <f>$I$7</f>
        <v>SE</v>
      </c>
      <c r="J1282" s="268" t="str">
        <f>$J$7</f>
        <v>Total</v>
      </c>
      <c r="K1282" s="268"/>
      <c r="L1282" s="268" t="str">
        <f>$L$7</f>
        <v>FT</v>
      </c>
      <c r="M1282" s="268" t="str">
        <f>$M$7</f>
        <v>PT</v>
      </c>
      <c r="N1282" s="268" t="str">
        <f>$N$7</f>
        <v>SE</v>
      </c>
      <c r="O1282" s="268" t="str">
        <f>$O$7</f>
        <v>Total</v>
      </c>
    </row>
    <row r="1283" spans="1:15" s="236" customFormat="1" x14ac:dyDescent="0.3">
      <c r="A1283" s="258"/>
      <c r="B1283" s="239"/>
      <c r="C1283" s="239"/>
      <c r="D1283" s="239"/>
      <c r="E1283" s="239"/>
      <c r="F1283" s="239"/>
      <c r="G1283" s="239"/>
      <c r="H1283" s="239"/>
      <c r="I1283" s="239"/>
      <c r="J1283" s="239"/>
      <c r="K1283" s="239"/>
      <c r="L1283" s="239"/>
      <c r="M1283" s="239"/>
      <c r="N1283" s="239"/>
      <c r="O1283" s="239"/>
    </row>
    <row r="1284" spans="1:15" s="236" customFormat="1" x14ac:dyDescent="0.3">
      <c r="A1284" s="237" t="str">
        <f>name!E$4</f>
        <v>Managers, directors and senior officials</v>
      </c>
      <c r="B1284" s="302">
        <v>21.136428016529653</v>
      </c>
      <c r="C1284" s="302">
        <v>4.4989311309664917</v>
      </c>
      <c r="D1284" s="302">
        <v>14.093508428086842</v>
      </c>
      <c r="E1284" s="302">
        <f>SUM(B1284:D1284)</f>
        <v>39.728867575582989</v>
      </c>
      <c r="F1284" s="303"/>
      <c r="G1284" s="302">
        <v>22.403602888641277</v>
      </c>
      <c r="H1284" s="302">
        <v>7.3706909525097082</v>
      </c>
      <c r="I1284" s="302">
        <v>14.827766585050655</v>
      </c>
      <c r="J1284" s="302">
        <f>SUM(G1284:I1284)</f>
        <v>44.602060426201639</v>
      </c>
      <c r="K1284" s="303"/>
      <c r="L1284" s="302">
        <v>27.041653894044916</v>
      </c>
      <c r="M1284" s="302">
        <v>10.812930754182181</v>
      </c>
      <c r="N1284" s="302">
        <v>15.764497645998221</v>
      </c>
      <c r="O1284" s="302">
        <f>SUM(L1284:N1284)</f>
        <v>53.619082294225315</v>
      </c>
    </row>
    <row r="1285" spans="1:15" s="236" customFormat="1" x14ac:dyDescent="0.3">
      <c r="A1285" s="237" t="str">
        <f>name!E$5</f>
        <v>Professional occupations</v>
      </c>
      <c r="B1285" s="302">
        <v>19.521207450448536</v>
      </c>
      <c r="C1285" s="302">
        <v>5.9698087338289882</v>
      </c>
      <c r="D1285" s="302">
        <v>11.577647879660544</v>
      </c>
      <c r="E1285" s="302">
        <f t="shared" ref="E1285:E1292" si="546">SUM(B1285:D1285)</f>
        <v>37.068664063938066</v>
      </c>
      <c r="F1285" s="303"/>
      <c r="G1285" s="302">
        <v>23.535983917558376</v>
      </c>
      <c r="H1285" s="302">
        <v>9.9942483446542436</v>
      </c>
      <c r="I1285" s="302">
        <v>14.778849777469063</v>
      </c>
      <c r="J1285" s="302">
        <f t="shared" ref="J1285:J1287" si="547">SUM(G1285:I1285)</f>
        <v>48.309082039681684</v>
      </c>
      <c r="K1285" s="303"/>
      <c r="L1285" s="302">
        <v>28.895108154317096</v>
      </c>
      <c r="M1285" s="302">
        <v>12.595532676494956</v>
      </c>
      <c r="N1285" s="302">
        <v>11.561136939481502</v>
      </c>
      <c r="O1285" s="302">
        <f t="shared" ref="O1285:O1292" si="548">SUM(L1285:N1285)</f>
        <v>53.051777770293555</v>
      </c>
    </row>
    <row r="1286" spans="1:15" s="236" customFormat="1" x14ac:dyDescent="0.3">
      <c r="A1286" s="237" t="str">
        <f>name!E$6</f>
        <v>Associate professional occupations</v>
      </c>
      <c r="B1286" s="302">
        <v>16.215772016317256</v>
      </c>
      <c r="C1286" s="302">
        <v>7.4435751302702089</v>
      </c>
      <c r="D1286" s="302">
        <v>22.901507094487279</v>
      </c>
      <c r="E1286" s="302">
        <f t="shared" si="546"/>
        <v>46.560854241074743</v>
      </c>
      <c r="F1286" s="303"/>
      <c r="G1286" s="302">
        <v>17.748466384184926</v>
      </c>
      <c r="H1286" s="302">
        <v>10.300695527577018</v>
      </c>
      <c r="I1286" s="302">
        <v>28.939614676650432</v>
      </c>
      <c r="J1286" s="302">
        <f t="shared" si="547"/>
        <v>56.988776588412378</v>
      </c>
      <c r="K1286" s="303"/>
      <c r="L1286" s="302">
        <v>19.011869426863043</v>
      </c>
      <c r="M1286" s="302">
        <v>11.213024244794925</v>
      </c>
      <c r="N1286" s="302">
        <v>26.000477277028939</v>
      </c>
      <c r="O1286" s="302">
        <f t="shared" si="548"/>
        <v>56.225370948686901</v>
      </c>
    </row>
    <row r="1287" spans="1:15" s="236" customFormat="1" x14ac:dyDescent="0.3">
      <c r="A1287" s="237" t="str">
        <f>name!E$7</f>
        <v>Administrative and secretarial occupations</v>
      </c>
      <c r="B1287" s="302">
        <v>11.616035782143715</v>
      </c>
      <c r="C1287" s="302">
        <v>13.790300738086431</v>
      </c>
      <c r="D1287" s="302">
        <v>1.399984893574715</v>
      </c>
      <c r="E1287" s="302">
        <f t="shared" si="546"/>
        <v>26.806321413804863</v>
      </c>
      <c r="F1287" s="303"/>
      <c r="G1287" s="302">
        <v>12.341115712047785</v>
      </c>
      <c r="H1287" s="302">
        <v>16.229637131031598</v>
      </c>
      <c r="I1287" s="302">
        <v>1.497222427408436</v>
      </c>
      <c r="J1287" s="302">
        <f t="shared" si="547"/>
        <v>30.067975270487818</v>
      </c>
      <c r="K1287" s="303"/>
      <c r="L1287" s="302">
        <v>11.794302366245246</v>
      </c>
      <c r="M1287" s="302">
        <v>18.489881639817629</v>
      </c>
      <c r="N1287" s="302">
        <v>4.6210485596360904</v>
      </c>
      <c r="O1287" s="302">
        <f t="shared" si="548"/>
        <v>34.905232565698967</v>
      </c>
    </row>
    <row r="1288" spans="1:15" s="236" customFormat="1" x14ac:dyDescent="0.3">
      <c r="A1288" s="237" t="str">
        <f>name!E$8</f>
        <v>Skilled trades occupations</v>
      </c>
      <c r="B1288" s="302">
        <v>11.611582422804736</v>
      </c>
      <c r="C1288" s="302">
        <v>3.33733782350583</v>
      </c>
      <c r="D1288" s="302">
        <v>9.6496625102251112</v>
      </c>
      <c r="E1288" s="302">
        <f t="shared" si="546"/>
        <v>24.598582756535677</v>
      </c>
      <c r="F1288" s="303"/>
      <c r="G1288" s="302">
        <v>9.5826579086855368</v>
      </c>
      <c r="H1288" s="302">
        <v>3.3495332488573668</v>
      </c>
      <c r="I1288" s="302">
        <v>10.205966828707533</v>
      </c>
      <c r="J1288" s="302">
        <f>SUM(G1288:I1288)</f>
        <v>23.138157986250434</v>
      </c>
      <c r="K1288" s="303"/>
      <c r="L1288" s="302">
        <v>10.013597324684607</v>
      </c>
      <c r="M1288" s="302">
        <v>4.9218357238804655</v>
      </c>
      <c r="N1288" s="302">
        <v>13.519858510658043</v>
      </c>
      <c r="O1288" s="302">
        <f t="shared" si="548"/>
        <v>28.455291559223117</v>
      </c>
    </row>
    <row r="1289" spans="1:15" s="236" customFormat="1" x14ac:dyDescent="0.3">
      <c r="A1289" s="237" t="str">
        <f>name!E$9</f>
        <v>Caring, leisure and other service occupations</v>
      </c>
      <c r="B1289" s="302">
        <v>83.28816084980491</v>
      </c>
      <c r="C1289" s="302">
        <v>58.442735830850587</v>
      </c>
      <c r="D1289" s="302">
        <v>85.90936854663866</v>
      </c>
      <c r="E1289" s="302">
        <f t="shared" si="546"/>
        <v>227.64026522729415</v>
      </c>
      <c r="F1289" s="303"/>
      <c r="G1289" s="302">
        <v>76.969084241784728</v>
      </c>
      <c r="H1289" s="302">
        <v>51.150540140152252</v>
      </c>
      <c r="I1289" s="302">
        <v>108.31809116196416</v>
      </c>
      <c r="J1289" s="302">
        <f t="shared" ref="J1289:J1292" si="549">SUM(G1289:I1289)</f>
        <v>236.43771554390113</v>
      </c>
      <c r="K1289" s="303"/>
      <c r="L1289" s="302">
        <v>66.220095200943831</v>
      </c>
      <c r="M1289" s="302">
        <v>39.523986512166459</v>
      </c>
      <c r="N1289" s="302">
        <v>104.95239723780114</v>
      </c>
      <c r="O1289" s="302">
        <f t="shared" si="548"/>
        <v>210.69647895091143</v>
      </c>
    </row>
    <row r="1290" spans="1:15" s="236" customFormat="1" x14ac:dyDescent="0.3">
      <c r="A1290" s="237" t="str">
        <f>name!E$10</f>
        <v>Sales and customer service occupations</v>
      </c>
      <c r="B1290" s="302">
        <v>6.4609308766989546</v>
      </c>
      <c r="C1290" s="302">
        <v>9.0289228030648587</v>
      </c>
      <c r="D1290" s="302">
        <v>4.3641986997598421</v>
      </c>
      <c r="E1290" s="302">
        <f t="shared" si="546"/>
        <v>19.854052379523655</v>
      </c>
      <c r="F1290" s="303"/>
      <c r="G1290" s="302">
        <v>6.2720719236462799</v>
      </c>
      <c r="H1290" s="302">
        <v>9.9904280296450914</v>
      </c>
      <c r="I1290" s="302">
        <v>3.5205720839553649</v>
      </c>
      <c r="J1290" s="302">
        <f t="shared" si="549"/>
        <v>19.783072037246736</v>
      </c>
      <c r="K1290" s="303"/>
      <c r="L1290" s="302">
        <v>7.5427250377397206</v>
      </c>
      <c r="M1290" s="302">
        <v>10.799519045392344</v>
      </c>
      <c r="N1290" s="302">
        <v>2.4694524006321572</v>
      </c>
      <c r="O1290" s="302">
        <f t="shared" si="548"/>
        <v>20.811696483764223</v>
      </c>
    </row>
    <row r="1291" spans="1:15" s="236" customFormat="1" x14ac:dyDescent="0.3">
      <c r="A1291" s="237" t="str">
        <f>name!E$11</f>
        <v>Process, plant and machine operatives</v>
      </c>
      <c r="B1291" s="302">
        <v>9.0313913318218031</v>
      </c>
      <c r="C1291" s="302">
        <v>4.0042650444423478</v>
      </c>
      <c r="D1291" s="302">
        <v>1.4334709124850133</v>
      </c>
      <c r="E1291" s="302">
        <f t="shared" si="546"/>
        <v>14.469127288749164</v>
      </c>
      <c r="F1291" s="303"/>
      <c r="G1291" s="302">
        <v>7.4285462913859135</v>
      </c>
      <c r="H1291" s="302">
        <v>4.0921004366804548</v>
      </c>
      <c r="I1291" s="302">
        <v>1.700370615119382</v>
      </c>
      <c r="J1291" s="302">
        <f t="shared" si="549"/>
        <v>13.22101734318575</v>
      </c>
      <c r="K1291" s="303"/>
      <c r="L1291" s="302">
        <v>6.5237311508311917</v>
      </c>
      <c r="M1291" s="302">
        <v>4.0460693685174807</v>
      </c>
      <c r="N1291" s="302">
        <v>1.6134119198048165</v>
      </c>
      <c r="O1291" s="302">
        <f t="shared" si="548"/>
        <v>12.183212439153488</v>
      </c>
    </row>
    <row r="1292" spans="1:15" s="236" customFormat="1" x14ac:dyDescent="0.3">
      <c r="A1292" s="237" t="str">
        <f>name!E$12</f>
        <v>Elementary occupations</v>
      </c>
      <c r="B1292" s="302">
        <v>17.568491253351144</v>
      </c>
      <c r="C1292" s="302">
        <v>18.992122766619435</v>
      </c>
      <c r="D1292" s="302">
        <v>8.1016510390053824</v>
      </c>
      <c r="E1292" s="302">
        <f t="shared" si="546"/>
        <v>44.662265058975962</v>
      </c>
      <c r="F1292" s="303"/>
      <c r="G1292" s="302">
        <v>15.089470731794441</v>
      </c>
      <c r="H1292" s="302">
        <v>17.737126190111244</v>
      </c>
      <c r="I1292" s="302">
        <v>5.9835458412130373</v>
      </c>
      <c r="J1292" s="302">
        <f t="shared" si="549"/>
        <v>38.810142763118719</v>
      </c>
      <c r="K1292" s="303"/>
      <c r="L1292" s="302">
        <v>14.933917444191131</v>
      </c>
      <c r="M1292" s="302">
        <v>13.217220034290019</v>
      </c>
      <c r="N1292" s="302">
        <v>5.6627195109065287</v>
      </c>
      <c r="O1292" s="302">
        <f t="shared" si="548"/>
        <v>33.813856989387681</v>
      </c>
    </row>
    <row r="1293" spans="1:15" s="236" customFormat="1" x14ac:dyDescent="0.3">
      <c r="A1293" s="237"/>
      <c r="B1293" s="302"/>
      <c r="C1293" s="302"/>
      <c r="D1293" s="302"/>
      <c r="E1293" s="302"/>
      <c r="F1293" s="303"/>
      <c r="G1293" s="302"/>
      <c r="H1293" s="302"/>
      <c r="I1293" s="302"/>
      <c r="J1293" s="302"/>
      <c r="K1293" s="303"/>
      <c r="L1293" s="302"/>
      <c r="M1293" s="302"/>
      <c r="N1293" s="302"/>
      <c r="O1293" s="302"/>
    </row>
    <row r="1294" spans="1:15" s="236" customFormat="1" x14ac:dyDescent="0.3">
      <c r="A1294" s="244" t="s">
        <v>32</v>
      </c>
      <c r="B1294" s="311">
        <f>SUM(B1284:B1292)</f>
        <v>196.44999999992072</v>
      </c>
      <c r="C1294" s="311">
        <f t="shared" ref="C1294:E1294" si="550">SUM(C1284:C1292)</f>
        <v>125.50800000163518</v>
      </c>
      <c r="D1294" s="311">
        <f t="shared" si="550"/>
        <v>159.4310000039234</v>
      </c>
      <c r="E1294" s="311">
        <f t="shared" si="550"/>
        <v>481.3890000054792</v>
      </c>
      <c r="F1294" s="311"/>
      <c r="G1294" s="311">
        <f t="shared" ref="G1294:J1294" si="551">SUM(G1284:G1292)</f>
        <v>191.37099999972926</v>
      </c>
      <c r="H1294" s="311">
        <f t="shared" si="551"/>
        <v>130.21500000121898</v>
      </c>
      <c r="I1294" s="311">
        <f t="shared" si="551"/>
        <v>189.77199999753807</v>
      </c>
      <c r="J1294" s="311">
        <f t="shared" si="551"/>
        <v>511.35799999848626</v>
      </c>
      <c r="K1294" s="311"/>
      <c r="L1294" s="311">
        <f t="shared" ref="L1294:O1294" si="552">SUM(L1284:L1292)</f>
        <v>191.97699999986079</v>
      </c>
      <c r="M1294" s="311">
        <f t="shared" si="552"/>
        <v>125.61999999953646</v>
      </c>
      <c r="N1294" s="311">
        <f t="shared" si="552"/>
        <v>186.16500000194742</v>
      </c>
      <c r="O1294" s="311">
        <f t="shared" si="552"/>
        <v>503.76200000134469</v>
      </c>
    </row>
    <row r="1295" spans="1:15" s="236" customFormat="1" x14ac:dyDescent="0.3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37"/>
      <c r="M1295" s="237"/>
      <c r="N1295" s="240"/>
    </row>
  </sheetData>
  <mergeCells count="228"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2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F90"/>
  <sheetViews>
    <sheetView showGridLines="0" zoomScale="85" zoomScaleNormal="85" workbookViewId="0"/>
  </sheetViews>
  <sheetFormatPr defaultRowHeight="12.45" x14ac:dyDescent="0.3"/>
  <cols>
    <col min="1" max="1" width="44.69140625" customWidth="1"/>
    <col min="2" max="6" width="10" customWidth="1"/>
    <col min="7" max="7" width="6.69140625" customWidth="1"/>
    <col min="8" max="10" width="13" customWidth="1"/>
    <col min="11" max="11" width="17" customWidth="1"/>
    <col min="12" max="12" width="44.69140625" customWidth="1"/>
    <col min="13" max="17" width="10" customWidth="1"/>
    <col min="18" max="18" width="6.69140625" customWidth="1"/>
    <col min="19" max="21" width="13" customWidth="1"/>
    <col min="22" max="22" width="16.15234375" customWidth="1"/>
    <col min="23" max="23" width="44.69140625" customWidth="1"/>
    <col min="24" max="28" width="10" customWidth="1"/>
    <col min="29" max="29" width="6.69140625" customWidth="1"/>
    <col min="30" max="32" width="13" customWidth="1"/>
  </cols>
  <sheetData>
    <row r="1" spans="1:32" ht="15.45" x14ac:dyDescent="0.4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United Kingdom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United Kingdom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United Kingdom</v>
      </c>
    </row>
    <row r="2" spans="1:32" x14ac:dyDescent="0.3">
      <c r="A2" s="1" t="s">
        <v>534</v>
      </c>
    </row>
    <row r="3" spans="1:32" x14ac:dyDescent="0.3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3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27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27" t="str">
        <f>CONCATENATE(Z6,"-",AB6)</f>
        <v>2020-2035</v>
      </c>
      <c r="AE4" s="35"/>
      <c r="AF4" s="35"/>
    </row>
    <row r="5" spans="1:32" x14ac:dyDescent="0.3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3">
      <c r="A6" s="40" t="s">
        <v>13</v>
      </c>
      <c r="B6" s="34">
        <f>'Occ T2'!B6</f>
        <v>2015</v>
      </c>
      <c r="C6" s="34">
        <f>'Occ T2'!C6</f>
        <v>2019</v>
      </c>
      <c r="D6" s="34">
        <f>'Occ T2'!D6</f>
        <v>2020</v>
      </c>
      <c r="E6" s="34">
        <f>'Occ T2'!E6</f>
        <v>2025</v>
      </c>
      <c r="F6" s="34">
        <f>'Occ T2'!F6</f>
        <v>2035</v>
      </c>
      <c r="G6" s="10"/>
      <c r="H6" s="62" t="s">
        <v>18</v>
      </c>
      <c r="I6" s="62" t="s">
        <v>31</v>
      </c>
      <c r="J6" s="62" t="s">
        <v>33</v>
      </c>
      <c r="L6" s="40" t="s">
        <v>13</v>
      </c>
      <c r="M6" s="34">
        <f>'Occ T2'!B6</f>
        <v>2015</v>
      </c>
      <c r="N6" s="34">
        <f>'Occ T2'!C6</f>
        <v>2019</v>
      </c>
      <c r="O6" s="34">
        <f>'Occ T2'!D6</f>
        <v>2020</v>
      </c>
      <c r="P6" s="34">
        <f>'Occ T2'!E6</f>
        <v>2025</v>
      </c>
      <c r="Q6" s="34">
        <f>'Occ T2'!F6</f>
        <v>2035</v>
      </c>
      <c r="R6" s="10"/>
      <c r="S6" s="62" t="s">
        <v>18</v>
      </c>
      <c r="T6" s="62" t="s">
        <v>31</v>
      </c>
      <c r="U6" s="62" t="s">
        <v>33</v>
      </c>
      <c r="W6" s="40" t="s">
        <v>13</v>
      </c>
      <c r="X6" s="34">
        <f>'Occ T2'!B6</f>
        <v>2015</v>
      </c>
      <c r="Y6" s="34">
        <f>'Occ T2'!C6</f>
        <v>2019</v>
      </c>
      <c r="Z6" s="34">
        <f>'Occ T2'!D6</f>
        <v>2020</v>
      </c>
      <c r="AA6" s="34">
        <f>'Occ T2'!E6</f>
        <v>2025</v>
      </c>
      <c r="AB6" s="34">
        <f>'Occ T2'!F6</f>
        <v>2035</v>
      </c>
      <c r="AC6" s="10"/>
      <c r="AD6" s="62" t="s">
        <v>18</v>
      </c>
      <c r="AE6" s="62" t="s">
        <v>31</v>
      </c>
      <c r="AF6" s="62" t="s">
        <v>33</v>
      </c>
    </row>
    <row r="7" spans="1:32" x14ac:dyDescent="0.3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3">
      <c r="A8" t="str">
        <f>name!E4</f>
        <v>Managers, directors and senior officials</v>
      </c>
      <c r="B8" s="11">
        <f t="array" ref="B8:B16">MMULT(aggregation!$B$38:$AA$46,'Occ T2'!B8:B33)</f>
        <v>3205.425138336177</v>
      </c>
      <c r="C8" s="11">
        <f t="array" ref="C8:C16">MMULT(aggregation!$B$38:$AA$46,'Occ T2'!C8:C33)</f>
        <v>3677.7255359911551</v>
      </c>
      <c r="D8" s="11">
        <f t="array" ref="D8:D16">MMULT(aggregation!$B$38:$AA$46,'Occ T2'!D8:D33)</f>
        <v>3746.559202054731</v>
      </c>
      <c r="E8" s="11">
        <f t="array" ref="E8:E16">MMULT(aggregation!$B$38:$AA$46,'Occ T2'!E8:E33)</f>
        <v>3862.6442625428922</v>
      </c>
      <c r="F8" s="11">
        <f t="array" ref="F8:F16">MMULT(aggregation!$B$38:$AA$46,'Occ T2'!F8:F33)</f>
        <v>4318.2488703537829</v>
      </c>
      <c r="G8" s="11"/>
      <c r="H8" s="11">
        <f>F8-D8</f>
        <v>571.68966829905185</v>
      </c>
      <c r="I8" s="11">
        <f t="array" ref="I8:I16">MMULT(aggregation!$B$38:$AA$46,'Occ T2'!I8:I33)</f>
        <v>2124.2990974061477</v>
      </c>
      <c r="J8" s="11">
        <f>SUM(H8:I8)</f>
        <v>2695.9887657051995</v>
      </c>
      <c r="L8" s="10" t="str">
        <f>name!E4</f>
        <v>Managers, directors and senior officials</v>
      </c>
      <c r="M8" s="11">
        <f t="array" ref="M8:M16">MMULT(aggregation!$B$38:$AA$46,'Occ T2'!M8:M33)</f>
        <v>2129.1501277330208</v>
      </c>
      <c r="N8" s="11">
        <f t="array" ref="N8:N16">MMULT(aggregation!$B$38:$AA$46,'Occ T2'!N8:N33)</f>
        <v>2373.9588086121298</v>
      </c>
      <c r="O8" s="11">
        <f t="array" ref="O8:O16">MMULT(aggregation!$B$38:$AA$46,'Occ T2'!O8:O33)</f>
        <v>2386.7442606418958</v>
      </c>
      <c r="P8" s="11">
        <f t="array" ref="P8:P16">MMULT(aggregation!$B$38:$AA$46,'Occ T2'!P8:P33)</f>
        <v>2410.5915986975606</v>
      </c>
      <c r="Q8" s="11">
        <f t="array" ref="Q8:Q16">MMULT(aggregation!$B$38:$AA$46,'Occ T2'!Q8:Q33)</f>
        <v>2618.5562447798848</v>
      </c>
      <c r="R8" s="11"/>
      <c r="S8" s="11">
        <f>Q8-O8</f>
        <v>231.81198413798893</v>
      </c>
      <c r="T8" s="11">
        <f t="array" ref="T8:T16">MMULT(aggregation!$B$38:$AA$46,'Occ T2'!T8:T33)</f>
        <v>1193.3541108980928</v>
      </c>
      <c r="U8" s="11">
        <f>SUM(S8:T8)</f>
        <v>1425.1660950360817</v>
      </c>
      <c r="W8" s="10" t="str">
        <f>name!E4</f>
        <v>Managers, directors and senior officials</v>
      </c>
      <c r="X8" s="11">
        <f t="array" ref="X8:X16">MMULT(aggregation!$B$38:$AA$46,'Occ T2'!X8:X33)</f>
        <v>1076.2750106031581</v>
      </c>
      <c r="Y8" s="11">
        <f t="array" ref="Y8:Y16">MMULT(aggregation!$B$38:$AA$46,'Occ T2'!Y8:Y33)</f>
        <v>1303.7667273790225</v>
      </c>
      <c r="Z8" s="11">
        <f t="array" ref="Z8:Z16">MMULT(aggregation!$B$38:$AA$46,'Occ T2'!Z8:Z33)</f>
        <v>1359.8149414128388</v>
      </c>
      <c r="AA8" s="11">
        <f t="array" ref="AA8:AA16">MMULT(aggregation!$B$38:$AA$46,'Occ T2'!AA8:AA33)</f>
        <v>1452.0526638453346</v>
      </c>
      <c r="AB8" s="11">
        <f t="array" ref="AB8:AB16">MMULT(aggregation!$B$38:$AA$46,'Occ T2'!AB8:AB33)</f>
        <v>1699.6926255738986</v>
      </c>
      <c r="AC8" s="11"/>
      <c r="AD8" s="11">
        <f>AB8-Z8</f>
        <v>339.87768416105973</v>
      </c>
      <c r="AE8" s="11">
        <f t="array" ref="AE8:AE16">MMULT(aggregation!$B$38:$AA$46,'Occ T2'!AE8:AE33)</f>
        <v>930.94498650805463</v>
      </c>
      <c r="AF8" s="11">
        <f>SUM(AD8:AE8)</f>
        <v>1270.8226706691144</v>
      </c>
    </row>
    <row r="9" spans="1:32" x14ac:dyDescent="0.3">
      <c r="A9" t="str">
        <f>name!E5</f>
        <v>Professional occupations</v>
      </c>
      <c r="B9" s="11">
        <v>6885.4818455337045</v>
      </c>
      <c r="C9" s="11">
        <v>7836.4339984828966</v>
      </c>
      <c r="D9" s="11">
        <v>8199.5797102003853</v>
      </c>
      <c r="E9" s="11">
        <v>8888.4946767141701</v>
      </c>
      <c r="F9" s="11">
        <v>9841.8170804538022</v>
      </c>
      <c r="G9" s="11"/>
      <c r="H9" s="11">
        <f t="shared" ref="H9:H16" si="0">F9-D9</f>
        <v>1642.2373702534169</v>
      </c>
      <c r="I9" s="11">
        <v>4280.1928499006553</v>
      </c>
      <c r="J9" s="11">
        <f t="shared" ref="J9:J15" si="1">SUM(H9:I9)</f>
        <v>5922.4302201540722</v>
      </c>
      <c r="L9" s="10" t="str">
        <f>name!E5</f>
        <v>Professional occupations</v>
      </c>
      <c r="M9" s="11">
        <v>3507.3416727466229</v>
      </c>
      <c r="N9" s="11">
        <v>3948.4728777372925</v>
      </c>
      <c r="O9" s="11">
        <v>4094.0287575490129</v>
      </c>
      <c r="P9" s="11">
        <v>4401.7171353848335</v>
      </c>
      <c r="Q9" s="11">
        <v>4776.8193157540536</v>
      </c>
      <c r="R9" s="11"/>
      <c r="S9" s="11">
        <f t="shared" ref="S9:S16" si="2">Q9-O9</f>
        <v>682.79055820504072</v>
      </c>
      <c r="T9" s="11">
        <v>1712.8359834743628</v>
      </c>
      <c r="U9" s="11">
        <f t="shared" ref="U9:U12" si="3">SUM(S9:T9)</f>
        <v>2395.6265416794035</v>
      </c>
      <c r="W9" s="10" t="str">
        <f>name!E5</f>
        <v>Professional occupations</v>
      </c>
      <c r="X9" s="11">
        <v>3378.1401727870825</v>
      </c>
      <c r="Y9" s="11">
        <v>3887.9611207456128</v>
      </c>
      <c r="Z9" s="11">
        <v>4105.5509526513742</v>
      </c>
      <c r="AA9" s="11">
        <v>4486.7775413293493</v>
      </c>
      <c r="AB9" s="11">
        <v>5064.997764699744</v>
      </c>
      <c r="AC9" s="11"/>
      <c r="AD9" s="11">
        <f t="shared" ref="AD9:AD16" si="4">AB9-Z9</f>
        <v>959.44681204836979</v>
      </c>
      <c r="AE9" s="11">
        <v>2567.3568664262916</v>
      </c>
      <c r="AF9" s="11">
        <f t="shared" ref="AF9:AF12" si="5">SUM(AD9:AE9)</f>
        <v>3526.8036784746614</v>
      </c>
    </row>
    <row r="10" spans="1:32" x14ac:dyDescent="0.3">
      <c r="A10" t="str">
        <f>name!E6</f>
        <v>Associate professional occupations</v>
      </c>
      <c r="B10" s="11">
        <v>4219.4704423124967</v>
      </c>
      <c r="C10" s="11">
        <v>4570.8250970036297</v>
      </c>
      <c r="D10" s="11">
        <v>4781.923896536362</v>
      </c>
      <c r="E10" s="11">
        <v>4710.4240048833362</v>
      </c>
      <c r="F10" s="11">
        <v>5078.3169459225455</v>
      </c>
      <c r="G10" s="11"/>
      <c r="H10" s="11">
        <f t="shared" si="0"/>
        <v>296.39304938618352</v>
      </c>
      <c r="I10" s="11">
        <v>2229.3706593752195</v>
      </c>
      <c r="J10" s="11">
        <f t="shared" si="1"/>
        <v>2525.763708761403</v>
      </c>
      <c r="L10" s="10" t="str">
        <f>name!E6</f>
        <v>Associate professional occupations</v>
      </c>
      <c r="M10" s="11">
        <v>2278.1138359247002</v>
      </c>
      <c r="N10" s="11">
        <v>2426.6607026022766</v>
      </c>
      <c r="O10" s="11">
        <v>2516.6578272898741</v>
      </c>
      <c r="P10" s="11">
        <v>2380.5030439813777</v>
      </c>
      <c r="Q10" s="11">
        <v>2467.3039513064105</v>
      </c>
      <c r="R10" s="11"/>
      <c r="S10" s="11">
        <f t="shared" si="2"/>
        <v>-49.353875983463695</v>
      </c>
      <c r="T10" s="11">
        <v>911.29924347496319</v>
      </c>
      <c r="U10" s="11">
        <f t="shared" si="3"/>
        <v>861.9453674914995</v>
      </c>
      <c r="W10" s="10" t="str">
        <f>name!E6</f>
        <v>Associate professional occupations</v>
      </c>
      <c r="X10" s="11">
        <v>1941.3566063877915</v>
      </c>
      <c r="Y10" s="11">
        <v>2144.1643944013554</v>
      </c>
      <c r="Z10" s="11">
        <v>2265.2660692464924</v>
      </c>
      <c r="AA10" s="11">
        <v>2329.9209609019476</v>
      </c>
      <c r="AB10" s="11">
        <v>2611.0129946161414</v>
      </c>
      <c r="AC10" s="11"/>
      <c r="AD10" s="11">
        <f t="shared" si="4"/>
        <v>345.74692536964903</v>
      </c>
      <c r="AE10" s="11">
        <v>1318.0714159002569</v>
      </c>
      <c r="AF10" s="11">
        <f t="shared" si="5"/>
        <v>1663.8183412699059</v>
      </c>
    </row>
    <row r="11" spans="1:32" x14ac:dyDescent="0.3">
      <c r="A11" t="str">
        <f>name!E7</f>
        <v>Administrative and secretarial occupations</v>
      </c>
      <c r="B11" s="11">
        <v>3735.6125804733579</v>
      </c>
      <c r="C11" s="11">
        <v>3627.5245586753754</v>
      </c>
      <c r="D11" s="11">
        <v>3741.7432874574629</v>
      </c>
      <c r="E11" s="11">
        <v>3533.6821923072539</v>
      </c>
      <c r="F11" s="11">
        <v>3254.962815422205</v>
      </c>
      <c r="G11" s="11"/>
      <c r="H11" s="11">
        <f t="shared" si="0"/>
        <v>-486.78047203525784</v>
      </c>
      <c r="I11" s="11">
        <v>1738.7427206653242</v>
      </c>
      <c r="J11" s="11">
        <f t="shared" si="1"/>
        <v>1251.9622486300664</v>
      </c>
      <c r="L11" s="10" t="str">
        <f>name!E7</f>
        <v>Administrative and secretarial occupations</v>
      </c>
      <c r="M11" s="11">
        <v>950.97022339060163</v>
      </c>
      <c r="N11" s="11">
        <v>898.9600802889106</v>
      </c>
      <c r="O11" s="11">
        <v>1048.236467070534</v>
      </c>
      <c r="P11" s="11">
        <v>1016.5466274517416</v>
      </c>
      <c r="Q11" s="11">
        <v>1106.9600252534854</v>
      </c>
      <c r="R11" s="11"/>
      <c r="S11" s="11">
        <f t="shared" si="2"/>
        <v>58.723558182951365</v>
      </c>
      <c r="T11" s="11">
        <v>389.74139132853219</v>
      </c>
      <c r="U11" s="11">
        <f t="shared" si="3"/>
        <v>448.46494951148355</v>
      </c>
      <c r="W11" s="10" t="str">
        <f>name!E7</f>
        <v>Administrative and secretarial occupations</v>
      </c>
      <c r="X11" s="11">
        <v>2784.6423570827524</v>
      </c>
      <c r="Y11" s="11">
        <v>2728.5644783864664</v>
      </c>
      <c r="Z11" s="11">
        <v>2693.5068203869196</v>
      </c>
      <c r="AA11" s="11">
        <v>2517.1355648555218</v>
      </c>
      <c r="AB11" s="11">
        <v>2148.0027901687231</v>
      </c>
      <c r="AC11" s="11"/>
      <c r="AD11" s="11">
        <f t="shared" si="4"/>
        <v>-545.50403021819648</v>
      </c>
      <c r="AE11" s="11">
        <v>1349.001329336792</v>
      </c>
      <c r="AF11" s="11">
        <f t="shared" si="5"/>
        <v>803.49729911859549</v>
      </c>
    </row>
    <row r="12" spans="1:32" x14ac:dyDescent="0.3">
      <c r="A12" t="str">
        <f>name!E8</f>
        <v>Skilled trades occupations</v>
      </c>
      <c r="B12" s="11">
        <v>3489.0889692270907</v>
      </c>
      <c r="C12" s="11">
        <v>3434.4565427301281</v>
      </c>
      <c r="D12" s="11">
        <v>3028.9282668384967</v>
      </c>
      <c r="E12" s="11">
        <v>3070.1795836971373</v>
      </c>
      <c r="F12" s="11">
        <v>2990.0528560786383</v>
      </c>
      <c r="G12" s="11"/>
      <c r="H12" s="11">
        <f t="shared" si="0"/>
        <v>-38.875410759858369</v>
      </c>
      <c r="I12" s="11">
        <v>1292.747422769115</v>
      </c>
      <c r="J12" s="11">
        <f t="shared" si="1"/>
        <v>1253.8720120092567</v>
      </c>
      <c r="L12" s="10" t="str">
        <f>name!E8</f>
        <v>Skilled trades occupations</v>
      </c>
      <c r="M12" s="11">
        <v>3121.2998316095263</v>
      </c>
      <c r="N12" s="11">
        <v>3068.2739944238929</v>
      </c>
      <c r="O12" s="11">
        <v>2645.1789136430712</v>
      </c>
      <c r="P12" s="11">
        <v>2639.5335968216241</v>
      </c>
      <c r="Q12" s="11">
        <v>2516.1388185194332</v>
      </c>
      <c r="R12" s="11"/>
      <c r="S12" s="11">
        <f t="shared" si="2"/>
        <v>-129.04009512363791</v>
      </c>
      <c r="T12" s="11">
        <v>1031.2944161692099</v>
      </c>
      <c r="U12" s="11">
        <f t="shared" si="3"/>
        <v>902.25432104557194</v>
      </c>
      <c r="W12" s="10" t="str">
        <f>name!E8</f>
        <v>Skilled trades occupations</v>
      </c>
      <c r="X12" s="11">
        <v>367.78913761757138</v>
      </c>
      <c r="Y12" s="11">
        <v>366.18254830623675</v>
      </c>
      <c r="Z12" s="11">
        <v>383.74935319541953</v>
      </c>
      <c r="AA12" s="11">
        <v>430.6459868755137</v>
      </c>
      <c r="AB12" s="11">
        <v>473.91403755920248</v>
      </c>
      <c r="AC12" s="11"/>
      <c r="AD12" s="11">
        <f t="shared" si="4"/>
        <v>90.164684363782953</v>
      </c>
      <c r="AE12" s="11">
        <v>261.45300659990545</v>
      </c>
      <c r="AF12" s="11">
        <f t="shared" si="5"/>
        <v>351.6176909636884</v>
      </c>
    </row>
    <row r="13" spans="1:32" x14ac:dyDescent="0.3">
      <c r="A13" t="str">
        <f>name!E9</f>
        <v>Caring, leisure and other service occupations</v>
      </c>
      <c r="B13" s="11">
        <v>3148.6020297528362</v>
      </c>
      <c r="C13" s="11">
        <v>3251.1744182255684</v>
      </c>
      <c r="D13" s="11">
        <v>3133.5407600361896</v>
      </c>
      <c r="E13" s="11">
        <v>3358.3390070352661</v>
      </c>
      <c r="F13" s="11">
        <v>3635.2994154397293</v>
      </c>
      <c r="G13" s="11"/>
      <c r="H13" s="11">
        <f t="shared" si="0"/>
        <v>501.75865540353971</v>
      </c>
      <c r="I13" s="11">
        <v>1869.8994293359958</v>
      </c>
      <c r="J13" s="11">
        <f>SUM(H13:I13)</f>
        <v>2371.6580847395353</v>
      </c>
      <c r="L13" s="10" t="str">
        <f>name!E9</f>
        <v>Caring, leisure and other service occupations</v>
      </c>
      <c r="M13" s="11">
        <v>618.97774826176976</v>
      </c>
      <c r="N13" s="11">
        <v>649.39871842407683</v>
      </c>
      <c r="O13" s="11">
        <v>638.60203182711336</v>
      </c>
      <c r="P13" s="11">
        <v>723.5949409867959</v>
      </c>
      <c r="Q13" s="11">
        <v>826.06350287115674</v>
      </c>
      <c r="R13" s="11"/>
      <c r="S13" s="11">
        <f t="shared" si="2"/>
        <v>187.46147104404338</v>
      </c>
      <c r="T13" s="11">
        <v>329.18671000008158</v>
      </c>
      <c r="U13" s="11">
        <f>SUM(S13:T13)</f>
        <v>516.64818104412495</v>
      </c>
      <c r="W13" s="10" t="str">
        <f>name!E9</f>
        <v>Caring, leisure and other service occupations</v>
      </c>
      <c r="X13" s="11">
        <v>2529.624281491062</v>
      </c>
      <c r="Y13" s="11">
        <v>2601.7756998014938</v>
      </c>
      <c r="Z13" s="11">
        <v>2494.9387282090747</v>
      </c>
      <c r="AA13" s="11">
        <v>2634.744066048464</v>
      </c>
      <c r="AB13" s="11">
        <v>2809.235912568573</v>
      </c>
      <c r="AC13" s="11"/>
      <c r="AD13" s="11">
        <f t="shared" si="4"/>
        <v>314.29718435949826</v>
      </c>
      <c r="AE13" s="11">
        <v>1540.7127193359142</v>
      </c>
      <c r="AF13" s="11">
        <f>SUM(AD13:AE13)</f>
        <v>1855.0099036954125</v>
      </c>
    </row>
    <row r="14" spans="1:32" x14ac:dyDescent="0.3">
      <c r="A14" t="str">
        <f>name!E10</f>
        <v>Sales and customer service occupations</v>
      </c>
      <c r="B14" s="11">
        <v>2887.2607292090461</v>
      </c>
      <c r="C14" s="11">
        <v>2817.2683829511043</v>
      </c>
      <c r="D14" s="11">
        <v>2787.0869152161558</v>
      </c>
      <c r="E14" s="11">
        <v>2804.3168749890683</v>
      </c>
      <c r="F14" s="11">
        <v>2816.4265212171349</v>
      </c>
      <c r="G14" s="11"/>
      <c r="H14" s="11">
        <f t="shared" si="0"/>
        <v>29.339606000979074</v>
      </c>
      <c r="I14" s="11">
        <v>1289.3429033317334</v>
      </c>
      <c r="J14" s="11">
        <f t="shared" si="1"/>
        <v>1318.6825093327125</v>
      </c>
      <c r="L14" s="10" t="str">
        <f>name!E10</f>
        <v>Sales and customer service occupations</v>
      </c>
      <c r="M14" s="11">
        <v>1135.9301319259907</v>
      </c>
      <c r="N14" s="11">
        <v>1121.5154877190173</v>
      </c>
      <c r="O14" s="11">
        <v>1130.4299257149826</v>
      </c>
      <c r="P14" s="11">
        <v>1168.7097276504878</v>
      </c>
      <c r="Q14" s="11">
        <v>1211.3627966089041</v>
      </c>
      <c r="R14" s="11"/>
      <c r="S14" s="11">
        <f t="shared" si="2"/>
        <v>80.932870893921518</v>
      </c>
      <c r="T14" s="11">
        <v>397.96879712386476</v>
      </c>
      <c r="U14" s="11">
        <f t="shared" ref="U14:U15" si="6">SUM(S14:T14)</f>
        <v>478.90166801778628</v>
      </c>
      <c r="W14" s="10" t="str">
        <f>name!E10</f>
        <v>Sales and customer service occupations</v>
      </c>
      <c r="X14" s="11">
        <v>1751.3305972830485</v>
      </c>
      <c r="Y14" s="11">
        <v>1695.7528952320899</v>
      </c>
      <c r="Z14" s="11">
        <v>1656.6569895011771</v>
      </c>
      <c r="AA14" s="11">
        <v>1635.6071473385796</v>
      </c>
      <c r="AB14" s="11">
        <v>1605.0637246082315</v>
      </c>
      <c r="AC14" s="11"/>
      <c r="AD14" s="11">
        <f t="shared" si="4"/>
        <v>-51.593264892945626</v>
      </c>
      <c r="AE14" s="11">
        <v>891.37410620786841</v>
      </c>
      <c r="AF14" s="11">
        <f t="shared" ref="AF14:AF15" si="7">SUM(AD14:AE14)</f>
        <v>839.78084131492278</v>
      </c>
    </row>
    <row r="15" spans="1:32" x14ac:dyDescent="0.3">
      <c r="A15" t="str">
        <f>name!E11</f>
        <v>Process, plant and machine operatives</v>
      </c>
      <c r="B15" s="11">
        <v>2113.0176188901855</v>
      </c>
      <c r="C15" s="11">
        <v>2208.8202039417993</v>
      </c>
      <c r="D15" s="11">
        <v>1957.2722281630472</v>
      </c>
      <c r="E15" s="11">
        <v>2200.4595251607248</v>
      </c>
      <c r="F15" s="11">
        <v>2178.9115502901782</v>
      </c>
      <c r="G15" s="11"/>
      <c r="H15" s="11">
        <f t="shared" si="0"/>
        <v>221.63932212713098</v>
      </c>
      <c r="I15" s="11">
        <v>1021.4078669971987</v>
      </c>
      <c r="J15" s="11">
        <f t="shared" si="1"/>
        <v>1243.0471891243296</v>
      </c>
      <c r="L15" s="10" t="str">
        <f>name!E11</f>
        <v>Process, plant and machine operatives</v>
      </c>
      <c r="M15" s="11">
        <v>1844.8313804849643</v>
      </c>
      <c r="N15" s="11">
        <v>1933.1971408123022</v>
      </c>
      <c r="O15" s="11">
        <v>1713.2468583475386</v>
      </c>
      <c r="P15" s="11">
        <v>1878.5597186277942</v>
      </c>
      <c r="Q15" s="11">
        <v>1838.0020621985641</v>
      </c>
      <c r="R15" s="11"/>
      <c r="S15" s="11">
        <f t="shared" si="2"/>
        <v>124.7552038510255</v>
      </c>
      <c r="T15" s="11">
        <v>850.80019422036776</v>
      </c>
      <c r="U15" s="11">
        <f t="shared" si="6"/>
        <v>975.55539807139326</v>
      </c>
      <c r="W15" s="10" t="str">
        <f>name!E11</f>
        <v>Process, plant and machine operatives</v>
      </c>
      <c r="X15" s="11">
        <v>268.18623840522019</v>
      </c>
      <c r="Y15" s="11">
        <v>275.62306312949221</v>
      </c>
      <c r="Z15" s="11">
        <v>244.02536981550793</v>
      </c>
      <c r="AA15" s="11">
        <v>321.89980653293492</v>
      </c>
      <c r="AB15" s="11">
        <v>340.90948809161114</v>
      </c>
      <c r="AC15" s="11"/>
      <c r="AD15" s="11">
        <f t="shared" si="4"/>
        <v>96.884118276103209</v>
      </c>
      <c r="AE15" s="11">
        <v>170.60767277683101</v>
      </c>
      <c r="AF15" s="11">
        <f t="shared" si="7"/>
        <v>267.49179105293422</v>
      </c>
    </row>
    <row r="16" spans="1:32" x14ac:dyDescent="0.3">
      <c r="A16" t="str">
        <f>name!E12</f>
        <v>Elementary occupations</v>
      </c>
      <c r="B16" s="11">
        <v>3972.0256462651741</v>
      </c>
      <c r="C16" s="11">
        <v>3940.7752619985308</v>
      </c>
      <c r="D16" s="11">
        <v>3598.3337334970051</v>
      </c>
      <c r="E16" s="11">
        <v>3593.7838726699715</v>
      </c>
      <c r="F16" s="11">
        <v>3453.8359448220758</v>
      </c>
      <c r="G16" s="11"/>
      <c r="H16" s="11">
        <f t="shared" si="0"/>
        <v>-144.49778867492932</v>
      </c>
      <c r="I16" s="11">
        <v>1688.3527138210425</v>
      </c>
      <c r="J16" s="11">
        <f>SUM(H16:I16)</f>
        <v>1543.8549251461131</v>
      </c>
      <c r="L16" s="10" t="str">
        <f>name!E12</f>
        <v>Elementary occupations</v>
      </c>
      <c r="M16" s="11">
        <v>2118.3400479228503</v>
      </c>
      <c r="N16" s="11">
        <v>2033.3131893803495</v>
      </c>
      <c r="O16" s="11">
        <v>1898.9569579157574</v>
      </c>
      <c r="P16" s="11">
        <v>1936.1846103976466</v>
      </c>
      <c r="Q16" s="11">
        <v>1851.7282827080094</v>
      </c>
      <c r="R16" s="11"/>
      <c r="S16" s="11">
        <f t="shared" si="2"/>
        <v>-47.228675207747983</v>
      </c>
      <c r="T16" s="11">
        <v>741.27732311640284</v>
      </c>
      <c r="U16" s="11">
        <f>SUM(S16:T16)</f>
        <v>694.04864790865486</v>
      </c>
      <c r="W16" s="10" t="str">
        <f>name!E12</f>
        <v>Elementary occupations</v>
      </c>
      <c r="X16" s="11">
        <v>1853.6855983423247</v>
      </c>
      <c r="Y16" s="11">
        <v>1907.4620726181768</v>
      </c>
      <c r="Z16" s="11">
        <v>1699.3767755812471</v>
      </c>
      <c r="AA16" s="11">
        <v>1657.5992622723127</v>
      </c>
      <c r="AB16" s="11">
        <v>1602.1076621140719</v>
      </c>
      <c r="AC16" s="11"/>
      <c r="AD16" s="11">
        <f t="shared" si="4"/>
        <v>-97.269113467175202</v>
      </c>
      <c r="AE16" s="11">
        <v>947.07539070463974</v>
      </c>
      <c r="AF16" s="11">
        <f>SUM(AD16:AE16)</f>
        <v>849.80627723746454</v>
      </c>
    </row>
    <row r="17" spans="1:32" x14ac:dyDescent="0.3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3">
      <c r="A18" s="23" t="str">
        <f>name!E3</f>
        <v>All occupations</v>
      </c>
      <c r="B18" s="33">
        <f>SUM(B8:B16)</f>
        <v>33655.985000000073</v>
      </c>
      <c r="C18" s="33">
        <f>SUM(C8:C16)</f>
        <v>35365.00400000019</v>
      </c>
      <c r="D18" s="33">
        <f>SUM(D8:D16)</f>
        <v>34974.967999999841</v>
      </c>
      <c r="E18" s="33">
        <f>SUM(E8:E16)</f>
        <v>36022.323999999819</v>
      </c>
      <c r="F18" s="33">
        <f>SUM(F8:F16)</f>
        <v>37567.87200000009</v>
      </c>
      <c r="G18" s="11"/>
      <c r="H18" s="33">
        <f>SUM(H8:H16)</f>
        <v>2592.9040000002565</v>
      </c>
      <c r="I18" s="33">
        <f>SUM(I8:I16)</f>
        <v>17534.35566360243</v>
      </c>
      <c r="J18" s="33">
        <f>SUM(H18:I18)</f>
        <v>20127.259663602686</v>
      </c>
      <c r="L18" s="231" t="str">
        <f>name!E3</f>
        <v>All occupations</v>
      </c>
      <c r="M18" s="33">
        <f>SUM(M8:M16)</f>
        <v>17704.955000000045</v>
      </c>
      <c r="N18" s="33">
        <f>SUM(N8:N16)</f>
        <v>18453.751000000251</v>
      </c>
      <c r="O18" s="33">
        <f>SUM(O8:O16)</f>
        <v>18072.08199999978</v>
      </c>
      <c r="P18" s="33">
        <f>SUM(P8:P16)</f>
        <v>18555.940999999861</v>
      </c>
      <c r="Q18" s="33">
        <f>SUM(Q8:Q16)</f>
        <v>19212.934999999903</v>
      </c>
      <c r="R18" s="11"/>
      <c r="S18" s="33">
        <f>SUM(S8:S16)</f>
        <v>1140.8530000001217</v>
      </c>
      <c r="T18" s="33">
        <f>SUM(T8:T16)</f>
        <v>7557.7581698058766</v>
      </c>
      <c r="U18" s="33">
        <f>SUM(S18:T18)</f>
        <v>8698.6111698059976</v>
      </c>
      <c r="W18" s="231" t="str">
        <f>name!E3</f>
        <v>All occupations</v>
      </c>
      <c r="X18" s="33">
        <f>SUM(X8:X16)</f>
        <v>15951.030000000013</v>
      </c>
      <c r="Y18" s="33">
        <f>SUM(Y8:Y16)</f>
        <v>16911.25299999995</v>
      </c>
      <c r="Z18" s="33">
        <f>SUM(Z8:Z16)</f>
        <v>16902.88600000005</v>
      </c>
      <c r="AA18" s="33">
        <f>SUM(AA8:AA16)</f>
        <v>17466.382999999958</v>
      </c>
      <c r="AB18" s="33">
        <f>SUM(AB8:AB16)</f>
        <v>18354.937000000198</v>
      </c>
      <c r="AC18" s="11"/>
      <c r="AD18" s="33">
        <f>SUM(AD8:AD16)</f>
        <v>1452.0510000001457</v>
      </c>
      <c r="AE18" s="33">
        <f>SUM(AE8:AE16)</f>
        <v>9976.597493796553</v>
      </c>
      <c r="AF18" s="33">
        <f>SUM(AD18:AE18)</f>
        <v>11428.648493796698</v>
      </c>
    </row>
    <row r="19" spans="1:32" x14ac:dyDescent="0.3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3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3">
      <c r="B21" s="11"/>
      <c r="C21" s="11"/>
      <c r="D21" s="11"/>
      <c r="E21" s="11"/>
      <c r="F21" s="15" t="s">
        <v>34</v>
      </c>
      <c r="G21" s="11"/>
      <c r="J21" s="15" t="s">
        <v>34</v>
      </c>
      <c r="M21" s="11"/>
      <c r="N21" s="11"/>
      <c r="O21" s="11"/>
      <c r="P21" s="11"/>
      <c r="Q21" s="15" t="s">
        <v>34</v>
      </c>
      <c r="R21" s="11"/>
      <c r="U21" s="15" t="s">
        <v>34</v>
      </c>
      <c r="X21" s="11"/>
      <c r="Y21" s="11"/>
      <c r="Z21" s="11"/>
      <c r="AA21" s="11"/>
      <c r="AB21" s="15" t="s">
        <v>34</v>
      </c>
      <c r="AC21" s="11"/>
      <c r="AF21" s="15" t="s">
        <v>34</v>
      </c>
    </row>
    <row r="22" spans="1:32" x14ac:dyDescent="0.3">
      <c r="A22" s="35"/>
      <c r="B22" s="64"/>
      <c r="C22" s="64"/>
      <c r="D22" s="64"/>
      <c r="E22" s="64"/>
      <c r="F22" s="64"/>
      <c r="G22" s="11"/>
      <c r="H22" s="27" t="str">
        <f>H4</f>
        <v>2020-2035</v>
      </c>
      <c r="I22" s="35"/>
      <c r="J22" s="35"/>
      <c r="L22" s="35"/>
      <c r="M22" s="64"/>
      <c r="N22" s="64"/>
      <c r="O22" s="64"/>
      <c r="P22" s="64"/>
      <c r="Q22" s="64"/>
      <c r="R22" s="11"/>
      <c r="S22" s="27" t="str">
        <f>S4</f>
        <v>2020-2035</v>
      </c>
      <c r="T22" s="35"/>
      <c r="U22" s="35"/>
      <c r="W22" s="35"/>
      <c r="X22" s="64"/>
      <c r="Y22" s="64"/>
      <c r="Z22" s="64"/>
      <c r="AA22" s="64"/>
      <c r="AB22" s="64"/>
      <c r="AC22" s="11"/>
      <c r="AD22" s="27" t="str">
        <f>AD4</f>
        <v>2020-2035</v>
      </c>
      <c r="AE22" s="35"/>
      <c r="AF22" s="35"/>
    </row>
    <row r="23" spans="1:32" x14ac:dyDescent="0.3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3">
      <c r="A24" s="40" t="s">
        <v>463</v>
      </c>
      <c r="B24" s="34">
        <f>B$6</f>
        <v>2015</v>
      </c>
      <c r="C24" s="34">
        <f>C$6</f>
        <v>2019</v>
      </c>
      <c r="D24" s="34">
        <f>D$6</f>
        <v>2020</v>
      </c>
      <c r="E24" s="34">
        <f>E$6</f>
        <v>2025</v>
      </c>
      <c r="F24" s="34">
        <f>F$6</f>
        <v>2035</v>
      </c>
      <c r="G24" s="11"/>
      <c r="H24" s="23" t="str">
        <f>H6</f>
        <v>Change</v>
      </c>
      <c r="I24" s="23" t="str">
        <f>I6</f>
        <v>Demand</v>
      </c>
      <c r="J24" s="23" t="str">
        <f>J6</f>
        <v>Requirement</v>
      </c>
      <c r="L24" s="40" t="s">
        <v>463</v>
      </c>
      <c r="M24" s="34">
        <f>M$6</f>
        <v>2015</v>
      </c>
      <c r="N24" s="34">
        <f>N$6</f>
        <v>2019</v>
      </c>
      <c r="O24" s="34">
        <f>O$6</f>
        <v>2020</v>
      </c>
      <c r="P24" s="34">
        <f>P$6</f>
        <v>2025</v>
      </c>
      <c r="Q24" s="34">
        <f>Q$6</f>
        <v>2035</v>
      </c>
      <c r="R24" s="11"/>
      <c r="S24" s="23" t="str">
        <f>S6</f>
        <v>Change</v>
      </c>
      <c r="T24" s="23" t="str">
        <f>T6</f>
        <v>Demand</v>
      </c>
      <c r="U24" s="23" t="str">
        <f>U6</f>
        <v>Requirement</v>
      </c>
      <c r="W24" s="40" t="s">
        <v>463</v>
      </c>
      <c r="X24" s="34">
        <f>X$6</f>
        <v>2015</v>
      </c>
      <c r="Y24" s="34">
        <f>Y$6</f>
        <v>2019</v>
      </c>
      <c r="Z24" s="34">
        <f>Z$6</f>
        <v>2020</v>
      </c>
      <c r="AA24" s="34">
        <f>AA$6</f>
        <v>2025</v>
      </c>
      <c r="AB24" s="34">
        <f>AB$6</f>
        <v>2035</v>
      </c>
      <c r="AC24" s="11"/>
      <c r="AD24" s="23" t="str">
        <f>AD6</f>
        <v>Change</v>
      </c>
      <c r="AE24" s="23" t="str">
        <f>AE6</f>
        <v>Demand</v>
      </c>
      <c r="AF24" s="23" t="str">
        <f>AF6</f>
        <v>Requirement</v>
      </c>
    </row>
    <row r="25" spans="1:32" x14ac:dyDescent="0.3">
      <c r="A25" s="1"/>
      <c r="B25" s="16"/>
      <c r="C25" s="16"/>
      <c r="D25" s="16"/>
      <c r="E25" s="16"/>
      <c r="F25" s="16"/>
      <c r="G25" s="11"/>
      <c r="L25" s="1"/>
      <c r="M25" s="16"/>
      <c r="N25" s="16"/>
      <c r="O25" s="16"/>
      <c r="P25" s="16"/>
      <c r="Q25" s="16"/>
      <c r="R25" s="11"/>
      <c r="W25" s="1"/>
      <c r="X25" s="16"/>
      <c r="Y25" s="16"/>
      <c r="Z25" s="16"/>
      <c r="AA25" s="16"/>
      <c r="AB25" s="16"/>
      <c r="AC25" s="11"/>
    </row>
    <row r="26" spans="1:32" x14ac:dyDescent="0.3">
      <c r="A26" t="str">
        <f>$A$8</f>
        <v>Managers, directors and senior officials</v>
      </c>
      <c r="B26" s="17">
        <f t="shared" ref="B26:F34" si="8">B8/B$18*100</f>
        <v>9.5240865431101476</v>
      </c>
      <c r="C26" s="17">
        <f t="shared" si="8"/>
        <v>10.399335840570343</v>
      </c>
      <c r="D26" s="17">
        <f t="shared" si="8"/>
        <v>10.712116168497275</v>
      </c>
      <c r="E26" s="17">
        <f t="shared" si="8"/>
        <v>10.722917995360076</v>
      </c>
      <c r="F26" s="17">
        <f t="shared" si="8"/>
        <v>11.494526148177284</v>
      </c>
      <c r="G26" s="11"/>
      <c r="H26" s="39">
        <f>IF(D8&gt;0,(H8/D8)*100,0)</f>
        <v>15.2590587114043</v>
      </c>
      <c r="I26" s="39">
        <f>IF(D8&gt;0,(I8/D8)*100,0)</f>
        <v>56.700000796493889</v>
      </c>
      <c r="J26" s="39">
        <f>IF(D8&gt;0,(J8/D8)*100,0)</f>
        <v>71.959059507898189</v>
      </c>
      <c r="L26" t="str">
        <f>$A$8</f>
        <v>Managers, directors and senior officials</v>
      </c>
      <c r="M26" s="17">
        <f t="shared" ref="M26:Q26" si="9">M8/M$18*100</f>
        <v>12.025730241805276</v>
      </c>
      <c r="N26" s="17">
        <f t="shared" si="9"/>
        <v>12.864370005925069</v>
      </c>
      <c r="O26" s="17">
        <f t="shared" si="9"/>
        <v>13.206802960732055</v>
      </c>
      <c r="P26" s="17">
        <f t="shared" si="9"/>
        <v>12.990942354783186</v>
      </c>
      <c r="Q26" s="17">
        <f t="shared" si="9"/>
        <v>13.629131857157159</v>
      </c>
      <c r="R26" s="11"/>
      <c r="S26" s="39">
        <f>IF(O8&gt;0,(S8/O8)*100,0)</f>
        <v>9.7124768648504034</v>
      </c>
      <c r="T26" s="39">
        <f>IF(O8&gt;0,(T8/O8)*100,0)</f>
        <v>49.999245020794554</v>
      </c>
      <c r="U26" s="39">
        <f>IF(O8&gt;0,(U8/O8)*100,0)</f>
        <v>59.711721885644955</v>
      </c>
      <c r="W26" t="str">
        <f>$A$8</f>
        <v>Managers, directors and senior officials</v>
      </c>
      <c r="X26" s="17">
        <f t="shared" ref="X26:AB26" si="10">X8/X$18*100</f>
        <v>6.7473699855317006</v>
      </c>
      <c r="Y26" s="17">
        <f t="shared" si="10"/>
        <v>7.7094626127290882</v>
      </c>
      <c r="Z26" s="17">
        <f t="shared" si="10"/>
        <v>8.0448684408853897</v>
      </c>
      <c r="AA26" s="17">
        <f t="shared" si="10"/>
        <v>8.3134136234464702</v>
      </c>
      <c r="AB26" s="17">
        <f t="shared" si="10"/>
        <v>9.2601387058636053</v>
      </c>
      <c r="AC26" s="11"/>
      <c r="AD26" s="39">
        <f>IF(Z8&gt;0,(AD8/Z8)*100,0)</f>
        <v>24.994407239556367</v>
      </c>
      <c r="AE26" s="39">
        <f>IF(Z8&gt;0,(AE8/Z8)*100,0)</f>
        <v>68.461152922824112</v>
      </c>
      <c r="AF26" s="39">
        <f>IF(Z8&gt;0,(AF8/Z8)*100,0)</f>
        <v>93.455560162380465</v>
      </c>
    </row>
    <row r="27" spans="1:32" x14ac:dyDescent="0.3">
      <c r="A27" t="str">
        <f>$A$9</f>
        <v>Professional occupations</v>
      </c>
      <c r="B27" s="17">
        <f t="shared" si="8"/>
        <v>20.458417263775491</v>
      </c>
      <c r="C27" s="17">
        <f t="shared" si="8"/>
        <v>22.158725044914046</v>
      </c>
      <c r="D27" s="17">
        <f t="shared" si="8"/>
        <v>23.4441378479615</v>
      </c>
      <c r="E27" s="17">
        <f t="shared" si="8"/>
        <v>24.674961772911193</v>
      </c>
      <c r="F27" s="17">
        <f t="shared" si="8"/>
        <v>26.19743029483751</v>
      </c>
      <c r="G27" s="11"/>
      <c r="H27" s="39">
        <f>IF(D9&gt;0,(H9/D9)*100,0)</f>
        <v>20.028311551267098</v>
      </c>
      <c r="I27" s="39">
        <f t="shared" ref="I27:I36" si="11">IF(D9&gt;0,(I9/D9)*100,0)</f>
        <v>52.20014929028666</v>
      </c>
      <c r="J27" s="39">
        <f t="shared" ref="J27:J36" si="12">IF(D9&gt;0,(J9/D9)*100,0)</f>
        <v>72.228460841553755</v>
      </c>
      <c r="L27" t="str">
        <f>$A$9</f>
        <v>Professional occupations</v>
      </c>
      <c r="M27" s="17">
        <f t="shared" ref="M27:Q27" si="13">M9/M$18*100</f>
        <v>19.809944011417222</v>
      </c>
      <c r="N27" s="17">
        <f t="shared" si="13"/>
        <v>21.396586947213272</v>
      </c>
      <c r="O27" s="17">
        <f t="shared" si="13"/>
        <v>22.65388546570928</v>
      </c>
      <c r="P27" s="17">
        <f t="shared" si="13"/>
        <v>23.721336122942333</v>
      </c>
      <c r="Q27" s="17">
        <f t="shared" si="13"/>
        <v>24.862517443347816</v>
      </c>
      <c r="R27" s="11"/>
      <c r="S27" s="39">
        <f t="shared" ref="S27:S34" si="14">IF(O9&gt;0,(S9/O9)*100,0)</f>
        <v>16.677717686912622</v>
      </c>
      <c r="T27" s="39">
        <f t="shared" ref="T27:T34" si="15">IF(O9&gt;0,(T9/O9)*100,0)</f>
        <v>41.837419444503183</v>
      </c>
      <c r="U27" s="39">
        <f t="shared" ref="U27:U34" si="16">IF(O9&gt;0,(U9/O9)*100,0)</f>
        <v>58.515137131415806</v>
      </c>
      <c r="W27" t="str">
        <f>$A$9</f>
        <v>Professional occupations</v>
      </c>
      <c r="X27" s="17">
        <f t="shared" ref="X27:AB27" si="17">X9/X$18*100</f>
        <v>21.178194591741597</v>
      </c>
      <c r="Y27" s="17">
        <f t="shared" si="17"/>
        <v>22.990378777643645</v>
      </c>
      <c r="Z27" s="17">
        <f t="shared" si="17"/>
        <v>24.289053080351852</v>
      </c>
      <c r="AA27" s="17">
        <f t="shared" si="17"/>
        <v>25.688074865467915</v>
      </c>
      <c r="AB27" s="17">
        <f t="shared" si="17"/>
        <v>27.594743390836424</v>
      </c>
      <c r="AC27" s="11"/>
      <c r="AD27" s="39">
        <f t="shared" ref="AD27:AD34" si="18">IF(Z9&gt;0,(AD9/Z9)*100,0)</f>
        <v>23.369502001400246</v>
      </c>
      <c r="AE27" s="39">
        <f t="shared" ref="AE27:AE34" si="19">IF(Z9&gt;0,(AE9/Z9)*100,0)</f>
        <v>62.533796219683659</v>
      </c>
      <c r="AF27" s="39">
        <f t="shared" ref="AF27:AF34" si="20">IF(Z9&gt;0,(AF9/Z9)*100,0)</f>
        <v>85.903298221083915</v>
      </c>
    </row>
    <row r="28" spans="1:32" x14ac:dyDescent="0.3">
      <c r="A28" t="str">
        <f>$A$10</f>
        <v>Associate professional occupations</v>
      </c>
      <c r="B28" s="17">
        <f t="shared" si="8"/>
        <v>12.537058244803969</v>
      </c>
      <c r="C28" s="17">
        <f t="shared" si="8"/>
        <v>12.9247125124137</v>
      </c>
      <c r="D28" s="17">
        <f t="shared" si="8"/>
        <v>13.672418217899111</v>
      </c>
      <c r="E28" s="17">
        <f t="shared" si="8"/>
        <v>13.076402302314976</v>
      </c>
      <c r="F28" s="17">
        <f t="shared" si="8"/>
        <v>13.517712544172142</v>
      </c>
      <c r="G28" s="11"/>
      <c r="H28" s="39">
        <f t="shared" ref="H28:H34" si="21">IF(D10&gt;0,(H10/D10)*100,0)</f>
        <v>6.1981967049050413</v>
      </c>
      <c r="I28" s="39">
        <f t="shared" si="11"/>
        <v>46.620789197209831</v>
      </c>
      <c r="J28" s="39">
        <f t="shared" si="12"/>
        <v>52.818985902114868</v>
      </c>
      <c r="L28" t="str">
        <f>$A$10</f>
        <v>Associate professional occupations</v>
      </c>
      <c r="M28" s="17">
        <f t="shared" ref="M28:Q28" si="22">M10/M$18*100</f>
        <v>12.867097577625552</v>
      </c>
      <c r="N28" s="17">
        <f t="shared" si="22"/>
        <v>13.149959065786915</v>
      </c>
      <c r="O28" s="17">
        <f t="shared" si="22"/>
        <v>13.925666269608033</v>
      </c>
      <c r="P28" s="17">
        <f t="shared" si="22"/>
        <v>12.828791835355563</v>
      </c>
      <c r="Q28" s="17">
        <f t="shared" si="22"/>
        <v>12.841889858610479</v>
      </c>
      <c r="R28" s="11"/>
      <c r="S28" s="39">
        <f t="shared" si="14"/>
        <v>-1.9610880529043413</v>
      </c>
      <c r="T28" s="39">
        <f t="shared" si="15"/>
        <v>36.210693149982909</v>
      </c>
      <c r="U28" s="39">
        <f t="shared" si="16"/>
        <v>34.249605097078565</v>
      </c>
      <c r="W28" t="str">
        <f>$A$10</f>
        <v>Associate professional occupations</v>
      </c>
      <c r="X28" s="17">
        <f t="shared" ref="X28:AB28" si="23">X10/X$18*100</f>
        <v>12.170728826839332</v>
      </c>
      <c r="Y28" s="17">
        <f t="shared" si="23"/>
        <v>12.678920919705725</v>
      </c>
      <c r="Z28" s="17">
        <f t="shared" si="23"/>
        <v>13.40165264823111</v>
      </c>
      <c r="AA28" s="17">
        <f t="shared" si="23"/>
        <v>13.339458781488723</v>
      </c>
      <c r="AB28" s="17">
        <f t="shared" si="23"/>
        <v>14.225126431194578</v>
      </c>
      <c r="AC28" s="11"/>
      <c r="AD28" s="39">
        <f t="shared" si="18"/>
        <v>15.262971977709297</v>
      </c>
      <c r="AE28" s="39">
        <f t="shared" si="19"/>
        <v>58.186163373677957</v>
      </c>
      <c r="AF28" s="39">
        <f t="shared" si="20"/>
        <v>73.449135351387255</v>
      </c>
    </row>
    <row r="29" spans="1:32" x14ac:dyDescent="0.3">
      <c r="A29" t="str">
        <f>$A$11</f>
        <v>Administrative and secretarial occupations</v>
      </c>
      <c r="B29" s="17">
        <f t="shared" si="8"/>
        <v>11.099400538933416</v>
      </c>
      <c r="C29" s="17">
        <f t="shared" si="8"/>
        <v>10.257384839191184</v>
      </c>
      <c r="D29" s="17">
        <f t="shared" si="8"/>
        <v>10.698346564484289</v>
      </c>
      <c r="E29" s="17">
        <f t="shared" si="8"/>
        <v>9.8097007630803379</v>
      </c>
      <c r="F29" s="17">
        <f t="shared" si="8"/>
        <v>8.6642192973352259</v>
      </c>
      <c r="G29" s="11"/>
      <c r="H29" s="39">
        <f t="shared" si="21"/>
        <v>-13.00945667937653</v>
      </c>
      <c r="I29" s="39">
        <f t="shared" si="11"/>
        <v>46.468787062268255</v>
      </c>
      <c r="J29" s="39">
        <f t="shared" si="12"/>
        <v>33.459330382891721</v>
      </c>
      <c r="L29" t="str">
        <f>$A$11</f>
        <v>Administrative and secretarial occupations</v>
      </c>
      <c r="M29" s="17">
        <f t="shared" ref="M29:Q29" si="24">M11/M$18*100</f>
        <v>5.3712094913011592</v>
      </c>
      <c r="N29" s="17">
        <f t="shared" si="24"/>
        <v>4.8714219688392806</v>
      </c>
      <c r="O29" s="17">
        <f t="shared" si="24"/>
        <v>5.8003082714573049</v>
      </c>
      <c r="P29" s="17">
        <f t="shared" si="24"/>
        <v>5.4782812008927451</v>
      </c>
      <c r="Q29" s="17">
        <f t="shared" si="24"/>
        <v>5.7615352638911803</v>
      </c>
      <c r="R29" s="11"/>
      <c r="S29" s="39">
        <f t="shared" si="14"/>
        <v>5.6021289115292685</v>
      </c>
      <c r="T29" s="39">
        <f t="shared" si="15"/>
        <v>37.180674740092513</v>
      </c>
      <c r="U29" s="39">
        <f t="shared" si="16"/>
        <v>42.782803651621784</v>
      </c>
      <c r="W29" t="str">
        <f>$A$11</f>
        <v>Administrative and secretarial occupations</v>
      </c>
      <c r="X29" s="17">
        <f t="shared" ref="X29:AB29" si="25">X11/X$18*100</f>
        <v>17.457445425673139</v>
      </c>
      <c r="Y29" s="17">
        <f t="shared" si="25"/>
        <v>16.134608585102917</v>
      </c>
      <c r="Z29" s="17">
        <f t="shared" si="25"/>
        <v>15.935188939846793</v>
      </c>
      <c r="AA29" s="17">
        <f t="shared" si="25"/>
        <v>14.411315524545223</v>
      </c>
      <c r="AB29" s="17">
        <f t="shared" si="25"/>
        <v>11.702588737671505</v>
      </c>
      <c r="AC29" s="11"/>
      <c r="AD29" s="39">
        <f t="shared" si="18"/>
        <v>-20.252557969756147</v>
      </c>
      <c r="AE29" s="39">
        <f t="shared" si="19"/>
        <v>50.083456968674369</v>
      </c>
      <c r="AF29" s="39">
        <f t="shared" si="20"/>
        <v>29.830898998918215</v>
      </c>
    </row>
    <row r="30" spans="1:32" x14ac:dyDescent="0.3">
      <c r="A30" t="str">
        <f>$A$12</f>
        <v>Skilled trades occupations</v>
      </c>
      <c r="B30" s="17">
        <f t="shared" si="8"/>
        <v>10.366919789235356</v>
      </c>
      <c r="C30" s="17">
        <f t="shared" si="8"/>
        <v>9.7114552644476149</v>
      </c>
      <c r="D30" s="17">
        <f t="shared" si="8"/>
        <v>8.6602745907830716</v>
      </c>
      <c r="E30" s="17">
        <f t="shared" si="8"/>
        <v>8.522991419701718</v>
      </c>
      <c r="F30" s="17">
        <f t="shared" si="8"/>
        <v>7.9590690047033581</v>
      </c>
      <c r="G30" s="11"/>
      <c r="H30" s="39">
        <f t="shared" si="21"/>
        <v>-1.2834708297808366</v>
      </c>
      <c r="I30" s="39">
        <f t="shared" si="11"/>
        <v>42.680027682479441</v>
      </c>
      <c r="J30" s="39">
        <f t="shared" si="12"/>
        <v>41.396556852698602</v>
      </c>
      <c r="L30" t="str">
        <f>$A$12</f>
        <v>Skilled trades occupations</v>
      </c>
      <c r="M30" s="17">
        <f t="shared" ref="M30:Q30" si="26">M12/M$18*100</f>
        <v>17.629527053920885</v>
      </c>
      <c r="N30" s="17">
        <f t="shared" si="26"/>
        <v>16.626831013509673</v>
      </c>
      <c r="O30" s="17">
        <f t="shared" si="26"/>
        <v>14.636824432531368</v>
      </c>
      <c r="P30" s="17">
        <f t="shared" si="26"/>
        <v>14.224735877429465</v>
      </c>
      <c r="Q30" s="17">
        <f t="shared" si="26"/>
        <v>13.096066886810609</v>
      </c>
      <c r="R30" s="11"/>
      <c r="S30" s="39">
        <f t="shared" si="14"/>
        <v>-4.8783125579175852</v>
      </c>
      <c r="T30" s="39">
        <f t="shared" si="15"/>
        <v>38.987699881096525</v>
      </c>
      <c r="U30" s="39">
        <f t="shared" si="16"/>
        <v>34.109387323178936</v>
      </c>
      <c r="W30" t="str">
        <f>$A$12</f>
        <v>Skilled trades occupations</v>
      </c>
      <c r="X30" s="17">
        <f t="shared" ref="X30:AB30" si="27">X12/X$18*100</f>
        <v>2.305739112882184</v>
      </c>
      <c r="Y30" s="17">
        <f t="shared" si="27"/>
        <v>2.1653188460147681</v>
      </c>
      <c r="Z30" s="17">
        <f t="shared" si="27"/>
        <v>2.2703185313763483</v>
      </c>
      <c r="AA30" s="17">
        <f t="shared" si="27"/>
        <v>2.4655705012051707</v>
      </c>
      <c r="AB30" s="17">
        <f t="shared" si="27"/>
        <v>2.5819431445566794</v>
      </c>
      <c r="AC30" s="11"/>
      <c r="AD30" s="39">
        <f t="shared" si="18"/>
        <v>23.495722823503424</v>
      </c>
      <c r="AE30" s="39">
        <f t="shared" si="19"/>
        <v>68.131191472461921</v>
      </c>
      <c r="AF30" s="39">
        <f t="shared" si="20"/>
        <v>91.626914295965349</v>
      </c>
    </row>
    <row r="31" spans="1:32" x14ac:dyDescent="0.3">
      <c r="A31" t="str">
        <f>$A$13</f>
        <v>Caring, leisure and other service occupations</v>
      </c>
      <c r="B31" s="17">
        <f t="shared" si="8"/>
        <v>9.3552514649410181</v>
      </c>
      <c r="C31" s="17">
        <f t="shared" si="8"/>
        <v>9.1931968061577241</v>
      </c>
      <c r="D31" s="17">
        <f t="shared" si="8"/>
        <v>8.9593813496447066</v>
      </c>
      <c r="E31" s="17">
        <f t="shared" si="8"/>
        <v>9.3229382064168966</v>
      </c>
      <c r="F31" s="17">
        <f t="shared" si="8"/>
        <v>9.6766178702901264</v>
      </c>
      <c r="G31" s="11"/>
      <c r="H31" s="39">
        <f t="shared" si="21"/>
        <v>16.012514080006568</v>
      </c>
      <c r="I31" s="39">
        <f t="shared" si="11"/>
        <v>59.67369096275614</v>
      </c>
      <c r="J31" s="39">
        <f t="shared" si="12"/>
        <v>75.686205042762694</v>
      </c>
      <c r="L31" t="str">
        <f>$A$13</f>
        <v>Caring, leisure and other service occupations</v>
      </c>
      <c r="M31" s="17">
        <f t="shared" ref="M31:Q31" si="28">M13/M$18*100</f>
        <v>3.4960707229234314</v>
      </c>
      <c r="N31" s="17">
        <f t="shared" si="28"/>
        <v>3.5190608046248593</v>
      </c>
      <c r="O31" s="17">
        <f t="shared" si="28"/>
        <v>3.533638414362668</v>
      </c>
      <c r="P31" s="17">
        <f t="shared" si="28"/>
        <v>3.8995324515571661</v>
      </c>
      <c r="Q31" s="17">
        <f t="shared" si="28"/>
        <v>4.2995175014705502</v>
      </c>
      <c r="R31" s="11"/>
      <c r="S31" s="39">
        <f t="shared" si="14"/>
        <v>29.354975665782757</v>
      </c>
      <c r="T31" s="39">
        <f t="shared" si="15"/>
        <v>51.54802108258891</v>
      </c>
      <c r="U31" s="39">
        <f t="shared" si="16"/>
        <v>80.902996748371663</v>
      </c>
      <c r="W31" t="str">
        <f>$A$13</f>
        <v>Caring, leisure and other service occupations</v>
      </c>
      <c r="X31" s="17">
        <f t="shared" ref="X31:AB31" si="29">X13/X$18*100</f>
        <v>15.858689260135927</v>
      </c>
      <c r="Y31" s="17">
        <f t="shared" si="29"/>
        <v>15.38487833989298</v>
      </c>
      <c r="Z31" s="17">
        <f t="shared" si="29"/>
        <v>14.760430427141657</v>
      </c>
      <c r="AA31" s="17">
        <f t="shared" si="29"/>
        <v>15.084657573628554</v>
      </c>
      <c r="AB31" s="17">
        <f t="shared" si="29"/>
        <v>15.305069761713389</v>
      </c>
      <c r="AC31" s="11"/>
      <c r="AD31" s="39">
        <f t="shared" si="18"/>
        <v>12.597390902064681</v>
      </c>
      <c r="AE31" s="39">
        <f t="shared" si="19"/>
        <v>61.753529331835487</v>
      </c>
      <c r="AF31" s="39">
        <f t="shared" si="20"/>
        <v>74.350920233900169</v>
      </c>
    </row>
    <row r="32" spans="1:32" x14ac:dyDescent="0.3">
      <c r="A32" t="str">
        <f>$A$14</f>
        <v>Sales and customer service occupations</v>
      </c>
      <c r="B32" s="17">
        <f t="shared" si="8"/>
        <v>8.5787438080003895</v>
      </c>
      <c r="C32" s="17">
        <f t="shared" si="8"/>
        <v>7.9662606087958849</v>
      </c>
      <c r="D32" s="17">
        <f t="shared" si="8"/>
        <v>7.9688047612114135</v>
      </c>
      <c r="E32" s="17">
        <f t="shared" si="8"/>
        <v>7.784941568425964</v>
      </c>
      <c r="F32" s="17">
        <f t="shared" si="8"/>
        <v>7.4969019305036175</v>
      </c>
      <c r="H32" s="39">
        <f t="shared" si="21"/>
        <v>1.0526979205707192</v>
      </c>
      <c r="I32" s="39">
        <f t="shared" si="11"/>
        <v>46.261309480251242</v>
      </c>
      <c r="J32" s="39">
        <f t="shared" si="12"/>
        <v>47.314007400821964</v>
      </c>
      <c r="L32" t="str">
        <f>$A$14</f>
        <v>Sales and customer service occupations</v>
      </c>
      <c r="M32" s="17">
        <f t="shared" ref="M32:Q32" si="30">M14/M$18*100</f>
        <v>6.415888274926357</v>
      </c>
      <c r="N32" s="17">
        <f t="shared" si="30"/>
        <v>6.0774391489242596</v>
      </c>
      <c r="O32" s="17">
        <f t="shared" si="30"/>
        <v>6.2551172892807605</v>
      </c>
      <c r="P32" s="17">
        <f t="shared" si="30"/>
        <v>6.298304826742533</v>
      </c>
      <c r="Q32" s="17">
        <f t="shared" si="30"/>
        <v>6.304933611699151</v>
      </c>
      <c r="S32" s="39">
        <f t="shared" si="14"/>
        <v>7.1594770319560057</v>
      </c>
      <c r="T32" s="39">
        <f t="shared" si="15"/>
        <v>35.205083311303405</v>
      </c>
      <c r="U32" s="39">
        <f t="shared" si="16"/>
        <v>42.364560343259406</v>
      </c>
      <c r="W32" t="str">
        <f>$A$14</f>
        <v>Sales and customer service occupations</v>
      </c>
      <c r="X32" s="17">
        <f t="shared" ref="X32:AB32" si="31">X14/X$18*100</f>
        <v>10.979420120726042</v>
      </c>
      <c r="Y32" s="17">
        <f t="shared" si="31"/>
        <v>10.027363999770419</v>
      </c>
      <c r="Z32" s="17">
        <f t="shared" si="31"/>
        <v>9.8010303654723359</v>
      </c>
      <c r="AA32" s="17">
        <f t="shared" si="31"/>
        <v>9.3643151380488074</v>
      </c>
      <c r="AB32" s="17">
        <f t="shared" si="31"/>
        <v>8.7445885791284059</v>
      </c>
      <c r="AD32" s="39">
        <f t="shared" si="18"/>
        <v>-3.1142997747820123</v>
      </c>
      <c r="AE32" s="39">
        <f t="shared" si="19"/>
        <v>53.805592337872135</v>
      </c>
      <c r="AF32" s="39">
        <f t="shared" si="20"/>
        <v>50.691292563090116</v>
      </c>
    </row>
    <row r="33" spans="1:32" x14ac:dyDescent="0.3">
      <c r="A33" t="str">
        <f>$A$15</f>
        <v>Process, plant and machine operatives</v>
      </c>
      <c r="B33" s="17">
        <f t="shared" si="8"/>
        <v>6.2782819129797591</v>
      </c>
      <c r="C33" s="17">
        <f t="shared" si="8"/>
        <v>6.2457795959581608</v>
      </c>
      <c r="D33" s="17">
        <f t="shared" si="8"/>
        <v>5.5962087746958229</v>
      </c>
      <c r="E33" s="17">
        <f t="shared" si="8"/>
        <v>6.108599559430802</v>
      </c>
      <c r="F33" s="17">
        <f t="shared" si="8"/>
        <v>5.7999333853409984</v>
      </c>
      <c r="G33" s="11"/>
      <c r="H33" s="39">
        <f t="shared" si="21"/>
        <v>11.323888365551758</v>
      </c>
      <c r="I33" s="39">
        <f t="shared" si="11"/>
        <v>52.185273581274771</v>
      </c>
      <c r="J33" s="39">
        <f t="shared" si="12"/>
        <v>63.509161946826531</v>
      </c>
      <c r="L33" t="str">
        <f>$A$15</f>
        <v>Process, plant and machine operatives</v>
      </c>
      <c r="M33" s="17">
        <f t="shared" ref="M33:Q33" si="32">M15/M$18*100</f>
        <v>10.41985918905165</v>
      </c>
      <c r="N33" s="17">
        <f t="shared" si="32"/>
        <v>10.475903467063558</v>
      </c>
      <c r="O33" s="17">
        <f t="shared" si="32"/>
        <v>9.4800746164584648</v>
      </c>
      <c r="P33" s="17">
        <f t="shared" si="32"/>
        <v>10.123764236089176</v>
      </c>
      <c r="Q33" s="17">
        <f t="shared" si="32"/>
        <v>9.5664824879622667</v>
      </c>
      <c r="R33" s="11"/>
      <c r="S33" s="39">
        <f t="shared" si="14"/>
        <v>7.2817996567846874</v>
      </c>
      <c r="T33" s="39">
        <f t="shared" si="15"/>
        <v>49.660105318446746</v>
      </c>
      <c r="U33" s="39">
        <f t="shared" si="16"/>
        <v>56.941904975231431</v>
      </c>
      <c r="W33" t="str">
        <f>$A$15</f>
        <v>Process, plant and machine operatives</v>
      </c>
      <c r="X33" s="17">
        <f t="shared" ref="X33:AB33" si="33">X15/X$18*100</f>
        <v>1.6813098489891871</v>
      </c>
      <c r="Y33" s="17">
        <f t="shared" si="33"/>
        <v>1.6298204700118497</v>
      </c>
      <c r="Z33" s="17">
        <f t="shared" si="33"/>
        <v>1.4436905615733739</v>
      </c>
      <c r="AA33" s="17">
        <f t="shared" si="33"/>
        <v>1.8429677543022827</v>
      </c>
      <c r="AB33" s="17">
        <f t="shared" si="33"/>
        <v>1.8573176693093933</v>
      </c>
      <c r="AC33" s="11"/>
      <c r="AD33" s="39">
        <f t="shared" si="18"/>
        <v>39.702477799480903</v>
      </c>
      <c r="AE33" s="39">
        <f t="shared" si="19"/>
        <v>69.913908093169425</v>
      </c>
      <c r="AF33" s="39">
        <f t="shared" si="20"/>
        <v>109.61638589265033</v>
      </c>
    </row>
    <row r="34" spans="1:32" x14ac:dyDescent="0.3">
      <c r="A34" t="str">
        <f>$A$16</f>
        <v>Elementary occupations</v>
      </c>
      <c r="B34" s="17">
        <f t="shared" si="8"/>
        <v>11.801840434220438</v>
      </c>
      <c r="C34" s="17">
        <f t="shared" si="8"/>
        <v>11.143149487551335</v>
      </c>
      <c r="D34" s="17">
        <f t="shared" si="8"/>
        <v>10.288311724822798</v>
      </c>
      <c r="E34" s="17">
        <f t="shared" si="8"/>
        <v>9.9765464123580401</v>
      </c>
      <c r="F34" s="17">
        <f t="shared" si="8"/>
        <v>9.1935895246397425</v>
      </c>
      <c r="G34" s="11"/>
      <c r="H34" s="39">
        <f t="shared" si="21"/>
        <v>-4.0156861307719938</v>
      </c>
      <c r="I34" s="39">
        <f t="shared" si="11"/>
        <v>46.920403688632675</v>
      </c>
      <c r="J34" s="39">
        <f t="shared" si="12"/>
        <v>42.904717557860678</v>
      </c>
      <c r="L34" t="str">
        <f>$A$16</f>
        <v>Elementary occupations</v>
      </c>
      <c r="M34" s="17">
        <f t="shared" ref="M34:Q34" si="34">M16/M$18*100</f>
        <v>11.964673437028475</v>
      </c>
      <c r="N34" s="17">
        <f t="shared" si="34"/>
        <v>11.0184275781131</v>
      </c>
      <c r="O34" s="17">
        <f t="shared" si="34"/>
        <v>10.507682279860065</v>
      </c>
      <c r="P34" s="17">
        <f t="shared" si="34"/>
        <v>10.434311094207839</v>
      </c>
      <c r="Q34" s="17">
        <f t="shared" si="34"/>
        <v>9.6379250890507802</v>
      </c>
      <c r="R34" s="11"/>
      <c r="S34" s="39">
        <f t="shared" si="14"/>
        <v>-2.4870850816747772</v>
      </c>
      <c r="T34" s="39">
        <f t="shared" si="15"/>
        <v>39.036025541621981</v>
      </c>
      <c r="U34" s="39">
        <f t="shared" si="16"/>
        <v>36.548940459947204</v>
      </c>
      <c r="W34" t="str">
        <f>$A$16</f>
        <v>Elementary occupations</v>
      </c>
      <c r="X34" s="17">
        <f t="shared" ref="X34:AB34" si="35">X16/X$18*100</f>
        <v>11.621102827480879</v>
      </c>
      <c r="Y34" s="17">
        <f t="shared" si="35"/>
        <v>11.279247449128592</v>
      </c>
      <c r="Z34" s="17">
        <f t="shared" si="35"/>
        <v>10.05376700512115</v>
      </c>
      <c r="AA34" s="17">
        <f t="shared" si="35"/>
        <v>9.4902262378668603</v>
      </c>
      <c r="AB34" s="17">
        <f t="shared" si="35"/>
        <v>8.7284835797260136</v>
      </c>
      <c r="AC34" s="11"/>
      <c r="AD34" s="39">
        <f t="shared" si="18"/>
        <v>-5.7238109208539534</v>
      </c>
      <c r="AE34" s="39">
        <f t="shared" si="19"/>
        <v>55.730748137399154</v>
      </c>
      <c r="AF34" s="39">
        <f t="shared" si="20"/>
        <v>50.006937216545197</v>
      </c>
    </row>
    <row r="35" spans="1:32" x14ac:dyDescent="0.3">
      <c r="B35" s="17"/>
      <c r="C35" s="17"/>
      <c r="D35" s="17"/>
      <c r="E35" s="17"/>
      <c r="F35" s="17"/>
      <c r="G35" s="11"/>
      <c r="H35" s="39"/>
      <c r="I35" s="39"/>
      <c r="J35" s="39"/>
      <c r="M35" s="17"/>
      <c r="N35" s="17"/>
      <c r="O35" s="17"/>
      <c r="P35" s="17"/>
      <c r="Q35" s="17"/>
      <c r="R35" s="11"/>
      <c r="S35" s="39"/>
      <c r="T35" s="39"/>
      <c r="U35" s="39"/>
      <c r="X35" s="17"/>
      <c r="Y35" s="17"/>
      <c r="Z35" s="17"/>
      <c r="AA35" s="17"/>
      <c r="AB35" s="17"/>
      <c r="AC35" s="11"/>
      <c r="AD35" s="39"/>
      <c r="AE35" s="39"/>
      <c r="AF35" s="39"/>
    </row>
    <row r="36" spans="1:32" x14ac:dyDescent="0.3">
      <c r="A36" s="23" t="str">
        <f>$A$18</f>
        <v>All occupations</v>
      </c>
      <c r="B36" s="25">
        <f>B18/B$18*100</f>
        <v>100</v>
      </c>
      <c r="C36" s="25">
        <f>C18/C$18*100</f>
        <v>100</v>
      </c>
      <c r="D36" s="25">
        <f>D18/D$18*100</f>
        <v>100</v>
      </c>
      <c r="E36" s="25">
        <f>E18/E$18*100</f>
        <v>100</v>
      </c>
      <c r="F36" s="25">
        <f>F18/F$18*100</f>
        <v>100</v>
      </c>
      <c r="G36" s="11"/>
      <c r="H36" s="42">
        <f>IF(D18&gt;0,(H18/D18)*100,0)</f>
        <v>7.4135993491123946</v>
      </c>
      <c r="I36" s="42">
        <f t="shared" si="11"/>
        <v>50.134014886311007</v>
      </c>
      <c r="J36" s="42">
        <f t="shared" si="12"/>
        <v>57.547614235423396</v>
      </c>
      <c r="L36" s="23" t="str">
        <f>$A$18</f>
        <v>All occupations</v>
      </c>
      <c r="M36" s="25">
        <f>M18/M$18*100</f>
        <v>100</v>
      </c>
      <c r="N36" s="25">
        <f>N18/N$18*100</f>
        <v>100</v>
      </c>
      <c r="O36" s="25">
        <f>O18/O$18*100</f>
        <v>100</v>
      </c>
      <c r="P36" s="25">
        <f>P18/P$18*100</f>
        <v>100</v>
      </c>
      <c r="Q36" s="25">
        <f>Q18/Q$18*100</f>
        <v>100</v>
      </c>
      <c r="R36" s="11"/>
      <c r="S36" s="42">
        <f t="shared" ref="S36" si="36">IF(O18&gt;0,(S18/O18)*100,0)</f>
        <v>6.3127922947678936</v>
      </c>
      <c r="T36" s="42">
        <f t="shared" ref="T36" si="37">IF(O18&gt;0,(T18/O18)*100,0)</f>
        <v>41.820074575834532</v>
      </c>
      <c r="U36" s="42">
        <f t="shared" ref="U36" si="38">IF(O18&gt;0,(U18/O18)*100,0)</f>
        <v>48.13286687060242</v>
      </c>
      <c r="W36" s="23" t="str">
        <f>$A$18</f>
        <v>All occupations</v>
      </c>
      <c r="X36" s="25">
        <f>X18/X$18*100</f>
        <v>100</v>
      </c>
      <c r="Y36" s="25">
        <f>Y18/Y$18*100</f>
        <v>100</v>
      </c>
      <c r="Z36" s="25">
        <f>Z18/Z$18*100</f>
        <v>100</v>
      </c>
      <c r="AA36" s="25">
        <f>AA18/AA$18*100</f>
        <v>100</v>
      </c>
      <c r="AB36" s="25">
        <f>AB18/AB$18*100</f>
        <v>100</v>
      </c>
      <c r="AC36" s="11"/>
      <c r="AD36" s="42">
        <f t="shared" ref="AD36" si="39">IF(Z18&gt;0,(AD18/Z18)*100,0)</f>
        <v>8.5905507497367104</v>
      </c>
      <c r="AE36" s="42">
        <f t="shared" ref="AE36" si="40">IF(Z18&gt;0,(AE18/Z18)*100,0)</f>
        <v>59.023041945597477</v>
      </c>
      <c r="AF36" s="42">
        <f t="shared" ref="AF36" si="41">IF(Z18&gt;0,(AF18/Z18)*100,0)</f>
        <v>67.613592695334177</v>
      </c>
    </row>
    <row r="37" spans="1:32" x14ac:dyDescent="0.3">
      <c r="B37" s="17"/>
      <c r="C37" s="17"/>
      <c r="D37" s="17"/>
      <c r="E37" s="17"/>
      <c r="F37" s="17"/>
      <c r="G37" s="11"/>
      <c r="M37" s="17"/>
      <c r="N37" s="17"/>
      <c r="O37" s="17"/>
      <c r="P37" s="17"/>
      <c r="Q37" s="17"/>
      <c r="R37" s="11"/>
      <c r="X37" s="17"/>
      <c r="Y37" s="17"/>
      <c r="Z37" s="17"/>
      <c r="AA37" s="17"/>
      <c r="AB37" s="17"/>
      <c r="AC37" s="11"/>
    </row>
    <row r="38" spans="1:32" x14ac:dyDescent="0.3">
      <c r="B38" s="17"/>
      <c r="C38" s="17"/>
      <c r="D38" s="17"/>
      <c r="E38" s="17"/>
      <c r="F38" s="17"/>
      <c r="G38" s="11"/>
      <c r="M38" s="17"/>
      <c r="N38" s="17"/>
      <c r="O38" s="17"/>
      <c r="P38" s="17"/>
      <c r="Q38" s="17"/>
      <c r="R38" s="11"/>
      <c r="X38" s="17"/>
      <c r="Y38" s="17"/>
      <c r="Z38" s="17"/>
      <c r="AA38" s="17"/>
      <c r="AB38" s="17"/>
      <c r="AC38" s="11"/>
    </row>
    <row r="39" spans="1:32" ht="15.45" x14ac:dyDescent="0.4">
      <c r="A39" s="18" t="str">
        <f>CONCATENATE(A$1," (Continued)")</f>
        <v>Occupation Table 1  Employment Change by Occupation Group (SOC 2020) and Replacement Demand, 2015-2035, United Kingdom (Continued)</v>
      </c>
      <c r="B39" s="17"/>
      <c r="C39" s="17"/>
      <c r="D39" s="17"/>
      <c r="E39" s="17"/>
      <c r="F39" s="17"/>
      <c r="G39" s="11"/>
      <c r="L39" s="18" t="str">
        <f>CONCATENATE(L$1," (Continued)")</f>
        <v>Occupation Table 1.1  Males: Employment Change by Occupation Group (SOC 2020) and Replacement Demand, 2015-2035, United Kingdom (Continued)</v>
      </c>
      <c r="M39" s="17"/>
      <c r="N39" s="17"/>
      <c r="O39" s="17"/>
      <c r="P39" s="17"/>
      <c r="Q39" s="17"/>
      <c r="R39" s="11"/>
      <c r="W39" s="18" t="str">
        <f>CONCATENATE(W$1," (Continued)")</f>
        <v>Occupation Table 1.2  Females: Employment Change by Occupation Group (SOC 2020) and Replacement Demand, 2015-2035, United Kingdom (Continued)</v>
      </c>
      <c r="X39" s="17"/>
      <c r="Y39" s="17"/>
      <c r="Z39" s="17"/>
      <c r="AA39" s="17"/>
      <c r="AB39" s="17"/>
      <c r="AC39" s="11"/>
    </row>
    <row r="40" spans="1:32" x14ac:dyDescent="0.3">
      <c r="B40" s="17"/>
      <c r="C40" s="17"/>
      <c r="D40" s="17"/>
      <c r="E40" s="17"/>
      <c r="F40" s="17"/>
      <c r="G40" s="11"/>
      <c r="M40" s="17"/>
      <c r="N40" s="17"/>
      <c r="O40" s="17"/>
      <c r="P40" s="17"/>
      <c r="Q40" s="17"/>
      <c r="R40" s="11"/>
      <c r="X40" s="17"/>
      <c r="Y40" s="17"/>
      <c r="Z40" s="17"/>
      <c r="AA40" s="17"/>
      <c r="AB40" s="17"/>
      <c r="AC40" s="11"/>
    </row>
    <row r="41" spans="1:32" x14ac:dyDescent="0.3">
      <c r="B41" s="17"/>
      <c r="C41" s="17"/>
      <c r="D41" s="17"/>
      <c r="E41" s="17"/>
      <c r="F41" s="15" t="s">
        <v>36</v>
      </c>
      <c r="G41" s="11"/>
      <c r="J41" s="15" t="s">
        <v>36</v>
      </c>
      <c r="M41" s="17"/>
      <c r="N41" s="17"/>
      <c r="O41" s="17"/>
      <c r="P41" s="17"/>
      <c r="Q41" s="15" t="s">
        <v>36</v>
      </c>
      <c r="R41" s="11"/>
      <c r="U41" s="15" t="s">
        <v>36</v>
      </c>
      <c r="X41" s="17"/>
      <c r="Y41" s="17"/>
      <c r="Z41" s="17"/>
      <c r="AA41" s="17"/>
      <c r="AB41" s="15" t="s">
        <v>36</v>
      </c>
      <c r="AC41" s="11"/>
      <c r="AF41" s="15" t="s">
        <v>36</v>
      </c>
    </row>
    <row r="42" spans="1:32" x14ac:dyDescent="0.3">
      <c r="A42" s="35"/>
      <c r="B42" s="65"/>
      <c r="C42" s="65"/>
      <c r="D42" s="65"/>
      <c r="E42" s="65"/>
      <c r="F42" s="65"/>
      <c r="G42" s="11"/>
      <c r="H42" s="27" t="str">
        <f>H4</f>
        <v>2020-2035</v>
      </c>
      <c r="I42" s="35"/>
      <c r="J42" s="35"/>
      <c r="L42" s="35"/>
      <c r="M42" s="65"/>
      <c r="N42" s="65"/>
      <c r="O42" s="65"/>
      <c r="P42" s="65"/>
      <c r="Q42" s="65"/>
      <c r="R42" s="11"/>
      <c r="S42" s="27" t="str">
        <f>S4</f>
        <v>2020-2035</v>
      </c>
      <c r="T42" s="35"/>
      <c r="U42" s="35"/>
      <c r="W42" s="35"/>
      <c r="X42" s="65"/>
      <c r="Y42" s="65"/>
      <c r="Z42" s="65"/>
      <c r="AA42" s="65"/>
      <c r="AB42" s="65"/>
      <c r="AC42" s="11"/>
      <c r="AD42" s="27" t="str">
        <f>AD4</f>
        <v>2020-2035</v>
      </c>
      <c r="AE42" s="35"/>
      <c r="AF42" s="35"/>
    </row>
    <row r="43" spans="1:32" x14ac:dyDescent="0.3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3">
      <c r="A44" s="40" t="s">
        <v>14</v>
      </c>
      <c r="B44" s="63" t="str">
        <f>CONCATENATE(B$6,"-",C$6)</f>
        <v>2015-2019</v>
      </c>
      <c r="C44" s="63" t="str">
        <f>CONCATENATE(C$6,"-",D$6)</f>
        <v>2019-2020</v>
      </c>
      <c r="D44" s="63" t="str">
        <f>CONCATENATE(D$6,"-",E$6)</f>
        <v>2020-2025</v>
      </c>
      <c r="E44" s="63" t="str">
        <f>CONCATENATE(E$6,"-",F$6)</f>
        <v>2025-2035</v>
      </c>
      <c r="F44" s="63" t="str">
        <f>CONCATENATE(D$6,"-",F$6)</f>
        <v>2020-2035</v>
      </c>
      <c r="H44" s="23" t="str">
        <f>H6</f>
        <v>Change</v>
      </c>
      <c r="I44" s="23" t="str">
        <f>I6</f>
        <v>Demand</v>
      </c>
      <c r="J44" s="23" t="str">
        <f>J6</f>
        <v>Requirement</v>
      </c>
      <c r="L44" s="40" t="s">
        <v>14</v>
      </c>
      <c r="M44" s="63" t="str">
        <f>CONCATENATE(M$6,"-",N$6)</f>
        <v>2015-2019</v>
      </c>
      <c r="N44" s="63" t="str">
        <f>CONCATENATE(N$6,"-",O$6)</f>
        <v>2019-2020</v>
      </c>
      <c r="O44" s="63" t="str">
        <f>CONCATENATE(O$6,"-",P$6)</f>
        <v>2020-2025</v>
      </c>
      <c r="P44" s="63" t="str">
        <f>CONCATENATE(P$6,"-",Q$6)</f>
        <v>2025-2035</v>
      </c>
      <c r="Q44" s="63" t="str">
        <f>CONCATENATE(O$6,"-",Q$6)</f>
        <v>2020-2035</v>
      </c>
      <c r="S44" s="23" t="str">
        <f>S6</f>
        <v>Change</v>
      </c>
      <c r="T44" s="23" t="str">
        <f>T6</f>
        <v>Demand</v>
      </c>
      <c r="U44" s="23" t="str">
        <f>U6</f>
        <v>Requirement</v>
      </c>
      <c r="W44" s="40" t="s">
        <v>14</v>
      </c>
      <c r="X44" s="63" t="str">
        <f>CONCATENATE(X$6,"-",Y$6)</f>
        <v>2015-2019</v>
      </c>
      <c r="Y44" s="63" t="str">
        <f>CONCATENATE(Y$6,"-",Z$6)</f>
        <v>2019-2020</v>
      </c>
      <c r="Z44" s="63" t="str">
        <f>CONCATENATE(Z$6,"-",AA$6)</f>
        <v>2020-2025</v>
      </c>
      <c r="AA44" s="63" t="str">
        <f>CONCATENATE(AA$6,"-",AB$6)</f>
        <v>2025-2035</v>
      </c>
      <c r="AB44" s="63" t="str">
        <f>CONCATENATE(Z$6,"-",AB$6)</f>
        <v>2020-2035</v>
      </c>
      <c r="AD44" s="23" t="str">
        <f>AD6</f>
        <v>Change</v>
      </c>
      <c r="AE44" s="23" t="str">
        <f>AE6</f>
        <v>Demand</v>
      </c>
      <c r="AF44" s="23" t="str">
        <f>AF6</f>
        <v>Requirement</v>
      </c>
    </row>
    <row r="45" spans="1:32" x14ac:dyDescent="0.3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3">
      <c r="A46" t="str">
        <f>$A$8</f>
        <v>Managers, directors and senior officials</v>
      </c>
      <c r="B46" s="17">
        <f>IF(C$6-B$6 &lt;&gt; 0,(EXP(LN(C8/B8)/(C$6-B$6))-1)*100,0)</f>
        <v>3.4959652170196254</v>
      </c>
      <c r="C46" s="17">
        <f t="shared" ref="B46:E54" si="42">IF(D$6-C$6 &lt;&gt; 0,(EXP(LN(D8/C8)/(D$6-C$6))-1)*100,0)</f>
        <v>1.8716368415737428</v>
      </c>
      <c r="D46" s="17">
        <f t="shared" si="42"/>
        <v>0.61214838473349076</v>
      </c>
      <c r="E46" s="17">
        <f t="shared" si="42"/>
        <v>1.1212188151634717</v>
      </c>
      <c r="F46" s="17">
        <f>IF(F$6-D$6 &lt;&gt; 0,(EXP(LN(F8/D8)/(F$6-D$6))-1)*100,0)</f>
        <v>0.95124311787460059</v>
      </c>
      <c r="H46" s="17">
        <f>IF($F$6-$D$6 &lt;&gt; 0,(EXP(LN(1+(H26/100))/($F$6-$D$6))-1)*100,0)</f>
        <v>0.95124311787460059</v>
      </c>
      <c r="I46" s="17">
        <f>IF($F$6-$D$6 &lt;&gt; 0,(EXP(LN(1+(I26/100))/($F$6-$D$6))-1)*100,0)</f>
        <v>3.0397034027923819</v>
      </c>
      <c r="J46" s="17">
        <f>IF($F$6-$D$6 &lt;&gt; 0,(EXP(LN(1+(J26/100))/($F$6-$D$6))-1)*100,0)</f>
        <v>3.680003712695723</v>
      </c>
      <c r="L46" t="str">
        <f>$A$8</f>
        <v>Managers, directors and senior officials</v>
      </c>
      <c r="M46" s="17">
        <f t="shared" ref="M46:M54" si="43">IF(N$6-M$6 &lt;&gt; 0,(EXP(LN(N8/M8)/(N$6-M$6))-1)*100,0)</f>
        <v>2.7582556879454323</v>
      </c>
      <c r="N46" s="17">
        <f t="shared" ref="N46:N54" si="44">IF(O$6-N$6 &lt;&gt; 0,(EXP(LN(O8/N8)/(O$6-N$6))-1)*100,0)</f>
        <v>0.5385709298486363</v>
      </c>
      <c r="O46" s="17">
        <f t="shared" ref="O46:O54" si="45">IF(P$6-O$6 &lt;&gt; 0,(EXP(LN(P8/O8)/(P$6-O$6))-1)*100,0)</f>
        <v>0.19903763341364566</v>
      </c>
      <c r="P46" s="17">
        <f t="shared" ref="P46:P54" si="46">IF(Q$6-P$6 &lt;&gt; 0,(EXP(LN(Q8/P8)/(Q$6-P$6))-1)*100,0)</f>
        <v>0.83094252383186795</v>
      </c>
      <c r="Q46" s="17">
        <f>IF(Q$6-O$6 &lt;&gt; 0,(EXP(LN(Q8/O8)/(Q$6-O$6))-1)*100,0)</f>
        <v>0.61986600734129649</v>
      </c>
      <c r="S46" s="17">
        <f>IF($F$6-$D$6 &lt;&gt; 0,(EXP(LN(1+(S26/100))/($F$6-$D$6))-1)*100,0)</f>
        <v>0.61986600734129649</v>
      </c>
      <c r="T46" s="17">
        <f>IF($F$6-$D$6 &lt;&gt; 0,(EXP(LN(1+(T26/100))/($F$6-$D$6))-1)*100,0)</f>
        <v>2.7399314322738677</v>
      </c>
      <c r="U46" s="17">
        <f>IF($F$6-$D$6 &lt;&gt; 0,(EXP(LN(1+(U26/100))/($F$6-$D$6))-1)*100,0)</f>
        <v>3.1705595893079641</v>
      </c>
      <c r="W46" t="str">
        <f>$A$8</f>
        <v>Managers, directors and senior officials</v>
      </c>
      <c r="X46" s="17">
        <f t="shared" ref="X46:X54" si="47">IF(Y$6-X$6 &lt;&gt; 0,(EXP(LN(Y8/X8)/(Y$6-X$6))-1)*100,0)</f>
        <v>4.9105488718897305</v>
      </c>
      <c r="Y46" s="17">
        <f t="shared" ref="Y46:Y54" si="48">IF(Z$6-Y$6 &lt;&gt; 0,(EXP(LN(Z8/Y8)/(Z$6-Y$6))-1)*100,0)</f>
        <v>4.29894496130383</v>
      </c>
      <c r="Z46" s="17">
        <f t="shared" ref="Z46:Z54" si="49">IF(AA$6-Z$6 &lt;&gt; 0,(EXP(LN(AA8/Z8)/(AA$6-Z$6))-1)*100,0)</f>
        <v>1.3212436475138922</v>
      </c>
      <c r="AA46" s="17">
        <f t="shared" ref="AA46:AA54" si="50">IF(AB$6-AA$6 &lt;&gt; 0,(EXP(LN(AB8/AA8)/(AB$6-AA$6))-1)*100,0)</f>
        <v>1.5871560223134074</v>
      </c>
      <c r="AB46" s="17">
        <f>IF(AB$6-Z$6 &lt;&gt; 0,(EXP(LN(AB8/Z8)/(AB$6-Z$6))-1)*100,0)</f>
        <v>1.498441112876514</v>
      </c>
      <c r="AD46" s="17">
        <f>IF($F$6-$D$6 &lt;&gt; 0,(EXP(LN(1+(AD26/100))/($F$6-$D$6))-1)*100,0)</f>
        <v>1.498441112876514</v>
      </c>
      <c r="AE46" s="17">
        <f>IF($F$6-$D$6 &lt;&gt; 0,(EXP(LN(1+(AE26/100))/($F$6-$D$6))-1)*100,0)</f>
        <v>3.5380507638671066</v>
      </c>
      <c r="AF46" s="17">
        <f>IF($F$6-$D$6 &lt;&gt; 0,(EXP(LN(1+(AF26/100))/($F$6-$D$6))-1)*100,0)</f>
        <v>4.4973830435178108</v>
      </c>
    </row>
    <row r="47" spans="1:32" x14ac:dyDescent="0.3">
      <c r="A47" t="str">
        <f>$A$9</f>
        <v>Professional occupations</v>
      </c>
      <c r="B47" s="17">
        <f t="shared" si="42"/>
        <v>3.2870885302765718</v>
      </c>
      <c r="C47" s="17">
        <f t="shared" si="42"/>
        <v>4.6340684013645994</v>
      </c>
      <c r="D47" s="17">
        <f t="shared" si="42"/>
        <v>1.6265833294708765</v>
      </c>
      <c r="E47" s="17">
        <f t="shared" si="42"/>
        <v>1.024034199704893</v>
      </c>
      <c r="F47" s="17">
        <f>IF(F$6-D$6 &lt;&gt; 0,(EXP(LN(F9/D9)/(F$6-D$6))-1)*100,0)</f>
        <v>1.2244859106324002</v>
      </c>
      <c r="H47" s="17">
        <f t="shared" ref="H47:J56" si="51">IF($F$6-$D$6 &lt;&gt; 0,(EXP(LN(1+(H27/100))/($F$6-$D$6))-1)*100,0)</f>
        <v>1.2244859106324002</v>
      </c>
      <c r="I47" s="17">
        <f t="shared" si="51"/>
        <v>2.8397483451878536</v>
      </c>
      <c r="J47" s="17">
        <f t="shared" si="51"/>
        <v>3.6908245561316999</v>
      </c>
      <c r="L47" t="str">
        <f>$A$9</f>
        <v>Professional occupations</v>
      </c>
      <c r="M47" s="17">
        <f t="shared" si="43"/>
        <v>3.0060588858170423</v>
      </c>
      <c r="N47" s="17">
        <f t="shared" si="44"/>
        <v>3.6863841874768655</v>
      </c>
      <c r="O47" s="17">
        <f t="shared" si="45"/>
        <v>1.4598575614781728</v>
      </c>
      <c r="P47" s="17">
        <f t="shared" si="46"/>
        <v>0.8211550045985172</v>
      </c>
      <c r="Q47" s="17">
        <f>IF(Q$6-O$6 &lt;&gt; 0,(EXP(LN(Q9/O9)/(Q$6-O$6))-1)*100,0)</f>
        <v>1.0336078564862072</v>
      </c>
      <c r="S47" s="17">
        <f t="shared" ref="S47:U47" si="52">IF($F$6-$D$6 &lt;&gt; 0,(EXP(LN(1+(S27/100))/($F$6-$D$6))-1)*100,0)</f>
        <v>1.0336078564862072</v>
      </c>
      <c r="T47" s="17">
        <f t="shared" si="52"/>
        <v>2.3574335437507754</v>
      </c>
      <c r="U47" s="17">
        <f t="shared" si="52"/>
        <v>3.1188472316274529</v>
      </c>
      <c r="W47" t="str">
        <f>$A$9</f>
        <v>Professional occupations</v>
      </c>
      <c r="X47" s="17">
        <f t="shared" si="47"/>
        <v>3.5764595250000752</v>
      </c>
      <c r="Y47" s="17">
        <f t="shared" si="48"/>
        <v>5.5965022578217782</v>
      </c>
      <c r="Z47" s="17">
        <f t="shared" si="49"/>
        <v>1.791758762768092</v>
      </c>
      <c r="AA47" s="17">
        <f t="shared" si="50"/>
        <v>1.2195662845798427</v>
      </c>
      <c r="AB47" s="17">
        <f>IF(AB$6-Z$6 &lt;&gt; 0,(EXP(LN(AB9/Z9)/(AB$6-Z$6))-1)*100,0)</f>
        <v>1.4099388357500908</v>
      </c>
      <c r="AD47" s="17">
        <f t="shared" ref="AD47:AF47" si="53">IF($F$6-$D$6 &lt;&gt; 0,(EXP(LN(1+(AD27/100))/($F$6-$D$6))-1)*100,0)</f>
        <v>1.4099388357500908</v>
      </c>
      <c r="AE47" s="17">
        <f t="shared" si="53"/>
        <v>3.2911022509124477</v>
      </c>
      <c r="AF47" s="17">
        <f t="shared" si="53"/>
        <v>4.2203369653250888</v>
      </c>
    </row>
    <row r="48" spans="1:32" x14ac:dyDescent="0.3">
      <c r="A48" t="str">
        <f>$A$10</f>
        <v>Associate professional occupations</v>
      </c>
      <c r="B48" s="17">
        <f t="shared" si="42"/>
        <v>2.0197285354220051</v>
      </c>
      <c r="C48" s="17">
        <f t="shared" si="42"/>
        <v>4.6183959143638376</v>
      </c>
      <c r="D48" s="17">
        <f t="shared" si="42"/>
        <v>-0.30084710732799502</v>
      </c>
      <c r="E48" s="17">
        <f t="shared" si="42"/>
        <v>0.7548544756700748</v>
      </c>
      <c r="F48" s="17">
        <f t="shared" ref="F48:F56" si="54">IF(F$6-D$6 &lt;&gt; 0,(EXP(LN(F10/D10)/(F$6-D$6))-1)*100,0)</f>
        <v>0.40171768100338845</v>
      </c>
      <c r="H48" s="17">
        <f t="shared" si="51"/>
        <v>0.40171768100338845</v>
      </c>
      <c r="I48" s="17">
        <f t="shared" si="51"/>
        <v>2.5840175409403754</v>
      </c>
      <c r="J48" s="17">
        <f t="shared" si="51"/>
        <v>2.8675716039293198</v>
      </c>
      <c r="L48" t="str">
        <f>$A$10</f>
        <v>Associate professional occupations</v>
      </c>
      <c r="M48" s="17">
        <f t="shared" si="43"/>
        <v>1.5917423776311113</v>
      </c>
      <c r="N48" s="17">
        <f t="shared" si="44"/>
        <v>3.7086818355399842</v>
      </c>
      <c r="O48" s="17">
        <f t="shared" si="45"/>
        <v>-1.106234401884687</v>
      </c>
      <c r="P48" s="17">
        <f t="shared" si="46"/>
        <v>0.35878417951347163</v>
      </c>
      <c r="Q48" s="17">
        <f t="shared" ref="Q48:Q54" si="55">IF(Q$6-O$6 &lt;&gt; 0,(EXP(LN(Q10/O10)/(Q$6-O$6))-1)*100,0)</f>
        <v>-0.13195103756625803</v>
      </c>
      <c r="S48" s="17">
        <f t="shared" ref="S48:U48" si="56">IF($F$6-$D$6 &lt;&gt; 0,(EXP(LN(1+(S28/100))/($F$6-$D$6))-1)*100,0)</f>
        <v>-0.13195103756625803</v>
      </c>
      <c r="T48" s="17">
        <f t="shared" si="56"/>
        <v>2.0815870920570578</v>
      </c>
      <c r="U48" s="17">
        <f t="shared" si="56"/>
        <v>1.9829415621367641</v>
      </c>
      <c r="W48" t="str">
        <f>$A$10</f>
        <v>Associate professional occupations</v>
      </c>
      <c r="X48" s="17">
        <f t="shared" si="47"/>
        <v>2.5151828110520524</v>
      </c>
      <c r="Y48" s="17">
        <f t="shared" si="48"/>
        <v>5.6479659470769494</v>
      </c>
      <c r="Z48" s="17">
        <f t="shared" si="49"/>
        <v>0.56442938887257821</v>
      </c>
      <c r="AA48" s="17">
        <f t="shared" si="50"/>
        <v>1.1455509713870438</v>
      </c>
      <c r="AB48" s="17">
        <f t="shared" ref="AB48:AB54" si="57">IF(AB$6-Z$6 &lt;&gt; 0,(EXP(LN(AB10/Z10)/(AB$6-Z$6))-1)*100,0)</f>
        <v>0.95147161348754228</v>
      </c>
      <c r="AD48" s="17">
        <f t="shared" ref="AD48:AF48" si="58">IF($F$6-$D$6 &lt;&gt; 0,(EXP(LN(1+(AD28/100))/($F$6-$D$6))-1)*100,0)</f>
        <v>0.95147161348754228</v>
      </c>
      <c r="AE48" s="17">
        <f t="shared" si="58"/>
        <v>3.1045662428959675</v>
      </c>
      <c r="AF48" s="17">
        <f t="shared" si="58"/>
        <v>3.7396573707613845</v>
      </c>
    </row>
    <row r="49" spans="1:32" x14ac:dyDescent="0.3">
      <c r="A49" t="str">
        <f>$A$11</f>
        <v>Administrative and secretarial occupations</v>
      </c>
      <c r="B49" s="17">
        <f t="shared" si="42"/>
        <v>-0.73134605573228484</v>
      </c>
      <c r="C49" s="17">
        <f t="shared" si="42"/>
        <v>3.1486686563962474</v>
      </c>
      <c r="D49" s="17">
        <f t="shared" si="42"/>
        <v>-1.137702282487818</v>
      </c>
      <c r="E49" s="17">
        <f t="shared" si="42"/>
        <v>-0.81823002005926293</v>
      </c>
      <c r="F49" s="17">
        <f t="shared" si="54"/>
        <v>-0.92483531760759741</v>
      </c>
      <c r="H49" s="17">
        <f t="shared" si="51"/>
        <v>-0.92483531760759741</v>
      </c>
      <c r="I49" s="17">
        <f t="shared" si="51"/>
        <v>2.5769241682525479</v>
      </c>
      <c r="J49" s="17">
        <f t="shared" si="51"/>
        <v>1.9428089631589707</v>
      </c>
      <c r="L49" t="str">
        <f>$A$11</f>
        <v>Administrative and secretarial occupations</v>
      </c>
      <c r="M49" s="17">
        <f t="shared" si="43"/>
        <v>-1.3962636001291995</v>
      </c>
      <c r="N49" s="17">
        <f t="shared" si="44"/>
        <v>16.605452239174888</v>
      </c>
      <c r="O49" s="17">
        <f t="shared" si="45"/>
        <v>-0.6120785869768719</v>
      </c>
      <c r="P49" s="17">
        <f t="shared" si="46"/>
        <v>0.85570357620283755</v>
      </c>
      <c r="Q49" s="17">
        <f t="shared" si="55"/>
        <v>0.36405002639208206</v>
      </c>
      <c r="S49" s="17">
        <f t="shared" ref="S49:U49" si="59">IF($F$6-$D$6 &lt;&gt; 0,(EXP(LN(1+(S29/100))/($F$6-$D$6))-1)*100,0)</f>
        <v>0.36405002639208206</v>
      </c>
      <c r="T49" s="17">
        <f t="shared" si="59"/>
        <v>2.1298895681840291</v>
      </c>
      <c r="U49" s="17">
        <f t="shared" si="59"/>
        <v>2.4027753151668607</v>
      </c>
      <c r="W49" t="str">
        <f>$A$11</f>
        <v>Administrative and secretarial occupations</v>
      </c>
      <c r="X49" s="17">
        <f t="shared" si="47"/>
        <v>-0.50730406342783807</v>
      </c>
      <c r="Y49" s="17">
        <f t="shared" si="48"/>
        <v>-1.2848389062177556</v>
      </c>
      <c r="Z49" s="17">
        <f t="shared" si="49"/>
        <v>-1.3453170385406832</v>
      </c>
      <c r="AA49" s="17">
        <f t="shared" si="50"/>
        <v>-1.5733228946679167</v>
      </c>
      <c r="AB49" s="17">
        <f t="shared" si="57"/>
        <v>-1.4973795535078049</v>
      </c>
      <c r="AD49" s="17">
        <f t="shared" ref="AD49:AF49" si="60">IF($F$6-$D$6 &lt;&gt; 0,(EXP(LN(1+(AD29/100))/($F$6-$D$6))-1)*100,0)</f>
        <v>-1.4973795535078049</v>
      </c>
      <c r="AE49" s="17">
        <f t="shared" si="60"/>
        <v>2.7437757466526547</v>
      </c>
      <c r="AF49" s="17">
        <f t="shared" si="60"/>
        <v>1.7556511197452718</v>
      </c>
    </row>
    <row r="50" spans="1:32" x14ac:dyDescent="0.3">
      <c r="A50" t="str">
        <f>$A$12</f>
        <v>Skilled trades occupations</v>
      </c>
      <c r="B50" s="17">
        <f t="shared" si="42"/>
        <v>-0.39377168721768108</v>
      </c>
      <c r="C50" s="17">
        <f t="shared" si="42"/>
        <v>-11.807640331045445</v>
      </c>
      <c r="D50" s="17">
        <f t="shared" si="42"/>
        <v>0.27091043226550315</v>
      </c>
      <c r="E50" s="17">
        <f t="shared" si="42"/>
        <v>-0.26410055266499199</v>
      </c>
      <c r="F50" s="17">
        <f t="shared" si="54"/>
        <v>-8.608149376250207E-2</v>
      </c>
      <c r="H50" s="17">
        <f t="shared" si="51"/>
        <v>-8.608149376250207E-2</v>
      </c>
      <c r="I50" s="17">
        <f t="shared" si="51"/>
        <v>2.3978596525224827</v>
      </c>
      <c r="J50" s="17">
        <f t="shared" si="51"/>
        <v>2.3361927222136591</v>
      </c>
      <c r="L50" t="str">
        <f>$A$12</f>
        <v>Skilled trades occupations</v>
      </c>
      <c r="M50" s="17">
        <f t="shared" si="43"/>
        <v>-0.42744238000697043</v>
      </c>
      <c r="N50" s="17">
        <f t="shared" si="44"/>
        <v>-13.789351327480226</v>
      </c>
      <c r="O50" s="17">
        <f t="shared" si="45"/>
        <v>-4.2720303312959729E-2</v>
      </c>
      <c r="P50" s="17">
        <f t="shared" si="46"/>
        <v>-0.47762295730525706</v>
      </c>
      <c r="Q50" s="17">
        <f t="shared" si="55"/>
        <v>-0.3328660592941346</v>
      </c>
      <c r="S50" s="17">
        <f t="shared" ref="S50:U50" si="61">IF($F$6-$D$6 &lt;&gt; 0,(EXP(LN(1+(S30/100))/($F$6-$D$6))-1)*100,0)</f>
        <v>-0.3328660592941346</v>
      </c>
      <c r="T50" s="17">
        <f t="shared" si="61"/>
        <v>2.2190305697598056</v>
      </c>
      <c r="U50" s="17">
        <f t="shared" si="61"/>
        <v>1.9758369872217685</v>
      </c>
      <c r="W50" t="str">
        <f>$A$12</f>
        <v>Skilled trades occupations</v>
      </c>
      <c r="X50" s="17">
        <f t="shared" si="47"/>
        <v>-0.10938521612813279</v>
      </c>
      <c r="Y50" s="17">
        <f t="shared" si="48"/>
        <v>4.7972807471129864</v>
      </c>
      <c r="Z50" s="17">
        <f t="shared" si="49"/>
        <v>2.3327274882260607</v>
      </c>
      <c r="AA50" s="17">
        <f t="shared" si="50"/>
        <v>0.96199342853025005</v>
      </c>
      <c r="AB50" s="17">
        <f t="shared" si="57"/>
        <v>1.4168524506803504</v>
      </c>
      <c r="AD50" s="17">
        <f t="shared" ref="AD50:AF50" si="62">IF($F$6-$D$6 &lt;&gt; 0,(EXP(LN(1+(AD30/100))/($F$6-$D$6))-1)*100,0)</f>
        <v>1.4168524506803504</v>
      </c>
      <c r="AE50" s="17">
        <f t="shared" si="62"/>
        <v>3.5245185314586536</v>
      </c>
      <c r="AF50" s="17">
        <f t="shared" si="62"/>
        <v>4.4312397544137072</v>
      </c>
    </row>
    <row r="51" spans="1:32" x14ac:dyDescent="0.3">
      <c r="A51" t="str">
        <f>$A$13</f>
        <v>Caring, leisure and other service occupations</v>
      </c>
      <c r="B51" s="17">
        <f t="shared" si="42"/>
        <v>0.80466356125439287</v>
      </c>
      <c r="C51" s="17">
        <f t="shared" si="42"/>
        <v>-3.6181897080003855</v>
      </c>
      <c r="D51" s="17">
        <f t="shared" si="42"/>
        <v>1.3953029429995656</v>
      </c>
      <c r="E51" s="17">
        <f t="shared" si="42"/>
        <v>0.79559788426972755</v>
      </c>
      <c r="F51" s="17">
        <f t="shared" si="54"/>
        <v>0.99510442309873604</v>
      </c>
      <c r="H51" s="17">
        <f t="shared" si="51"/>
        <v>0.99510442309873604</v>
      </c>
      <c r="I51" s="17">
        <f t="shared" si="51"/>
        <v>3.1689215932027448</v>
      </c>
      <c r="J51" s="17">
        <f t="shared" si="51"/>
        <v>3.8283241069480889</v>
      </c>
      <c r="L51" t="str">
        <f>$A$13</f>
        <v>Caring, leisure and other service occupations</v>
      </c>
      <c r="M51" s="17">
        <f t="shared" si="43"/>
        <v>1.2066611670651151</v>
      </c>
      <c r="N51" s="17">
        <f t="shared" si="44"/>
        <v>-1.662566662152376</v>
      </c>
      <c r="O51" s="17">
        <f t="shared" si="45"/>
        <v>2.5304928959452688</v>
      </c>
      <c r="P51" s="17">
        <f t="shared" si="46"/>
        <v>1.3332078929610303</v>
      </c>
      <c r="Q51" s="17">
        <f t="shared" si="55"/>
        <v>1.7307413182056086</v>
      </c>
      <c r="S51" s="17">
        <f t="shared" ref="S51:U51" si="63">IF($F$6-$D$6 &lt;&gt; 0,(EXP(LN(1+(S31/100))/($F$6-$D$6))-1)*100,0)</f>
        <v>1.7307413182056086</v>
      </c>
      <c r="T51" s="17">
        <f t="shared" si="63"/>
        <v>2.8103137840068015</v>
      </c>
      <c r="U51" s="17">
        <f t="shared" si="63"/>
        <v>4.031066490708568</v>
      </c>
      <c r="W51" t="str">
        <f>$A$13</f>
        <v>Caring, leisure and other service occupations</v>
      </c>
      <c r="X51" s="17">
        <f t="shared" si="47"/>
        <v>0.70556211821242165</v>
      </c>
      <c r="Y51" s="17">
        <f t="shared" si="48"/>
        <v>-4.1063098406434628</v>
      </c>
      <c r="Z51" s="17">
        <f t="shared" si="49"/>
        <v>1.096404490562386</v>
      </c>
      <c r="AA51" s="17">
        <f t="shared" si="50"/>
        <v>0.64332530975026447</v>
      </c>
      <c r="AB51" s="17">
        <f t="shared" si="57"/>
        <v>0.79412563673224579</v>
      </c>
      <c r="AD51" s="17">
        <f t="shared" ref="AD51:AF51" si="64">IF($F$6-$D$6 &lt;&gt; 0,(EXP(LN(1+(AD31/100))/($F$6-$D$6))-1)*100,0)</f>
        <v>0.79412563673224579</v>
      </c>
      <c r="AE51" s="17">
        <f t="shared" si="64"/>
        <v>3.2579703749464839</v>
      </c>
      <c r="AF51" s="17">
        <f t="shared" si="64"/>
        <v>3.7755274961565277</v>
      </c>
    </row>
    <row r="52" spans="1:32" x14ac:dyDescent="0.3">
      <c r="A52" t="str">
        <f>$A$14</f>
        <v>Sales and customer service occupations</v>
      </c>
      <c r="B52" s="17">
        <f t="shared" si="42"/>
        <v>-0.61163313993888302</v>
      </c>
      <c r="C52" s="17">
        <f t="shared" si="42"/>
        <v>-1.071302539637109</v>
      </c>
      <c r="D52" s="17">
        <f t="shared" si="42"/>
        <v>0.12333673791331545</v>
      </c>
      <c r="E52" s="17">
        <f t="shared" si="42"/>
        <v>4.3098478133396512E-2</v>
      </c>
      <c r="F52" s="17">
        <f t="shared" si="54"/>
        <v>6.9837417461338092E-2</v>
      </c>
      <c r="H52" s="17">
        <f t="shared" si="51"/>
        <v>6.9837417461338092E-2</v>
      </c>
      <c r="I52" s="17">
        <f t="shared" si="51"/>
        <v>2.5672308658214904</v>
      </c>
      <c r="J52" s="17">
        <f t="shared" si="51"/>
        <v>2.6162806701138575</v>
      </c>
      <c r="L52" t="str">
        <f>$A$14</f>
        <v>Sales and customer service occupations</v>
      </c>
      <c r="M52" s="17">
        <f t="shared" si="43"/>
        <v>-0.31876411776928792</v>
      </c>
      <c r="N52" s="17">
        <f t="shared" si="44"/>
        <v>0.79485643253094374</v>
      </c>
      <c r="O52" s="17">
        <f t="shared" si="45"/>
        <v>0.66826937748503124</v>
      </c>
      <c r="P52" s="17">
        <f t="shared" si="46"/>
        <v>0.35909983022812675</v>
      </c>
      <c r="Q52" s="17">
        <f t="shared" si="55"/>
        <v>0.46205070029543549</v>
      </c>
      <c r="S52" s="17">
        <f t="shared" ref="S52:U52" si="65">IF($F$6-$D$6 &lt;&gt; 0,(EXP(LN(1+(S32/100))/($F$6-$D$6))-1)*100,0)</f>
        <v>0.46205070029543549</v>
      </c>
      <c r="T52" s="17">
        <f t="shared" si="65"/>
        <v>2.0311702900192907</v>
      </c>
      <c r="U52" s="17">
        <f t="shared" si="65"/>
        <v>2.3827505261637016</v>
      </c>
      <c r="W52" t="str">
        <f>$A$14</f>
        <v>Sales and customer service occupations</v>
      </c>
      <c r="X52" s="17">
        <f t="shared" si="47"/>
        <v>-0.80298402378057299</v>
      </c>
      <c r="Y52" s="17">
        <f t="shared" si="48"/>
        <v>-2.3055190317432417</v>
      </c>
      <c r="Z52" s="17">
        <f t="shared" si="49"/>
        <v>-0.2554258460313652</v>
      </c>
      <c r="AA52" s="17">
        <f t="shared" si="50"/>
        <v>-0.18832863622164631</v>
      </c>
      <c r="AB52" s="17">
        <f t="shared" si="57"/>
        <v>-0.21069938639762809</v>
      </c>
      <c r="AD52" s="17">
        <f t="shared" ref="AD52:AF52" si="66">IF($F$6-$D$6 &lt;&gt; 0,(EXP(LN(1+(AD32/100))/($F$6-$D$6))-1)*100,0)</f>
        <v>-0.21069938639762809</v>
      </c>
      <c r="AE52" s="17">
        <f t="shared" si="66"/>
        <v>2.9117132848339056</v>
      </c>
      <c r="AF52" s="17">
        <f t="shared" si="66"/>
        <v>2.7714641629862813</v>
      </c>
    </row>
    <row r="53" spans="1:32" x14ac:dyDescent="0.3">
      <c r="A53" t="str">
        <f>$A$15</f>
        <v>Process, plant and machine operatives</v>
      </c>
      <c r="B53" s="17">
        <f t="shared" si="42"/>
        <v>1.1147033225407332</v>
      </c>
      <c r="C53" s="17">
        <f t="shared" si="42"/>
        <v>-11.388340949156772</v>
      </c>
      <c r="D53" s="17">
        <f t="shared" si="42"/>
        <v>2.3699356161035912</v>
      </c>
      <c r="E53" s="17">
        <f t="shared" si="42"/>
        <v>-9.8359099383926729E-2</v>
      </c>
      <c r="F53" s="17">
        <f t="shared" si="54"/>
        <v>0.71772122545064043</v>
      </c>
      <c r="H53" s="17">
        <f t="shared" si="51"/>
        <v>0.71772122545064043</v>
      </c>
      <c r="I53" s="17">
        <f t="shared" si="51"/>
        <v>2.8390782258487013</v>
      </c>
      <c r="J53" s="17">
        <f t="shared" si="51"/>
        <v>3.3323103163970469</v>
      </c>
      <c r="L53" t="str">
        <f>$A$15</f>
        <v>Process, plant and machine operatives</v>
      </c>
      <c r="M53" s="17">
        <f t="shared" si="43"/>
        <v>1.1765500704250975</v>
      </c>
      <c r="N53" s="17">
        <f t="shared" si="44"/>
        <v>-11.3775402322571</v>
      </c>
      <c r="O53" s="17">
        <f t="shared" si="45"/>
        <v>1.8593762323243057</v>
      </c>
      <c r="P53" s="17">
        <f t="shared" si="46"/>
        <v>-0.21802428310215838</v>
      </c>
      <c r="Q53" s="17">
        <f t="shared" si="55"/>
        <v>0.46969179787617055</v>
      </c>
      <c r="S53" s="17">
        <f t="shared" ref="S53:U53" si="67">IF($F$6-$D$6 &lt;&gt; 0,(EXP(LN(1+(S33/100))/($F$6-$D$6))-1)*100,0)</f>
        <v>0.46969179787617055</v>
      </c>
      <c r="T53" s="17">
        <f t="shared" si="67"/>
        <v>2.7244291290478007</v>
      </c>
      <c r="U53" s="17">
        <f t="shared" si="67"/>
        <v>3.05030021016921</v>
      </c>
      <c r="W53" t="str">
        <f>$A$15</f>
        <v>Process, plant and machine operatives</v>
      </c>
      <c r="X53" s="17">
        <f t="shared" si="47"/>
        <v>0.68615735616217588</v>
      </c>
      <c r="Y53" s="17">
        <f t="shared" si="48"/>
        <v>-11.464096275259505</v>
      </c>
      <c r="Z53" s="17">
        <f t="shared" si="49"/>
        <v>5.6956581087703961</v>
      </c>
      <c r="AA53" s="17">
        <f t="shared" si="50"/>
        <v>0.57541593347938402</v>
      </c>
      <c r="AB53" s="17">
        <f t="shared" si="57"/>
        <v>2.2539924814769075</v>
      </c>
      <c r="AD53" s="17">
        <f t="shared" ref="AD53:AF53" si="68">IF($F$6-$D$6 &lt;&gt; 0,(EXP(LN(1+(AD33/100))/($F$6-$D$6))-1)*100,0)</f>
        <v>2.2539924814769075</v>
      </c>
      <c r="AE53" s="17">
        <f t="shared" si="68"/>
        <v>3.5973378059847461</v>
      </c>
      <c r="AF53" s="17">
        <f t="shared" si="68"/>
        <v>5.0578112539311215</v>
      </c>
    </row>
    <row r="54" spans="1:32" x14ac:dyDescent="0.3">
      <c r="A54" t="str">
        <f>$A$16</f>
        <v>Elementary occupations</v>
      </c>
      <c r="B54" s="17">
        <f t="shared" si="42"/>
        <v>-0.19727345880607983</v>
      </c>
      <c r="C54" s="17">
        <f t="shared" si="42"/>
        <v>-8.6896995066868996</v>
      </c>
      <c r="D54" s="17">
        <f t="shared" si="42"/>
        <v>-2.530150960825539E-2</v>
      </c>
      <c r="E54" s="17">
        <f t="shared" si="42"/>
        <v>-0.39641389264254423</v>
      </c>
      <c r="F54" s="17">
        <f t="shared" si="54"/>
        <v>-0.27286308388154712</v>
      </c>
      <c r="H54" s="17">
        <f t="shared" si="51"/>
        <v>-0.27286308388154712</v>
      </c>
      <c r="I54" s="17">
        <f t="shared" si="51"/>
        <v>2.5979793567248333</v>
      </c>
      <c r="J54" s="17">
        <f t="shared" si="51"/>
        <v>2.408602044188668</v>
      </c>
      <c r="L54" t="str">
        <f>$A$16</f>
        <v>Elementary occupations</v>
      </c>
      <c r="M54" s="17">
        <f t="shared" si="43"/>
        <v>-1.0189286411667275</v>
      </c>
      <c r="N54" s="17">
        <f t="shared" si="44"/>
        <v>-6.6077489767101261</v>
      </c>
      <c r="O54" s="17">
        <f t="shared" si="45"/>
        <v>0.38904632816971763</v>
      </c>
      <c r="P54" s="17">
        <f t="shared" si="46"/>
        <v>-0.44500621061781542</v>
      </c>
      <c r="Q54" s="17">
        <f t="shared" si="55"/>
        <v>-0.16776149652534267</v>
      </c>
      <c r="S54" s="17">
        <f t="shared" ref="S54:U54" si="69">IF($F$6-$D$6 &lt;&gt; 0,(EXP(LN(1+(S34/100))/($F$6-$D$6))-1)*100,0)</f>
        <v>-0.16776149652534267</v>
      </c>
      <c r="T54" s="17">
        <f t="shared" si="69"/>
        <v>2.2213996047310225</v>
      </c>
      <c r="U54" s="17">
        <f t="shared" si="69"/>
        <v>2.0984672509625657</v>
      </c>
      <c r="W54" t="str">
        <f>$A$16</f>
        <v>Elementary occupations</v>
      </c>
      <c r="X54" s="17">
        <f t="shared" si="47"/>
        <v>0.71750502307255104</v>
      </c>
      <c r="Y54" s="17">
        <f t="shared" si="48"/>
        <v>-10.909013606300045</v>
      </c>
      <c r="Z54" s="17">
        <f t="shared" si="49"/>
        <v>-0.4965879691849806</v>
      </c>
      <c r="AA54" s="17">
        <f t="shared" si="50"/>
        <v>-0.33992371496042173</v>
      </c>
      <c r="AB54" s="17">
        <f t="shared" si="57"/>
        <v>-0.39217252073887598</v>
      </c>
      <c r="AD54" s="17">
        <f t="shared" ref="AD54:AF54" si="70">IF($F$6-$D$6 &lt;&gt; 0,(EXP(LN(1+(AD34/100))/($F$6-$D$6))-1)*100,0)</f>
        <v>-0.39217252073887598</v>
      </c>
      <c r="AE54" s="17">
        <f t="shared" si="70"/>
        <v>2.9970907920209733</v>
      </c>
      <c r="AF54" s="17">
        <f t="shared" si="70"/>
        <v>2.7402826681535819</v>
      </c>
    </row>
    <row r="55" spans="1:32" x14ac:dyDescent="0.3">
      <c r="B55" s="17"/>
      <c r="C55" s="17"/>
      <c r="D55" s="17"/>
      <c r="E55" s="17"/>
      <c r="F55" s="17"/>
      <c r="H55" s="17"/>
      <c r="I55" s="17"/>
      <c r="J55" s="17"/>
      <c r="M55" s="17"/>
      <c r="N55" s="17"/>
      <c r="O55" s="17"/>
      <c r="P55" s="17"/>
      <c r="Q55" s="17"/>
      <c r="S55" s="17"/>
      <c r="T55" s="17"/>
      <c r="U55" s="17"/>
      <c r="X55" s="17"/>
      <c r="Y55" s="17"/>
      <c r="Z55" s="17"/>
      <c r="AA55" s="17"/>
      <c r="AB55" s="17"/>
      <c r="AD55" s="17"/>
      <c r="AE55" s="17"/>
      <c r="AF55" s="17"/>
    </row>
    <row r="56" spans="1:32" x14ac:dyDescent="0.3">
      <c r="A56" s="23" t="str">
        <f>$A$18</f>
        <v>All occupations</v>
      </c>
      <c r="B56" s="25">
        <f>IF(C$6-B$6 &lt;&gt; 0,(EXP(LN(C18/B18)/(C$6-B$6))-1)*100,0)</f>
        <v>1.2459947050990294</v>
      </c>
      <c r="C56" s="25">
        <f>IF(D$6-C$6 &lt;&gt; 0,(EXP(LN(D18/C18)/(D$6-C$6))-1)*100,0)</f>
        <v>-1.1028869104619532</v>
      </c>
      <c r="D56" s="25">
        <f>IF(E$6-D$6 &lt;&gt; 0,(EXP(LN(E18/D18)/(E$6-D$6))-1)*100,0)</f>
        <v>0.59186970332352207</v>
      </c>
      <c r="E56" s="25">
        <f>IF(F$6-E$6 &lt;&gt; 0,(EXP(LN(F18/E18)/(F$6-E$6))-1)*100,0)</f>
        <v>0.42098726884287618</v>
      </c>
      <c r="F56" s="25">
        <f t="shared" si="54"/>
        <v>0.47791580152365398</v>
      </c>
      <c r="H56" s="25">
        <f t="shared" si="51"/>
        <v>0.47791580152365398</v>
      </c>
      <c r="I56" s="25">
        <f t="shared" ref="I56" si="71">IF($F$6-$D$6 &lt;&gt; 0,(EXP(LN(1+(I36/100))/($F$6-$D$6))-1)*100,0)</f>
        <v>2.7460827719290926</v>
      </c>
      <c r="J56" s="25">
        <f t="shared" ref="J56" si="72">IF($F$6-$D$6 &lt;&gt; 0,(EXP(LN(1+(J36/100))/($F$6-$D$6))-1)*100,0)</f>
        <v>3.0767670650760692</v>
      </c>
      <c r="L56" s="23" t="str">
        <f>$A$18</f>
        <v>All occupations</v>
      </c>
      <c r="M56" s="25">
        <f>IF(N$6-M$6 &lt;&gt; 0,(EXP(LN(N18/M18)/(N$6-M$6))-1)*100,0)</f>
        <v>1.0409584683032769</v>
      </c>
      <c r="N56" s="25">
        <f>IF(O$6-N$6 &lt;&gt; 0,(EXP(LN(O18/N18)/(O$6-N$6))-1)*100,0)</f>
        <v>-2.0682461793294249</v>
      </c>
      <c r="O56" s="25">
        <f>IF(P$6-O$6 &lt;&gt; 0,(EXP(LN(P18/O18)/(P$6-O$6))-1)*100,0)</f>
        <v>0.52983248925964066</v>
      </c>
      <c r="P56" s="25">
        <f>IF(Q$6-P$6 &lt;&gt; 0,(EXP(LN(Q18/P18)/(Q$6-P$6))-1)*100,0)</f>
        <v>0.34854343288395206</v>
      </c>
      <c r="Q56" s="25">
        <f t="shared" ref="Q56" si="73">IF(Q$6-O$6 &lt;&gt; 0,(EXP(LN(Q18/O18)/(Q$6-O$6))-1)*100,0)</f>
        <v>0.40893676419082592</v>
      </c>
      <c r="S56" s="25">
        <f t="shared" ref="S56:U56" si="74">IF($F$6-$D$6 &lt;&gt; 0,(EXP(LN(1+(S36/100))/($F$6-$D$6))-1)*100,0)</f>
        <v>0.40893676419082592</v>
      </c>
      <c r="T56" s="25">
        <f t="shared" si="74"/>
        <v>2.3565990307462092</v>
      </c>
      <c r="U56" s="25">
        <f t="shared" si="74"/>
        <v>2.6542092291091723</v>
      </c>
      <c r="W56" s="23" t="str">
        <f>$A$18</f>
        <v>All occupations</v>
      </c>
      <c r="X56" s="25">
        <f>IF(Y$6-X$6 &lt;&gt; 0,(EXP(LN(Y18/X18)/(Y$6-X$6))-1)*100,0)</f>
        <v>1.4721269646963187</v>
      </c>
      <c r="Y56" s="25">
        <f>IF(Z$6-Y$6 &lt;&gt; 0,(EXP(LN(Z18/Y18)/(Z$6-Y$6))-1)*100,0)</f>
        <v>-4.9475931794651373E-2</v>
      </c>
      <c r="Z56" s="25">
        <f>IF(AA$6-Z$6 &lt;&gt; 0,(EXP(LN(AA18/Z18)/(AA$6-Z$6))-1)*100,0)</f>
        <v>0.65802927139828604</v>
      </c>
      <c r="AA56" s="25">
        <f>IF(AB$6-AA$6 &lt;&gt; 0,(EXP(LN(AB18/AA18)/(AB$6-AA$6))-1)*100,0)</f>
        <v>0.4974383625826917</v>
      </c>
      <c r="AB56" s="25">
        <f t="shared" ref="AB56" si="75">IF(AB$6-Z$6 &lt;&gt; 0,(EXP(LN(AB18/Z18)/(AB$6-Z$6))-1)*100,0)</f>
        <v>0.55094017770871417</v>
      </c>
      <c r="AD56" s="25">
        <f t="shared" ref="AD56:AF56" si="76">IF($F$6-$D$6 &lt;&gt; 0,(EXP(LN(1+(AD36/100))/($F$6-$D$6))-1)*100,0)</f>
        <v>0.55094017770871417</v>
      </c>
      <c r="AE56" s="25">
        <f t="shared" si="76"/>
        <v>3.1408415165634862</v>
      </c>
      <c r="AF56" s="25">
        <f t="shared" si="76"/>
        <v>3.5032409808263054</v>
      </c>
    </row>
    <row r="57" spans="1:32" x14ac:dyDescent="0.3">
      <c r="B57" s="17"/>
      <c r="C57" s="17"/>
      <c r="D57" s="17"/>
      <c r="E57" s="17"/>
      <c r="F57" s="17"/>
      <c r="M57" s="17"/>
      <c r="N57" s="17"/>
      <c r="O57" s="17"/>
      <c r="P57" s="17"/>
      <c r="Q57" s="17"/>
      <c r="X57" s="17"/>
      <c r="Y57" s="17"/>
      <c r="Z57" s="17"/>
      <c r="AA57" s="17"/>
      <c r="AB57" s="17"/>
    </row>
    <row r="58" spans="1:32" x14ac:dyDescent="0.3">
      <c r="B58" s="17"/>
      <c r="C58" s="17"/>
      <c r="D58" s="17"/>
      <c r="E58" s="17"/>
      <c r="F58" s="17"/>
      <c r="M58" s="17"/>
      <c r="N58" s="17"/>
      <c r="O58" s="17"/>
      <c r="P58" s="17"/>
      <c r="Q58" s="17"/>
      <c r="X58" s="17"/>
      <c r="Y58" s="17"/>
      <c r="Z58" s="17"/>
      <c r="AA58" s="17"/>
      <c r="AB58" s="17"/>
    </row>
    <row r="59" spans="1:32" x14ac:dyDescent="0.3">
      <c r="B59" s="17"/>
      <c r="C59" s="17"/>
      <c r="D59" s="17"/>
      <c r="E59" s="17"/>
      <c r="F59" s="15" t="s">
        <v>35</v>
      </c>
      <c r="M59" s="17"/>
      <c r="N59" s="17"/>
      <c r="O59" s="17"/>
      <c r="P59" s="17"/>
      <c r="Q59" s="15" t="s">
        <v>35</v>
      </c>
      <c r="X59" s="17"/>
      <c r="Y59" s="17"/>
      <c r="Z59" s="17"/>
      <c r="AA59" s="17"/>
      <c r="AB59" s="15" t="s">
        <v>35</v>
      </c>
    </row>
    <row r="60" spans="1:32" x14ac:dyDescent="0.3">
      <c r="A60" s="35"/>
      <c r="B60" s="65"/>
      <c r="C60" s="65"/>
      <c r="D60" s="65"/>
      <c r="E60" s="65"/>
      <c r="F60" s="65"/>
      <c r="L60" s="35"/>
      <c r="M60" s="65"/>
      <c r="N60" s="65"/>
      <c r="O60" s="65"/>
      <c r="P60" s="65"/>
      <c r="Q60" s="65"/>
      <c r="W60" s="35"/>
      <c r="X60" s="65"/>
      <c r="Y60" s="65"/>
      <c r="Z60" s="65"/>
      <c r="AA60" s="65"/>
      <c r="AB60" s="65"/>
    </row>
    <row r="62" spans="1:32" x14ac:dyDescent="0.3">
      <c r="A62" s="40" t="s">
        <v>15</v>
      </c>
      <c r="B62" s="63" t="str">
        <f>CONCATENATE(B$6,"-",C$6)</f>
        <v>2015-2019</v>
      </c>
      <c r="C62" s="63" t="str">
        <f>CONCATENATE(C$6,"-",D$6)</f>
        <v>2019-2020</v>
      </c>
      <c r="D62" s="63" t="str">
        <f>CONCATENATE(D$6,"-",E$6)</f>
        <v>2020-2025</v>
      </c>
      <c r="E62" s="63" t="str">
        <f>CONCATENATE(E$6,"-",F$6)</f>
        <v>2025-2035</v>
      </c>
      <c r="F62" s="63" t="str">
        <f>CONCATENATE(D$6,"-",F$6)</f>
        <v>2020-2035</v>
      </c>
      <c r="L62" s="40" t="s">
        <v>15</v>
      </c>
      <c r="M62" s="63" t="str">
        <f>CONCATENATE(M$6,"-",N$6)</f>
        <v>2015-2019</v>
      </c>
      <c r="N62" s="63" t="str">
        <f>CONCATENATE(N$6,"-",O$6)</f>
        <v>2019-2020</v>
      </c>
      <c r="O62" s="63" t="str">
        <f>CONCATENATE(O$6,"-",P$6)</f>
        <v>2020-2025</v>
      </c>
      <c r="P62" s="63" t="str">
        <f>CONCATENATE(P$6,"-",Q$6)</f>
        <v>2025-2035</v>
      </c>
      <c r="Q62" s="63" t="str">
        <f>CONCATENATE(O$6,"-",Q$6)</f>
        <v>2020-2035</v>
      </c>
      <c r="W62" s="40" t="s">
        <v>15</v>
      </c>
      <c r="X62" s="63" t="str">
        <f>CONCATENATE(X$6,"-",Y$6)</f>
        <v>2015-2019</v>
      </c>
      <c r="Y62" s="63" t="str">
        <f>CONCATENATE(Y$6,"-",Z$6)</f>
        <v>2019-2020</v>
      </c>
      <c r="Z62" s="63" t="str">
        <f>CONCATENATE(Z$6,"-",AA$6)</f>
        <v>2020-2025</v>
      </c>
      <c r="AA62" s="63" t="str">
        <f>CONCATENATE(AA$6,"-",AB$6)</f>
        <v>2025-2035</v>
      </c>
      <c r="AB62" s="63" t="str">
        <f>CONCATENATE(Z$6,"-",AB$6)</f>
        <v>2020-2035</v>
      </c>
    </row>
    <row r="63" spans="1:32" x14ac:dyDescent="0.3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3">
      <c r="A64" t="str">
        <f>$A$8</f>
        <v>Managers, directors and senior officials</v>
      </c>
      <c r="B64" s="26">
        <f t="shared" ref="B64:E72" si="77">C8-B8</f>
        <v>472.30039765497804</v>
      </c>
      <c r="C64" s="26">
        <f t="shared" si="77"/>
        <v>68.833666063575947</v>
      </c>
      <c r="D64" s="26">
        <f t="shared" si="77"/>
        <v>116.08506048816116</v>
      </c>
      <c r="E64" s="26">
        <f t="shared" si="77"/>
        <v>455.60460781089068</v>
      </c>
      <c r="F64" s="26">
        <f>F8-D8</f>
        <v>571.68966829905185</v>
      </c>
      <c r="L64" t="str">
        <f>$A$8</f>
        <v>Managers, directors and senior officials</v>
      </c>
      <c r="M64" s="26">
        <f t="shared" ref="M64:M72" si="78">N8-M8</f>
        <v>244.80868087910903</v>
      </c>
      <c r="N64" s="26">
        <f t="shared" ref="N64:N72" si="79">O8-N8</f>
        <v>12.78545202976602</v>
      </c>
      <c r="O64" s="26">
        <f t="shared" ref="O64:O72" si="80">P8-O8</f>
        <v>23.84733805566475</v>
      </c>
      <c r="P64" s="26">
        <f t="shared" ref="P64:P72" si="81">Q8-P8</f>
        <v>207.96464608232418</v>
      </c>
      <c r="Q64" s="26">
        <f>Q8-O8</f>
        <v>231.81198413798893</v>
      </c>
      <c r="W64" t="str">
        <f>$A$8</f>
        <v>Managers, directors and senior officials</v>
      </c>
      <c r="X64" s="26">
        <f t="shared" ref="X64:X72" si="82">Y8-X8</f>
        <v>227.49171677586446</v>
      </c>
      <c r="Y64" s="26">
        <f t="shared" ref="Y64:Y72" si="83">Z8-Y8</f>
        <v>56.048214033816294</v>
      </c>
      <c r="Z64" s="26">
        <f t="shared" ref="Z64:Z72" si="84">AA8-Z8</f>
        <v>92.23772243249573</v>
      </c>
      <c r="AA64" s="26">
        <f t="shared" ref="AA64:AA72" si="85">AB8-AA8</f>
        <v>247.639961728564</v>
      </c>
      <c r="AB64" s="26">
        <f>AB8-Z8</f>
        <v>339.87768416105973</v>
      </c>
    </row>
    <row r="65" spans="1:31" x14ac:dyDescent="0.3">
      <c r="A65" t="str">
        <f>$A$9</f>
        <v>Professional occupations</v>
      </c>
      <c r="B65" s="26">
        <f t="shared" si="77"/>
        <v>950.95215294919217</v>
      </c>
      <c r="C65" s="26">
        <f t="shared" si="77"/>
        <v>363.14571171748867</v>
      </c>
      <c r="D65" s="26">
        <f t="shared" si="77"/>
        <v>688.91496651378475</v>
      </c>
      <c r="E65" s="26">
        <f t="shared" si="77"/>
        <v>953.32240373963214</v>
      </c>
      <c r="F65" s="26">
        <f t="shared" ref="F65:F72" si="86">F9-D9</f>
        <v>1642.2373702534169</v>
      </c>
      <c r="L65" t="str">
        <f>$A$9</f>
        <v>Professional occupations</v>
      </c>
      <c r="M65" s="26">
        <f t="shared" si="78"/>
        <v>441.13120499066963</v>
      </c>
      <c r="N65" s="26">
        <f t="shared" si="79"/>
        <v>145.55587981172039</v>
      </c>
      <c r="O65" s="26">
        <f t="shared" si="80"/>
        <v>307.68837783582057</v>
      </c>
      <c r="P65" s="26">
        <f t="shared" si="81"/>
        <v>375.10218036922015</v>
      </c>
      <c r="Q65" s="26">
        <f t="shared" ref="Q65:Q72" si="87">Q9-O9</f>
        <v>682.79055820504072</v>
      </c>
      <c r="W65" t="str">
        <f>$A$9</f>
        <v>Professional occupations</v>
      </c>
      <c r="X65" s="26">
        <f t="shared" si="82"/>
        <v>509.82094795853027</v>
      </c>
      <c r="Y65" s="26">
        <f t="shared" si="83"/>
        <v>217.58983190576146</v>
      </c>
      <c r="Z65" s="26">
        <f t="shared" si="84"/>
        <v>381.22658867797509</v>
      </c>
      <c r="AA65" s="26">
        <f t="shared" si="85"/>
        <v>578.22022337039471</v>
      </c>
      <c r="AB65" s="26">
        <f t="shared" ref="AB65:AB72" si="88">AB9-Z9</f>
        <v>959.44681204836979</v>
      </c>
    </row>
    <row r="66" spans="1:31" x14ac:dyDescent="0.3">
      <c r="A66" t="str">
        <f>$A$10</f>
        <v>Associate professional occupations</v>
      </c>
      <c r="B66" s="26">
        <f t="shared" si="77"/>
        <v>351.35465469113296</v>
      </c>
      <c r="C66" s="26">
        <f t="shared" si="77"/>
        <v>211.0987995327323</v>
      </c>
      <c r="D66" s="26">
        <f t="shared" si="77"/>
        <v>-71.49989165302577</v>
      </c>
      <c r="E66" s="26">
        <f t="shared" si="77"/>
        <v>367.89294103920929</v>
      </c>
      <c r="F66" s="26">
        <f t="shared" si="86"/>
        <v>296.39304938618352</v>
      </c>
      <c r="L66" t="str">
        <f>$A$10</f>
        <v>Associate professional occupations</v>
      </c>
      <c r="M66" s="26">
        <f t="shared" si="78"/>
        <v>148.54686667757642</v>
      </c>
      <c r="N66" s="26">
        <f t="shared" si="79"/>
        <v>89.997124687597534</v>
      </c>
      <c r="O66" s="26">
        <f t="shared" si="80"/>
        <v>-136.15478330849646</v>
      </c>
      <c r="P66" s="26">
        <f t="shared" si="81"/>
        <v>86.800907325032767</v>
      </c>
      <c r="Q66" s="26">
        <f t="shared" si="87"/>
        <v>-49.353875983463695</v>
      </c>
      <c r="W66" t="str">
        <f>$A$10</f>
        <v>Associate professional occupations</v>
      </c>
      <c r="X66" s="26">
        <f t="shared" si="82"/>
        <v>202.80778801356382</v>
      </c>
      <c r="Y66" s="26">
        <f t="shared" si="83"/>
        <v>121.10167484513704</v>
      </c>
      <c r="Z66" s="26">
        <f t="shared" si="84"/>
        <v>64.654891655455231</v>
      </c>
      <c r="AA66" s="26">
        <f t="shared" si="85"/>
        <v>281.0920337141938</v>
      </c>
      <c r="AB66" s="26">
        <f t="shared" si="88"/>
        <v>345.74692536964903</v>
      </c>
    </row>
    <row r="67" spans="1:31" x14ac:dyDescent="0.3">
      <c r="A67" t="str">
        <f>$A$11</f>
        <v>Administrative and secretarial occupations</v>
      </c>
      <c r="B67" s="26">
        <f t="shared" si="77"/>
        <v>-108.08802179798249</v>
      </c>
      <c r="C67" s="26">
        <f t="shared" si="77"/>
        <v>114.21872878208751</v>
      </c>
      <c r="D67" s="26">
        <f t="shared" si="77"/>
        <v>-208.06109515020898</v>
      </c>
      <c r="E67" s="26">
        <f t="shared" si="77"/>
        <v>-278.71937688504886</v>
      </c>
      <c r="F67" s="26">
        <f t="shared" si="86"/>
        <v>-486.78047203525784</v>
      </c>
      <c r="L67" t="str">
        <f>$A$11</f>
        <v>Administrative and secretarial occupations</v>
      </c>
      <c r="M67" s="26">
        <f t="shared" si="78"/>
        <v>-52.010143101691028</v>
      </c>
      <c r="N67" s="26">
        <f t="shared" si="79"/>
        <v>149.27638678162339</v>
      </c>
      <c r="O67" s="26">
        <f t="shared" si="80"/>
        <v>-31.689839618792348</v>
      </c>
      <c r="P67" s="26">
        <f t="shared" si="81"/>
        <v>90.413397801743713</v>
      </c>
      <c r="Q67" s="26">
        <f t="shared" si="87"/>
        <v>58.723558182951365</v>
      </c>
      <c r="W67" t="str">
        <f>$A$11</f>
        <v>Administrative and secretarial occupations</v>
      </c>
      <c r="X67" s="26">
        <f t="shared" si="82"/>
        <v>-56.077878696286007</v>
      </c>
      <c r="Y67" s="26">
        <f t="shared" si="83"/>
        <v>-35.057657999546791</v>
      </c>
      <c r="Z67" s="26">
        <f t="shared" si="84"/>
        <v>-176.37125553139776</v>
      </c>
      <c r="AA67" s="26">
        <f t="shared" si="85"/>
        <v>-369.13277468679871</v>
      </c>
      <c r="AB67" s="26">
        <f t="shared" si="88"/>
        <v>-545.50403021819648</v>
      </c>
    </row>
    <row r="68" spans="1:31" x14ac:dyDescent="0.3">
      <c r="A68" t="str">
        <f>$A$12</f>
        <v>Skilled trades occupations</v>
      </c>
      <c r="B68" s="26">
        <f t="shared" si="77"/>
        <v>-54.63242649696258</v>
      </c>
      <c r="C68" s="26">
        <f t="shared" si="77"/>
        <v>-405.52827589163144</v>
      </c>
      <c r="D68" s="26">
        <f t="shared" si="77"/>
        <v>41.251316858640621</v>
      </c>
      <c r="E68" s="26">
        <f t="shared" si="77"/>
        <v>-80.12672761849899</v>
      </c>
      <c r="F68" s="26">
        <f t="shared" si="86"/>
        <v>-38.875410759858369</v>
      </c>
      <c r="L68" t="str">
        <f>$A$12</f>
        <v>Skilled trades occupations</v>
      </c>
      <c r="M68" s="26">
        <f t="shared" si="78"/>
        <v>-53.025837185633463</v>
      </c>
      <c r="N68" s="26">
        <f t="shared" si="79"/>
        <v>-423.09508078082172</v>
      </c>
      <c r="O68" s="26">
        <f t="shared" si="80"/>
        <v>-5.6453168214470679</v>
      </c>
      <c r="P68" s="26">
        <f t="shared" si="81"/>
        <v>-123.39477830219084</v>
      </c>
      <c r="Q68" s="26">
        <f t="shared" si="87"/>
        <v>-129.04009512363791</v>
      </c>
      <c r="W68" t="str">
        <f>$A$12</f>
        <v>Skilled trades occupations</v>
      </c>
      <c r="X68" s="26">
        <f t="shared" si="82"/>
        <v>-1.6065893113346306</v>
      </c>
      <c r="Y68" s="26">
        <f t="shared" si="83"/>
        <v>17.566804889182777</v>
      </c>
      <c r="Z68" s="26">
        <f t="shared" si="84"/>
        <v>46.896633680094169</v>
      </c>
      <c r="AA68" s="26">
        <f t="shared" si="85"/>
        <v>43.268050683688784</v>
      </c>
      <c r="AB68" s="26">
        <f t="shared" si="88"/>
        <v>90.164684363782953</v>
      </c>
    </row>
    <row r="69" spans="1:31" x14ac:dyDescent="0.3">
      <c r="A69" t="str">
        <f>$A$13</f>
        <v>Caring, leisure and other service occupations</v>
      </c>
      <c r="B69" s="26">
        <f t="shared" si="77"/>
        <v>102.5723884727322</v>
      </c>
      <c r="C69" s="26">
        <f t="shared" si="77"/>
        <v>-117.63365818937882</v>
      </c>
      <c r="D69" s="26">
        <f t="shared" si="77"/>
        <v>224.79824699907658</v>
      </c>
      <c r="E69" s="26">
        <f t="shared" si="77"/>
        <v>276.96040840446312</v>
      </c>
      <c r="F69" s="26">
        <f t="shared" si="86"/>
        <v>501.75865540353971</v>
      </c>
      <c r="L69" t="str">
        <f>$A$13</f>
        <v>Caring, leisure and other service occupations</v>
      </c>
      <c r="M69" s="26">
        <f t="shared" si="78"/>
        <v>30.420970162307071</v>
      </c>
      <c r="N69" s="26">
        <f t="shared" si="79"/>
        <v>-10.796686596963468</v>
      </c>
      <c r="O69" s="26">
        <f t="shared" si="80"/>
        <v>84.99290915968254</v>
      </c>
      <c r="P69" s="26">
        <f t="shared" si="81"/>
        <v>102.46856188436084</v>
      </c>
      <c r="Q69" s="26">
        <f t="shared" si="87"/>
        <v>187.46147104404338</v>
      </c>
      <c r="W69" t="str">
        <f>$A$13</f>
        <v>Caring, leisure and other service occupations</v>
      </c>
      <c r="X69" s="26">
        <f t="shared" si="82"/>
        <v>72.151418310431836</v>
      </c>
      <c r="Y69" s="26">
        <f t="shared" si="83"/>
        <v>-106.8369715924191</v>
      </c>
      <c r="Z69" s="26">
        <f t="shared" si="84"/>
        <v>139.80533783938927</v>
      </c>
      <c r="AA69" s="26">
        <f t="shared" si="85"/>
        <v>174.49184652010899</v>
      </c>
      <c r="AB69" s="26">
        <f t="shared" si="88"/>
        <v>314.29718435949826</v>
      </c>
    </row>
    <row r="70" spans="1:31" x14ac:dyDescent="0.3">
      <c r="A70" t="str">
        <f>$A$14</f>
        <v>Sales and customer service occupations</v>
      </c>
      <c r="B70" s="26">
        <f t="shared" si="77"/>
        <v>-69.99234625794179</v>
      </c>
      <c r="C70" s="26">
        <f t="shared" si="77"/>
        <v>-30.181467734948455</v>
      </c>
      <c r="D70" s="26">
        <f t="shared" si="77"/>
        <v>17.22995977291248</v>
      </c>
      <c r="E70" s="26">
        <f t="shared" si="77"/>
        <v>12.109646228066595</v>
      </c>
      <c r="F70" s="26">
        <f t="shared" si="86"/>
        <v>29.339606000979074</v>
      </c>
      <c r="L70" t="str">
        <f>$A$14</f>
        <v>Sales and customer service occupations</v>
      </c>
      <c r="M70" s="26">
        <f t="shared" si="78"/>
        <v>-14.414644206973435</v>
      </c>
      <c r="N70" s="26">
        <f t="shared" si="79"/>
        <v>8.9144379959652724</v>
      </c>
      <c r="O70" s="26">
        <f t="shared" si="80"/>
        <v>38.279801935505247</v>
      </c>
      <c r="P70" s="26">
        <f t="shared" si="81"/>
        <v>42.65306895841627</v>
      </c>
      <c r="Q70" s="26">
        <f t="shared" si="87"/>
        <v>80.932870893921518</v>
      </c>
      <c r="W70" t="str">
        <f>$A$14</f>
        <v>Sales and customer service occupations</v>
      </c>
      <c r="X70" s="26">
        <f t="shared" si="82"/>
        <v>-55.577702050958578</v>
      </c>
      <c r="Y70" s="26">
        <f t="shared" si="83"/>
        <v>-39.095905730912818</v>
      </c>
      <c r="Z70" s="26">
        <f t="shared" si="84"/>
        <v>-21.049842162597542</v>
      </c>
      <c r="AA70" s="26">
        <f t="shared" si="85"/>
        <v>-30.543422730348084</v>
      </c>
      <c r="AB70" s="26">
        <f t="shared" si="88"/>
        <v>-51.593264892945626</v>
      </c>
    </row>
    <row r="71" spans="1:31" x14ac:dyDescent="0.3">
      <c r="A71" t="str">
        <f>$A$15</f>
        <v>Process, plant and machine operatives</v>
      </c>
      <c r="B71" s="26">
        <f t="shared" si="77"/>
        <v>95.802585051613733</v>
      </c>
      <c r="C71" s="26">
        <f t="shared" si="77"/>
        <v>-251.54797577875206</v>
      </c>
      <c r="D71" s="26">
        <f t="shared" si="77"/>
        <v>243.18729699767755</v>
      </c>
      <c r="E71" s="26">
        <f t="shared" si="77"/>
        <v>-21.547974870546568</v>
      </c>
      <c r="F71" s="26">
        <f t="shared" si="86"/>
        <v>221.63932212713098</v>
      </c>
      <c r="L71" t="str">
        <f>$A$15</f>
        <v>Process, plant and machine operatives</v>
      </c>
      <c r="M71" s="26">
        <f t="shared" si="78"/>
        <v>88.365760327337966</v>
      </c>
      <c r="N71" s="26">
        <f t="shared" si="79"/>
        <v>-219.95028246476363</v>
      </c>
      <c r="O71" s="26">
        <f t="shared" si="80"/>
        <v>165.31286028025556</v>
      </c>
      <c r="P71" s="26">
        <f t="shared" si="81"/>
        <v>-40.557656429230065</v>
      </c>
      <c r="Q71" s="26">
        <f t="shared" si="87"/>
        <v>124.7552038510255</v>
      </c>
      <c r="W71" t="str">
        <f>$A$15</f>
        <v>Process, plant and machine operatives</v>
      </c>
      <c r="X71" s="26">
        <f t="shared" si="82"/>
        <v>7.4368247242720145</v>
      </c>
      <c r="Y71" s="26">
        <f t="shared" si="83"/>
        <v>-31.59769331398428</v>
      </c>
      <c r="Z71" s="26">
        <f t="shared" si="84"/>
        <v>77.874436717426988</v>
      </c>
      <c r="AA71" s="26">
        <f t="shared" si="85"/>
        <v>19.00968155867622</v>
      </c>
      <c r="AB71" s="26">
        <f t="shared" si="88"/>
        <v>96.884118276103209</v>
      </c>
    </row>
    <row r="72" spans="1:31" x14ac:dyDescent="0.3">
      <c r="A72" t="str">
        <f>$A$16</f>
        <v>Elementary occupations</v>
      </c>
      <c r="B72" s="26">
        <f t="shared" si="77"/>
        <v>-31.250384266643323</v>
      </c>
      <c r="C72" s="26">
        <f t="shared" si="77"/>
        <v>-342.44152850152568</v>
      </c>
      <c r="D72" s="26">
        <f t="shared" si="77"/>
        <v>-4.5498608270336263</v>
      </c>
      <c r="E72" s="26">
        <f t="shared" si="77"/>
        <v>-139.9479278478957</v>
      </c>
      <c r="F72" s="26">
        <f t="shared" si="86"/>
        <v>-144.49778867492932</v>
      </c>
      <c r="L72" t="str">
        <f>$A$16</f>
        <v>Elementary occupations</v>
      </c>
      <c r="M72" s="26">
        <f t="shared" si="78"/>
        <v>-85.026858542500804</v>
      </c>
      <c r="N72" s="26">
        <f t="shared" si="79"/>
        <v>-134.35623146459216</v>
      </c>
      <c r="O72" s="26">
        <f t="shared" si="80"/>
        <v>37.227652481889209</v>
      </c>
      <c r="P72" s="26">
        <f t="shared" si="81"/>
        <v>-84.456327689637192</v>
      </c>
      <c r="Q72" s="26">
        <f t="shared" si="87"/>
        <v>-47.228675207747983</v>
      </c>
      <c r="W72" t="str">
        <f>$A$16</f>
        <v>Elementary occupations</v>
      </c>
      <c r="X72" s="26">
        <f t="shared" si="82"/>
        <v>53.776474275852024</v>
      </c>
      <c r="Y72" s="26">
        <f t="shared" si="83"/>
        <v>-208.08529703692966</v>
      </c>
      <c r="Z72" s="26">
        <f t="shared" si="84"/>
        <v>-41.777513308934431</v>
      </c>
      <c r="AA72" s="26">
        <f t="shared" si="85"/>
        <v>-55.491600158240772</v>
      </c>
      <c r="AB72" s="26">
        <f t="shared" si="88"/>
        <v>-97.269113467175202</v>
      </c>
    </row>
    <row r="73" spans="1:31" x14ac:dyDescent="0.3">
      <c r="B73" s="26"/>
      <c r="C73" s="26"/>
      <c r="D73" s="26"/>
      <c r="E73" s="26"/>
      <c r="F73" s="26"/>
      <c r="M73" s="26"/>
      <c r="N73" s="26"/>
      <c r="O73" s="26"/>
      <c r="P73" s="26"/>
      <c r="Q73" s="26"/>
      <c r="X73" s="26"/>
      <c r="Y73" s="26"/>
      <c r="Z73" s="26"/>
      <c r="AA73" s="26"/>
      <c r="AB73" s="26"/>
    </row>
    <row r="74" spans="1:31" x14ac:dyDescent="0.3">
      <c r="A74" s="23" t="str">
        <f>$A$18</f>
        <v>All occupations</v>
      </c>
      <c r="B74" s="28">
        <f>C18-B18</f>
        <v>1709.0190000001166</v>
      </c>
      <c r="C74" s="28">
        <f t="shared" ref="C74" si="89">D18-C18</f>
        <v>-390.0360000003493</v>
      </c>
      <c r="D74" s="28">
        <f>E18-D18</f>
        <v>1047.3559999999779</v>
      </c>
      <c r="E74" s="28">
        <f>F18-E18</f>
        <v>1545.5480000002717</v>
      </c>
      <c r="F74" s="28">
        <f>F18-D18</f>
        <v>2592.9040000002497</v>
      </c>
      <c r="L74" s="23" t="str">
        <f>$A$18</f>
        <v>All occupations</v>
      </c>
      <c r="M74" s="28">
        <f>N18-M18</f>
        <v>748.79600000020582</v>
      </c>
      <c r="N74" s="28">
        <f t="shared" ref="N74" si="90">O18-N18</f>
        <v>-381.66900000047099</v>
      </c>
      <c r="O74" s="28">
        <f>P18-O18</f>
        <v>483.85900000008041</v>
      </c>
      <c r="P74" s="28">
        <f>Q18-P18</f>
        <v>656.99400000004243</v>
      </c>
      <c r="Q74" s="28">
        <f>Q18-O18</f>
        <v>1140.8530000001228</v>
      </c>
      <c r="W74" s="23" t="str">
        <f>$A$18</f>
        <v>All occupations</v>
      </c>
      <c r="X74" s="28">
        <f>Y18-X18</f>
        <v>960.22299999993629</v>
      </c>
      <c r="Y74" s="28">
        <f t="shared" ref="Y74" si="91">Z18-Y18</f>
        <v>-8.3669999999001448</v>
      </c>
      <c r="Z74" s="28">
        <f>AA18-Z18</f>
        <v>563.49699999990844</v>
      </c>
      <c r="AA74" s="28">
        <f>AB18-AA18</f>
        <v>888.55400000024019</v>
      </c>
      <c r="AB74" s="28">
        <f>AB18-Z18</f>
        <v>1452.0510000001486</v>
      </c>
    </row>
    <row r="78" spans="1:31" x14ac:dyDescent="0.3">
      <c r="D78" s="1" t="s">
        <v>13</v>
      </c>
      <c r="H78" s="40" t="s">
        <v>41</v>
      </c>
      <c r="O78" s="1" t="s">
        <v>13</v>
      </c>
      <c r="S78" s="40" t="s">
        <v>41</v>
      </c>
      <c r="Z78" s="1" t="s">
        <v>13</v>
      </c>
      <c r="AD78" s="40" t="s">
        <v>41</v>
      </c>
    </row>
    <row r="79" spans="1:31" x14ac:dyDescent="0.3">
      <c r="A79" s="21"/>
      <c r="B79" s="22">
        <f>B6</f>
        <v>2015</v>
      </c>
      <c r="C79" s="22">
        <f>C6</f>
        <v>2019</v>
      </c>
      <c r="D79" s="22">
        <f>D6</f>
        <v>2020</v>
      </c>
      <c r="E79" s="22">
        <f>E6</f>
        <v>2025</v>
      </c>
      <c r="F79" s="22">
        <f>F6</f>
        <v>2035</v>
      </c>
      <c r="H79" s="74" t="str">
        <f>CONCATENATE(B$6,"-",D$6)</f>
        <v>2015-2020</v>
      </c>
      <c r="I79" s="74" t="str">
        <f>F44</f>
        <v>2020-2035</v>
      </c>
      <c r="L79" s="21"/>
      <c r="M79" s="22">
        <f>M6</f>
        <v>2015</v>
      </c>
      <c r="N79" s="22">
        <f>N6</f>
        <v>2019</v>
      </c>
      <c r="O79" s="22">
        <f>O6</f>
        <v>2020</v>
      </c>
      <c r="P79" s="22">
        <f>P6</f>
        <v>2025</v>
      </c>
      <c r="Q79" s="22">
        <f>Q6</f>
        <v>2035</v>
      </c>
      <c r="S79" s="74" t="str">
        <f>CONCATENATE(M$6,"-",O$6)</f>
        <v>2015-2020</v>
      </c>
      <c r="T79" s="74" t="str">
        <f>Q44</f>
        <v>2020-2035</v>
      </c>
      <c r="W79" s="21"/>
      <c r="X79" s="22">
        <f>X6</f>
        <v>2015</v>
      </c>
      <c r="Y79" s="22">
        <f>Y6</f>
        <v>2019</v>
      </c>
      <c r="Z79" s="22">
        <f>Z6</f>
        <v>2020</v>
      </c>
      <c r="AA79" s="22">
        <f>AA6</f>
        <v>2025</v>
      </c>
      <c r="AB79" s="22">
        <f>AB6</f>
        <v>2035</v>
      </c>
      <c r="AD79" s="74" t="str">
        <f>CONCATENATE(X$6,"-",Z$6)</f>
        <v>2015-2020</v>
      </c>
      <c r="AE79" s="74" t="str">
        <f>AB44</f>
        <v>2020-2035</v>
      </c>
    </row>
    <row r="80" spans="1:31" x14ac:dyDescent="0.3">
      <c r="A80" t="str">
        <f t="shared" ref="A80:F88" si="92">A8</f>
        <v>Managers, directors and senior officials</v>
      </c>
      <c r="B80" s="11">
        <f t="shared" si="92"/>
        <v>3205.425138336177</v>
      </c>
      <c r="C80" s="11">
        <f t="shared" si="92"/>
        <v>3677.7255359911551</v>
      </c>
      <c r="D80" s="11">
        <f t="shared" si="92"/>
        <v>3746.559202054731</v>
      </c>
      <c r="E80" s="11">
        <f t="shared" si="92"/>
        <v>3862.6442625428922</v>
      </c>
      <c r="F80" s="11">
        <f t="shared" si="92"/>
        <v>4318.2488703537829</v>
      </c>
      <c r="H80" s="39">
        <f>IF(D$6-B$6 &lt;&gt; 0,(EXP(LN(D8/B8)/(D$6-B$6))-1)*100,0)</f>
        <v>3.169040667837919</v>
      </c>
      <c r="I80" s="39">
        <f t="shared" ref="I80:I88" si="93">F46</f>
        <v>0.95124311787460059</v>
      </c>
      <c r="L80" t="str">
        <f t="shared" ref="L80:Q88" si="94">L8</f>
        <v>Managers, directors and senior officials</v>
      </c>
      <c r="M80" s="11">
        <f t="shared" si="94"/>
        <v>2129.1501277330208</v>
      </c>
      <c r="N80" s="11">
        <f t="shared" si="94"/>
        <v>2373.9588086121298</v>
      </c>
      <c r="O80" s="11">
        <f t="shared" si="94"/>
        <v>2386.7442606418958</v>
      </c>
      <c r="P80" s="11">
        <f t="shared" si="94"/>
        <v>2410.5915986975606</v>
      </c>
      <c r="Q80" s="11">
        <f t="shared" si="94"/>
        <v>2618.5562447798848</v>
      </c>
      <c r="S80" s="39">
        <f t="shared" ref="S80:S88" si="95">IF(O$6-M$6 &lt;&gt; 0,(EXP(LN(O8/M8)/(O$6-M$6))-1)*100,0)</f>
        <v>2.3104324585190072</v>
      </c>
      <c r="T80" s="39">
        <f t="shared" ref="T80:T88" si="96">Q46</f>
        <v>0.61986600734129649</v>
      </c>
      <c r="W80" t="str">
        <f t="shared" ref="W80:AB88" si="97">W8</f>
        <v>Managers, directors and senior officials</v>
      </c>
      <c r="X80" s="11">
        <f t="shared" si="97"/>
        <v>1076.2750106031581</v>
      </c>
      <c r="Y80" s="11">
        <f t="shared" si="97"/>
        <v>1303.7667273790225</v>
      </c>
      <c r="Z80" s="11">
        <f t="shared" si="97"/>
        <v>1359.8149414128388</v>
      </c>
      <c r="AA80" s="11">
        <f t="shared" si="97"/>
        <v>1452.0526638453346</v>
      </c>
      <c r="AB80" s="11">
        <f t="shared" si="97"/>
        <v>1699.6926255738986</v>
      </c>
      <c r="AD80" s="39">
        <f t="shared" ref="AD80:AD88" si="98">IF(Z$6-X$6 &lt;&gt; 0,(EXP(LN(Z8/X8)/(Z$6-X$6))-1)*100,0)</f>
        <v>4.787941847355448</v>
      </c>
      <c r="AE80" s="39">
        <f t="shared" ref="AE80:AE88" si="99">AB46</f>
        <v>1.498441112876514</v>
      </c>
    </row>
    <row r="81" spans="1:31" x14ac:dyDescent="0.3">
      <c r="A81" t="str">
        <f t="shared" si="92"/>
        <v>Professional occupations</v>
      </c>
      <c r="B81" s="11">
        <f t="shared" si="92"/>
        <v>6885.4818455337045</v>
      </c>
      <c r="C81" s="11">
        <f t="shared" si="92"/>
        <v>7836.4339984828966</v>
      </c>
      <c r="D81" s="11">
        <f t="shared" si="92"/>
        <v>8199.5797102003853</v>
      </c>
      <c r="E81" s="11">
        <f t="shared" si="92"/>
        <v>8888.4946767141701</v>
      </c>
      <c r="F81" s="11">
        <f t="shared" si="92"/>
        <v>9841.8170804538022</v>
      </c>
      <c r="H81" s="39">
        <f t="shared" ref="H81:H88" si="100">IF(D$6-B$6 &lt;&gt; 0,(EXP(LN(D9/B9)/(D$6-B$6))-1)*100,0)</f>
        <v>3.5550901103721833</v>
      </c>
      <c r="I81" s="39">
        <f t="shared" si="93"/>
        <v>1.2244859106324002</v>
      </c>
      <c r="L81" t="str">
        <f t="shared" si="94"/>
        <v>Professional occupations</v>
      </c>
      <c r="M81" s="11">
        <f t="shared" si="94"/>
        <v>3507.3416727466229</v>
      </c>
      <c r="N81" s="11">
        <f t="shared" si="94"/>
        <v>3948.4728777372925</v>
      </c>
      <c r="O81" s="11">
        <f t="shared" si="94"/>
        <v>4094.0287575490129</v>
      </c>
      <c r="P81" s="11">
        <f t="shared" si="94"/>
        <v>4401.7171353848335</v>
      </c>
      <c r="Q81" s="11">
        <f t="shared" si="94"/>
        <v>4776.8193157540536</v>
      </c>
      <c r="S81" s="39">
        <f t="shared" si="95"/>
        <v>3.1417658959186801</v>
      </c>
      <c r="T81" s="39">
        <f t="shared" si="96"/>
        <v>1.0336078564862072</v>
      </c>
      <c r="W81" t="str">
        <f t="shared" si="97"/>
        <v>Professional occupations</v>
      </c>
      <c r="X81" s="11">
        <f t="shared" si="97"/>
        <v>3378.1401727870825</v>
      </c>
      <c r="Y81" s="11">
        <f t="shared" si="97"/>
        <v>3887.9611207456128</v>
      </c>
      <c r="Z81" s="11">
        <f t="shared" si="97"/>
        <v>4105.5509526513742</v>
      </c>
      <c r="AA81" s="11">
        <f t="shared" si="97"/>
        <v>4486.7775413293493</v>
      </c>
      <c r="AB81" s="11">
        <f t="shared" si="97"/>
        <v>5064.997764699744</v>
      </c>
      <c r="AD81" s="39">
        <f t="shared" si="98"/>
        <v>3.9773527187544566</v>
      </c>
      <c r="AE81" s="39">
        <f t="shared" si="99"/>
        <v>1.4099388357500908</v>
      </c>
    </row>
    <row r="82" spans="1:31" x14ac:dyDescent="0.3">
      <c r="A82" t="str">
        <f t="shared" si="92"/>
        <v>Associate professional occupations</v>
      </c>
      <c r="B82" s="11">
        <f t="shared" si="92"/>
        <v>4219.4704423124967</v>
      </c>
      <c r="C82" s="11">
        <f t="shared" si="92"/>
        <v>4570.8250970036297</v>
      </c>
      <c r="D82" s="11">
        <f t="shared" si="92"/>
        <v>4781.923896536362</v>
      </c>
      <c r="E82" s="11">
        <f t="shared" si="92"/>
        <v>4710.4240048833362</v>
      </c>
      <c r="F82" s="11">
        <f t="shared" si="92"/>
        <v>5078.3169459225455</v>
      </c>
      <c r="H82" s="39">
        <f t="shared" si="100"/>
        <v>2.5342460254586419</v>
      </c>
      <c r="I82" s="39">
        <f t="shared" si="93"/>
        <v>0.40171768100338845</v>
      </c>
      <c r="L82" t="str">
        <f t="shared" si="94"/>
        <v>Associate professional occupations</v>
      </c>
      <c r="M82" s="11">
        <f t="shared" si="94"/>
        <v>2278.1138359247002</v>
      </c>
      <c r="N82" s="11">
        <f t="shared" si="94"/>
        <v>2426.6607026022766</v>
      </c>
      <c r="O82" s="11">
        <f t="shared" si="94"/>
        <v>2516.6578272898741</v>
      </c>
      <c r="P82" s="11">
        <f t="shared" si="94"/>
        <v>2380.5030439813777</v>
      </c>
      <c r="Q82" s="11">
        <f t="shared" si="94"/>
        <v>2467.3039513064105</v>
      </c>
      <c r="S82" s="39">
        <f t="shared" si="95"/>
        <v>2.0116447831497908</v>
      </c>
      <c r="T82" s="39">
        <f t="shared" si="96"/>
        <v>-0.13195103756625803</v>
      </c>
      <c r="W82" t="str">
        <f t="shared" si="97"/>
        <v>Associate professional occupations</v>
      </c>
      <c r="X82" s="11">
        <f t="shared" si="97"/>
        <v>1941.3566063877915</v>
      </c>
      <c r="Y82" s="11">
        <f t="shared" si="97"/>
        <v>2144.1643944013554</v>
      </c>
      <c r="Z82" s="11">
        <f t="shared" si="97"/>
        <v>2265.2660692464924</v>
      </c>
      <c r="AA82" s="11">
        <f t="shared" si="97"/>
        <v>2329.9209609019476</v>
      </c>
      <c r="AB82" s="11">
        <f t="shared" si="97"/>
        <v>2611.0129946161414</v>
      </c>
      <c r="AD82" s="39">
        <f t="shared" si="98"/>
        <v>3.1342181005282299</v>
      </c>
      <c r="AE82" s="39">
        <f t="shared" si="99"/>
        <v>0.95147161348754228</v>
      </c>
    </row>
    <row r="83" spans="1:31" x14ac:dyDescent="0.3">
      <c r="A83" t="str">
        <f t="shared" si="92"/>
        <v>Administrative and secretarial occupations</v>
      </c>
      <c r="B83" s="11">
        <f t="shared" si="92"/>
        <v>3735.6125804733579</v>
      </c>
      <c r="C83" s="11">
        <f t="shared" si="92"/>
        <v>3627.5245586753754</v>
      </c>
      <c r="D83" s="11">
        <f t="shared" si="92"/>
        <v>3741.7432874574629</v>
      </c>
      <c r="E83" s="11">
        <f t="shared" si="92"/>
        <v>3533.6821923072539</v>
      </c>
      <c r="F83" s="11">
        <f t="shared" si="92"/>
        <v>3254.962815422205</v>
      </c>
      <c r="H83" s="39">
        <f t="shared" si="100"/>
        <v>3.2801508413538016E-2</v>
      </c>
      <c r="I83" s="39">
        <f t="shared" si="93"/>
        <v>-0.92483531760759741</v>
      </c>
      <c r="L83" t="str">
        <f t="shared" si="94"/>
        <v>Administrative and secretarial occupations</v>
      </c>
      <c r="M83" s="11">
        <f t="shared" si="94"/>
        <v>950.97022339060163</v>
      </c>
      <c r="N83" s="11">
        <f t="shared" si="94"/>
        <v>898.9600802889106</v>
      </c>
      <c r="O83" s="11">
        <f t="shared" si="94"/>
        <v>1048.236467070534</v>
      </c>
      <c r="P83" s="11">
        <f t="shared" si="94"/>
        <v>1016.5466274517416</v>
      </c>
      <c r="Q83" s="11">
        <f t="shared" si="94"/>
        <v>1106.9600252534854</v>
      </c>
      <c r="S83" s="39">
        <f t="shared" si="95"/>
        <v>1.9667246292002227</v>
      </c>
      <c r="T83" s="39">
        <f t="shared" si="96"/>
        <v>0.36405002639208206</v>
      </c>
      <c r="W83" t="str">
        <f t="shared" si="97"/>
        <v>Administrative and secretarial occupations</v>
      </c>
      <c r="X83" s="11">
        <f t="shared" si="97"/>
        <v>2784.6423570827524</v>
      </c>
      <c r="Y83" s="11">
        <f t="shared" si="97"/>
        <v>2728.5644783864664</v>
      </c>
      <c r="Z83" s="11">
        <f t="shared" si="97"/>
        <v>2693.5068203869196</v>
      </c>
      <c r="AA83" s="11">
        <f t="shared" si="97"/>
        <v>2517.1355648555218</v>
      </c>
      <c r="AB83" s="11">
        <f t="shared" si="97"/>
        <v>2148.0027901687231</v>
      </c>
      <c r="AD83" s="39">
        <f t="shared" si="98"/>
        <v>-0.66329943834220195</v>
      </c>
      <c r="AE83" s="39">
        <f t="shared" si="99"/>
        <v>-1.4973795535078049</v>
      </c>
    </row>
    <row r="84" spans="1:31" x14ac:dyDescent="0.3">
      <c r="A84" t="str">
        <f t="shared" si="92"/>
        <v>Skilled trades occupations</v>
      </c>
      <c r="B84" s="11">
        <f t="shared" si="92"/>
        <v>3489.0889692270907</v>
      </c>
      <c r="C84" s="11">
        <f t="shared" si="92"/>
        <v>3434.4565427301281</v>
      </c>
      <c r="D84" s="11">
        <f t="shared" si="92"/>
        <v>3028.9282668384967</v>
      </c>
      <c r="E84" s="11">
        <f t="shared" si="92"/>
        <v>3070.1795836971373</v>
      </c>
      <c r="F84" s="11">
        <f t="shared" si="92"/>
        <v>2990.0528560786383</v>
      </c>
      <c r="H84" s="39">
        <f t="shared" si="100"/>
        <v>-2.7890048831156644</v>
      </c>
      <c r="I84" s="39">
        <f t="shared" si="93"/>
        <v>-8.608149376250207E-2</v>
      </c>
      <c r="L84" t="str">
        <f t="shared" si="94"/>
        <v>Skilled trades occupations</v>
      </c>
      <c r="M84" s="11">
        <f t="shared" si="94"/>
        <v>3121.2998316095263</v>
      </c>
      <c r="N84" s="11">
        <f t="shared" si="94"/>
        <v>3068.2739944238929</v>
      </c>
      <c r="O84" s="11">
        <f t="shared" si="94"/>
        <v>2645.1789136430712</v>
      </c>
      <c r="P84" s="11">
        <f t="shared" si="94"/>
        <v>2639.5335968216241</v>
      </c>
      <c r="Q84" s="11">
        <f t="shared" si="94"/>
        <v>2516.1388185194332</v>
      </c>
      <c r="S84" s="39">
        <f t="shared" si="95"/>
        <v>-3.2560283459967754</v>
      </c>
      <c r="T84" s="39">
        <f t="shared" si="96"/>
        <v>-0.3328660592941346</v>
      </c>
      <c r="W84" t="str">
        <f t="shared" si="97"/>
        <v>Skilled trades occupations</v>
      </c>
      <c r="X84" s="11">
        <f t="shared" si="97"/>
        <v>367.78913761757138</v>
      </c>
      <c r="Y84" s="11">
        <f t="shared" si="97"/>
        <v>366.18254830623675</v>
      </c>
      <c r="Z84" s="11">
        <f t="shared" si="97"/>
        <v>383.74935319541953</v>
      </c>
      <c r="AA84" s="11">
        <f t="shared" si="97"/>
        <v>430.6459868755137</v>
      </c>
      <c r="AB84" s="11">
        <f t="shared" si="97"/>
        <v>473.91403755920248</v>
      </c>
      <c r="AD84" s="39">
        <f t="shared" si="98"/>
        <v>0.85321601689554161</v>
      </c>
      <c r="AE84" s="39">
        <f t="shared" si="99"/>
        <v>1.4168524506803504</v>
      </c>
    </row>
    <row r="85" spans="1:31" x14ac:dyDescent="0.3">
      <c r="A85" t="str">
        <f t="shared" si="92"/>
        <v>Caring, leisure and other service occupations</v>
      </c>
      <c r="B85" s="11">
        <f t="shared" si="92"/>
        <v>3148.6020297528362</v>
      </c>
      <c r="C85" s="11">
        <f t="shared" si="92"/>
        <v>3251.1744182255684</v>
      </c>
      <c r="D85" s="11">
        <f t="shared" si="92"/>
        <v>3133.5407600361896</v>
      </c>
      <c r="E85" s="11">
        <f t="shared" si="92"/>
        <v>3358.3390070352661</v>
      </c>
      <c r="F85" s="11">
        <f t="shared" si="92"/>
        <v>3635.2994154397293</v>
      </c>
      <c r="H85" s="39">
        <f t="shared" si="100"/>
        <v>-9.5853147940982986E-2</v>
      </c>
      <c r="I85" s="39">
        <f t="shared" si="93"/>
        <v>0.99510442309873604</v>
      </c>
      <c r="L85" t="str">
        <f t="shared" si="94"/>
        <v>Caring, leisure and other service occupations</v>
      </c>
      <c r="M85" s="11">
        <f t="shared" si="94"/>
        <v>618.97774826176976</v>
      </c>
      <c r="N85" s="11">
        <f t="shared" si="94"/>
        <v>649.39871842407683</v>
      </c>
      <c r="O85" s="11">
        <f t="shared" si="94"/>
        <v>638.60203182711336</v>
      </c>
      <c r="P85" s="11">
        <f t="shared" si="94"/>
        <v>723.5949409867959</v>
      </c>
      <c r="Q85" s="11">
        <f t="shared" si="94"/>
        <v>826.06350287115674</v>
      </c>
      <c r="S85" s="39">
        <f t="shared" si="95"/>
        <v>0.62619521182245563</v>
      </c>
      <c r="T85" s="39">
        <f t="shared" si="96"/>
        <v>1.7307413182056086</v>
      </c>
      <c r="W85" t="str">
        <f t="shared" si="97"/>
        <v>Caring, leisure and other service occupations</v>
      </c>
      <c r="X85" s="11">
        <f t="shared" si="97"/>
        <v>2529.624281491062</v>
      </c>
      <c r="Y85" s="11">
        <f t="shared" si="97"/>
        <v>2601.7756998014938</v>
      </c>
      <c r="Z85" s="11">
        <f t="shared" si="97"/>
        <v>2494.9387282090747</v>
      </c>
      <c r="AA85" s="11">
        <f t="shared" si="97"/>
        <v>2634.744066048464</v>
      </c>
      <c r="AB85" s="11">
        <f t="shared" si="97"/>
        <v>2809.235912568573</v>
      </c>
      <c r="AD85" s="39">
        <f t="shared" si="98"/>
        <v>-0.27575141145983473</v>
      </c>
      <c r="AE85" s="39">
        <f t="shared" si="99"/>
        <v>0.79412563673224579</v>
      </c>
    </row>
    <row r="86" spans="1:31" x14ac:dyDescent="0.3">
      <c r="A86" t="str">
        <f t="shared" si="92"/>
        <v>Sales and customer service occupations</v>
      </c>
      <c r="B86" s="11">
        <f t="shared" si="92"/>
        <v>2887.2607292090461</v>
      </c>
      <c r="C86" s="11">
        <f t="shared" si="92"/>
        <v>2817.2683829511043</v>
      </c>
      <c r="D86" s="11">
        <f t="shared" si="92"/>
        <v>2787.0869152161558</v>
      </c>
      <c r="E86" s="11">
        <f t="shared" si="92"/>
        <v>2804.3168749890683</v>
      </c>
      <c r="F86" s="11">
        <f t="shared" si="92"/>
        <v>2816.4265212171349</v>
      </c>
      <c r="H86" s="39">
        <f t="shared" si="100"/>
        <v>-0.70373757038674212</v>
      </c>
      <c r="I86" s="39">
        <f t="shared" si="93"/>
        <v>6.9837417461338092E-2</v>
      </c>
      <c r="L86" t="str">
        <f t="shared" si="94"/>
        <v>Sales and customer service occupations</v>
      </c>
      <c r="M86" s="11">
        <f t="shared" si="94"/>
        <v>1135.9301319259907</v>
      </c>
      <c r="N86" s="11">
        <f t="shared" si="94"/>
        <v>1121.5154877190173</v>
      </c>
      <c r="O86" s="11">
        <f t="shared" si="94"/>
        <v>1130.4299257149826</v>
      </c>
      <c r="P86" s="11">
        <f t="shared" si="94"/>
        <v>1168.7097276504878</v>
      </c>
      <c r="Q86" s="11">
        <f t="shared" si="94"/>
        <v>1211.3627966089041</v>
      </c>
      <c r="S86" s="39">
        <f t="shared" si="95"/>
        <v>-9.70286811247556E-2</v>
      </c>
      <c r="T86" s="39">
        <f t="shared" si="96"/>
        <v>0.46205070029543549</v>
      </c>
      <c r="W86" t="str">
        <f t="shared" si="97"/>
        <v>Sales and customer service occupations</v>
      </c>
      <c r="X86" s="11">
        <f t="shared" si="97"/>
        <v>1751.3305972830485</v>
      </c>
      <c r="Y86" s="11">
        <f t="shared" si="97"/>
        <v>1695.7528952320899</v>
      </c>
      <c r="Z86" s="11">
        <f t="shared" si="97"/>
        <v>1656.6569895011771</v>
      </c>
      <c r="AA86" s="11">
        <f t="shared" si="97"/>
        <v>1635.6071473385796</v>
      </c>
      <c r="AB86" s="11">
        <f t="shared" si="97"/>
        <v>1605.0637246082315</v>
      </c>
      <c r="AD86" s="39">
        <f t="shared" si="98"/>
        <v>-1.1053284589716106</v>
      </c>
      <c r="AE86" s="39">
        <f t="shared" si="99"/>
        <v>-0.21069938639762809</v>
      </c>
    </row>
    <row r="87" spans="1:31" x14ac:dyDescent="0.3">
      <c r="A87" t="str">
        <f t="shared" si="92"/>
        <v>Process, plant and machine operatives</v>
      </c>
      <c r="B87" s="11">
        <f t="shared" si="92"/>
        <v>2113.0176188901855</v>
      </c>
      <c r="C87" s="11">
        <f t="shared" si="92"/>
        <v>2208.8202039417993</v>
      </c>
      <c r="D87" s="11">
        <f t="shared" si="92"/>
        <v>1957.2722281630472</v>
      </c>
      <c r="E87" s="11">
        <f t="shared" si="92"/>
        <v>2200.4595251607248</v>
      </c>
      <c r="F87" s="11">
        <f t="shared" si="92"/>
        <v>2178.9115502901782</v>
      </c>
      <c r="H87" s="39">
        <f t="shared" si="100"/>
        <v>-1.5196409962947133</v>
      </c>
      <c r="I87" s="39">
        <f t="shared" si="93"/>
        <v>0.71772122545064043</v>
      </c>
      <c r="L87" t="str">
        <f t="shared" si="94"/>
        <v>Process, plant and machine operatives</v>
      </c>
      <c r="M87" s="11">
        <f t="shared" si="94"/>
        <v>1844.8313804849643</v>
      </c>
      <c r="N87" s="11">
        <f t="shared" si="94"/>
        <v>1933.1971408123022</v>
      </c>
      <c r="O87" s="11">
        <f t="shared" si="94"/>
        <v>1713.2468583475386</v>
      </c>
      <c r="P87" s="11">
        <f t="shared" si="94"/>
        <v>1878.5597186277942</v>
      </c>
      <c r="Q87" s="11">
        <f t="shared" si="94"/>
        <v>1838.0020621985641</v>
      </c>
      <c r="S87" s="39">
        <f t="shared" si="95"/>
        <v>-1.4690538042342549</v>
      </c>
      <c r="T87" s="39">
        <f t="shared" si="96"/>
        <v>0.46969179787617055</v>
      </c>
      <c r="W87" t="str">
        <f t="shared" si="97"/>
        <v>Process, plant and machine operatives</v>
      </c>
      <c r="X87" s="11">
        <f t="shared" si="97"/>
        <v>268.18623840522019</v>
      </c>
      <c r="Y87" s="11">
        <f t="shared" si="97"/>
        <v>275.62306312949221</v>
      </c>
      <c r="Z87" s="11">
        <f t="shared" si="97"/>
        <v>244.02536981550793</v>
      </c>
      <c r="AA87" s="11">
        <f t="shared" si="97"/>
        <v>321.89980653293492</v>
      </c>
      <c r="AB87" s="11">
        <f t="shared" si="97"/>
        <v>340.90948809161114</v>
      </c>
      <c r="AD87" s="39">
        <f t="shared" si="98"/>
        <v>-1.8704746575527453</v>
      </c>
      <c r="AE87" s="39">
        <f t="shared" si="99"/>
        <v>2.2539924814769075</v>
      </c>
    </row>
    <row r="88" spans="1:31" x14ac:dyDescent="0.3">
      <c r="A88" t="str">
        <f t="shared" si="92"/>
        <v>Elementary occupations</v>
      </c>
      <c r="B88" s="11">
        <f t="shared" si="92"/>
        <v>3972.0256462651741</v>
      </c>
      <c r="C88" s="11">
        <f t="shared" si="92"/>
        <v>3940.7752619985308</v>
      </c>
      <c r="D88" s="11">
        <f t="shared" si="92"/>
        <v>3598.3337334970051</v>
      </c>
      <c r="E88" s="11">
        <f t="shared" si="92"/>
        <v>3593.7838726699715</v>
      </c>
      <c r="F88" s="11">
        <f t="shared" si="92"/>
        <v>3453.8359448220758</v>
      </c>
      <c r="H88" s="39">
        <f t="shared" si="100"/>
        <v>-1.956709325865269</v>
      </c>
      <c r="I88" s="39">
        <f t="shared" si="93"/>
        <v>-0.27286308388154712</v>
      </c>
      <c r="L88" t="str">
        <f t="shared" si="94"/>
        <v>Elementary occupations</v>
      </c>
      <c r="M88" s="11">
        <f t="shared" si="94"/>
        <v>2118.3400479228503</v>
      </c>
      <c r="N88" s="11">
        <f t="shared" si="94"/>
        <v>2033.3131893803495</v>
      </c>
      <c r="O88" s="11">
        <f t="shared" si="94"/>
        <v>1898.9569579157574</v>
      </c>
      <c r="P88" s="11">
        <f t="shared" si="94"/>
        <v>1936.1846103976466</v>
      </c>
      <c r="Q88" s="11">
        <f t="shared" si="94"/>
        <v>1851.7282827080094</v>
      </c>
      <c r="S88" s="39">
        <f t="shared" si="95"/>
        <v>-2.1628284500784467</v>
      </c>
      <c r="T88" s="39">
        <f t="shared" si="96"/>
        <v>-0.16776149652534267</v>
      </c>
      <c r="W88" t="str">
        <f t="shared" si="97"/>
        <v>Elementary occupations</v>
      </c>
      <c r="X88" s="11">
        <f t="shared" si="97"/>
        <v>1853.6855983423247</v>
      </c>
      <c r="Y88" s="11">
        <f t="shared" si="97"/>
        <v>1907.4620726181768</v>
      </c>
      <c r="Z88" s="11">
        <f t="shared" si="97"/>
        <v>1699.3767755812471</v>
      </c>
      <c r="AA88" s="11">
        <f t="shared" si="97"/>
        <v>1657.5992622723127</v>
      </c>
      <c r="AB88" s="11">
        <f t="shared" si="97"/>
        <v>1602.1076621140719</v>
      </c>
      <c r="AD88" s="39">
        <f t="shared" si="98"/>
        <v>-1.7232648006467066</v>
      </c>
      <c r="AE88" s="39">
        <f t="shared" si="99"/>
        <v>-0.39217252073887598</v>
      </c>
    </row>
    <row r="89" spans="1:31" x14ac:dyDescent="0.3">
      <c r="B89" s="11"/>
      <c r="C89" s="11"/>
      <c r="D89" s="11"/>
      <c r="E89" s="11"/>
      <c r="F89" s="11"/>
      <c r="H89" s="39"/>
      <c r="I89" s="39"/>
      <c r="M89" s="11"/>
      <c r="N89" s="11"/>
      <c r="O89" s="11"/>
      <c r="P89" s="11"/>
      <c r="Q89" s="11"/>
      <c r="S89" s="39"/>
      <c r="T89" s="39"/>
      <c r="X89" s="11"/>
      <c r="Y89" s="11"/>
      <c r="Z89" s="11"/>
      <c r="AA89" s="11"/>
      <c r="AB89" s="11"/>
      <c r="AD89" s="39"/>
      <c r="AE89" s="39"/>
    </row>
    <row r="90" spans="1:31" x14ac:dyDescent="0.3">
      <c r="A90" s="23" t="str">
        <f t="shared" ref="A90:F90" si="101">A18</f>
        <v>All occupations</v>
      </c>
      <c r="B90" s="33">
        <f t="shared" si="101"/>
        <v>33655.985000000073</v>
      </c>
      <c r="C90" s="33">
        <f t="shared" si="101"/>
        <v>35365.00400000019</v>
      </c>
      <c r="D90" s="33">
        <f t="shared" si="101"/>
        <v>34974.967999999841</v>
      </c>
      <c r="E90" s="33">
        <f t="shared" si="101"/>
        <v>36022.323999999819</v>
      </c>
      <c r="F90" s="33">
        <f t="shared" si="101"/>
        <v>37567.87200000009</v>
      </c>
      <c r="H90" s="42">
        <f>IF(D$6-B$6 &lt;&gt; 0,(EXP(LN(D18/B18)/(D$6-B$6))-1)*100,0)</f>
        <v>0.77179721851199368</v>
      </c>
      <c r="I90" s="42">
        <f>F56</f>
        <v>0.47791580152365398</v>
      </c>
      <c r="L90" s="23" t="str">
        <f t="shared" ref="L90:Q90" si="102">L18</f>
        <v>All occupations</v>
      </c>
      <c r="M90" s="33">
        <f t="shared" si="102"/>
        <v>17704.955000000045</v>
      </c>
      <c r="N90" s="33">
        <f t="shared" si="102"/>
        <v>18453.751000000251</v>
      </c>
      <c r="O90" s="33">
        <f t="shared" si="102"/>
        <v>18072.08199999978</v>
      </c>
      <c r="P90" s="33">
        <f t="shared" si="102"/>
        <v>18555.940999999861</v>
      </c>
      <c r="Q90" s="33">
        <f t="shared" si="102"/>
        <v>19212.934999999903</v>
      </c>
      <c r="S90" s="42">
        <f>IF(O$6-M$6 &lt;&gt; 0,(EXP(LN(O18/M18)/(O$6-M$6))-1)*100,0)</f>
        <v>0.41131905746778497</v>
      </c>
      <c r="T90" s="42">
        <f>Q56</f>
        <v>0.40893676419082592</v>
      </c>
      <c r="W90" s="23" t="str">
        <f t="shared" ref="W90:AB90" si="103">W18</f>
        <v>All occupations</v>
      </c>
      <c r="X90" s="33">
        <f t="shared" si="103"/>
        <v>15951.030000000013</v>
      </c>
      <c r="Y90" s="33">
        <f t="shared" si="103"/>
        <v>16911.25299999995</v>
      </c>
      <c r="Z90" s="33">
        <f t="shared" si="103"/>
        <v>16902.88600000005</v>
      </c>
      <c r="AA90" s="33">
        <f t="shared" si="103"/>
        <v>17466.382999999958</v>
      </c>
      <c r="AB90" s="33">
        <f t="shared" si="103"/>
        <v>18354.937000000198</v>
      </c>
      <c r="AD90" s="42">
        <f>IF(Z$6-X$6 &lt;&gt; 0,(EXP(LN(Z18/X18)/(Z$6-X$6))-1)*100,0)</f>
        <v>1.1659644392060464</v>
      </c>
      <c r="AE90" s="42">
        <f>AB56</f>
        <v>0.55094017770871417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A1:AF182"/>
  <sheetViews>
    <sheetView showGridLines="0" zoomScale="85" zoomScaleNormal="85" workbookViewId="0"/>
  </sheetViews>
  <sheetFormatPr defaultColWidth="9.15234375" defaultRowHeight="12.45" x14ac:dyDescent="0.3"/>
  <cols>
    <col min="1" max="1" width="55.69140625" customWidth="1"/>
    <col min="2" max="6" width="10" customWidth="1"/>
    <col min="7" max="7" width="6.69140625" customWidth="1"/>
    <col min="8" max="10" width="13" customWidth="1"/>
    <col min="11" max="11" width="9.84375" customWidth="1"/>
    <col min="12" max="12" width="55.69140625" customWidth="1"/>
    <col min="13" max="17" width="10" customWidth="1"/>
    <col min="18" max="18" width="6.69140625" customWidth="1"/>
    <col min="19" max="21" width="13" customWidth="1"/>
    <col min="23" max="23" width="55.69140625" customWidth="1"/>
    <col min="24" max="28" width="10" customWidth="1"/>
    <col min="29" max="29" width="6.69140625" customWidth="1"/>
    <col min="30" max="32" width="13" customWidth="1"/>
  </cols>
  <sheetData>
    <row r="1" spans="1:32" ht="15.45" x14ac:dyDescent="0.4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United Kingdom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United Kingdom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United Kingdom</v>
      </c>
    </row>
    <row r="2" spans="1:32" ht="12.75" customHeight="1" x14ac:dyDescent="0.35">
      <c r="A2" s="181" t="s">
        <v>535</v>
      </c>
      <c r="D2" s="339"/>
      <c r="G2" s="85"/>
      <c r="J2" s="85"/>
      <c r="M2" s="85"/>
      <c r="P2" s="85"/>
      <c r="S2" s="85"/>
      <c r="V2" s="85"/>
    </row>
    <row r="3" spans="1:32" x14ac:dyDescent="0.3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3">
      <c r="A4" s="35"/>
      <c r="B4" s="35"/>
      <c r="C4" s="35"/>
      <c r="D4" s="35"/>
      <c r="E4" s="35"/>
      <c r="F4" s="35"/>
      <c r="H4" s="98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98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98" t="str">
        <f>CONCATENATE(Z6,"-",AB6)</f>
        <v>2020-2035</v>
      </c>
      <c r="AE4" s="35"/>
      <c r="AF4" s="35"/>
    </row>
    <row r="5" spans="1:32" x14ac:dyDescent="0.3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3">
      <c r="A6" s="40" t="s">
        <v>13</v>
      </c>
      <c r="B6" s="41">
        <v>2015</v>
      </c>
      <c r="C6" s="41">
        <v>2019</v>
      </c>
      <c r="D6" s="41">
        <v>2020</v>
      </c>
      <c r="E6" s="41">
        <v>2025</v>
      </c>
      <c r="F6" s="41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41">
        <f>B6</f>
        <v>2015</v>
      </c>
      <c r="N6" s="41">
        <f t="shared" ref="N6:Q6" si="0">C6</f>
        <v>2019</v>
      </c>
      <c r="O6" s="41">
        <f t="shared" si="0"/>
        <v>2020</v>
      </c>
      <c r="P6" s="41">
        <f t="shared" si="0"/>
        <v>2025</v>
      </c>
      <c r="Q6" s="41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41">
        <f>B6</f>
        <v>2015</v>
      </c>
      <c r="Y6" s="41">
        <f t="shared" ref="Y6:AB6" si="1">C6</f>
        <v>2019</v>
      </c>
      <c r="Z6" s="41">
        <f t="shared" si="1"/>
        <v>2020</v>
      </c>
      <c r="AA6" s="41">
        <f t="shared" si="1"/>
        <v>2025</v>
      </c>
      <c r="AB6" s="41">
        <f t="shared" si="1"/>
        <v>2035</v>
      </c>
      <c r="AD6" s="62" t="s">
        <v>18</v>
      </c>
      <c r="AE6" s="62" t="s">
        <v>31</v>
      </c>
      <c r="AF6" s="62" t="s">
        <v>33</v>
      </c>
    </row>
    <row r="8" spans="1:32" x14ac:dyDescent="0.3">
      <c r="A8" s="10" t="str">
        <f>name!D4</f>
        <v>11 Corporate managers and directors</v>
      </c>
      <c r="B8" s="11">
        <v>2147.9713237433616</v>
      </c>
      <c r="C8" s="11">
        <v>2544.407261426617</v>
      </c>
      <c r="D8" s="11">
        <v>2603.6149634867743</v>
      </c>
      <c r="E8" s="11">
        <v>2446.5731602475962</v>
      </c>
      <c r="F8" s="11">
        <v>2681.2775346158387</v>
      </c>
      <c r="G8" s="10"/>
      <c r="H8" s="11">
        <f>F8-D8</f>
        <v>77.662571129064418</v>
      </c>
      <c r="I8" s="11">
        <f>'RD T1'!E7</f>
        <v>1300.0897971410011</v>
      </c>
      <c r="J8" s="11">
        <f>SUM(H8:I8)</f>
        <v>1377.7523682700655</v>
      </c>
      <c r="L8" s="10" t="str">
        <f>name!D4</f>
        <v>11 Corporate managers and directors</v>
      </c>
      <c r="M8" s="11">
        <v>1488.53741181797</v>
      </c>
      <c r="N8" s="11">
        <v>1695.5413549016043</v>
      </c>
      <c r="O8" s="11">
        <v>1720.8329322223399</v>
      </c>
      <c r="P8" s="11">
        <v>1563.0411188500652</v>
      </c>
      <c r="Q8" s="11">
        <v>1644.7022880612631</v>
      </c>
      <c r="R8" s="10"/>
      <c r="S8" s="11">
        <f>Q8-O8</f>
        <v>-76.130644161076816</v>
      </c>
      <c r="T8" s="11">
        <f>'RD T1'!T7</f>
        <v>750.87707862939362</v>
      </c>
      <c r="U8" s="11">
        <f>SUM(S8:T8)</f>
        <v>674.74643446831681</v>
      </c>
      <c r="W8" s="10" t="str">
        <f>name!D4</f>
        <v>11 Corporate managers and directors</v>
      </c>
      <c r="X8" s="11">
        <v>659.43391192539218</v>
      </c>
      <c r="Y8" s="11">
        <v>848.86590652501002</v>
      </c>
      <c r="Z8" s="11">
        <v>882.78203126444043</v>
      </c>
      <c r="AA8" s="11">
        <v>883.53204139753768</v>
      </c>
      <c r="AB8" s="11">
        <v>1036.5752465545781</v>
      </c>
      <c r="AC8" s="10"/>
      <c r="AD8" s="11">
        <f>AB8-Z8</f>
        <v>153.79321529013771</v>
      </c>
      <c r="AE8" s="11">
        <f>'RD T1'!T36</f>
        <v>549.21271851160748</v>
      </c>
      <c r="AF8" s="11">
        <f>SUM(AD8:AE8)</f>
        <v>703.00593380174519</v>
      </c>
    </row>
    <row r="9" spans="1:32" x14ac:dyDescent="0.3">
      <c r="A9" s="10" t="str">
        <f>name!D5</f>
        <v>12 Other managers and proprietors</v>
      </c>
      <c r="B9" s="11">
        <v>1057.4538145928157</v>
      </c>
      <c r="C9" s="11">
        <v>1133.3182745645383</v>
      </c>
      <c r="D9" s="11">
        <v>1142.9442385679565</v>
      </c>
      <c r="E9" s="11">
        <v>1416.071102295296</v>
      </c>
      <c r="F9" s="11">
        <v>1636.9713357379442</v>
      </c>
      <c r="H9" s="11">
        <f t="shared" ref="H9:H32" si="2">F9-D9</f>
        <v>494.02709716998766</v>
      </c>
      <c r="I9" s="11">
        <f>'RD T1'!E8</f>
        <v>824.20930026514634</v>
      </c>
      <c r="J9" s="11">
        <f>SUM(H9:I9)</f>
        <v>1318.236397435134</v>
      </c>
      <c r="L9" s="10" t="str">
        <f>name!D5</f>
        <v>12 Other managers and proprietors</v>
      </c>
      <c r="M9" s="11">
        <v>640.61271591505101</v>
      </c>
      <c r="N9" s="11">
        <v>678.41745371052548</v>
      </c>
      <c r="O9" s="11">
        <v>665.91132841955607</v>
      </c>
      <c r="P9" s="11">
        <v>847.55047984749547</v>
      </c>
      <c r="Q9" s="11">
        <v>973.8539567186217</v>
      </c>
      <c r="S9" s="11">
        <f t="shared" ref="S9:S32" si="3">Q9-O9</f>
        <v>307.94262829906563</v>
      </c>
      <c r="T9" s="11">
        <f>'RD T1'!T8</f>
        <v>442.47703226869925</v>
      </c>
      <c r="U9" s="11">
        <f>SUM(S9:T9)</f>
        <v>750.41966056776482</v>
      </c>
      <c r="W9" s="10" t="str">
        <f>name!D5</f>
        <v>12 Other managers and proprietors</v>
      </c>
      <c r="X9" s="11">
        <v>416.84109867776584</v>
      </c>
      <c r="Y9" s="11">
        <v>454.90082085401241</v>
      </c>
      <c r="Z9" s="11">
        <v>477.0329101483984</v>
      </c>
      <c r="AA9" s="11">
        <v>568.52062244779688</v>
      </c>
      <c r="AB9" s="11">
        <v>663.11737901932031</v>
      </c>
      <c r="AD9" s="11">
        <f t="shared" ref="AD9:AD32" si="4">AB9-Z9</f>
        <v>186.08446887092191</v>
      </c>
      <c r="AE9" s="11">
        <f>'RD T1'!T37</f>
        <v>381.73226799644721</v>
      </c>
      <c r="AF9" s="11">
        <f>SUM(AD9:AE9)</f>
        <v>567.81673686736917</v>
      </c>
    </row>
    <row r="10" spans="1:32" x14ac:dyDescent="0.3">
      <c r="A10" s="10" t="str">
        <f>name!D6</f>
        <v>21 Science, research, engineering and technology professionals</v>
      </c>
      <c r="B10" s="11">
        <v>1804.4444333480956</v>
      </c>
      <c r="C10" s="11">
        <v>2078.6035464296092</v>
      </c>
      <c r="D10" s="11">
        <v>2168.4893984676792</v>
      </c>
      <c r="E10" s="11">
        <v>2306.7300778658928</v>
      </c>
      <c r="F10" s="11">
        <v>2562.9828232040827</v>
      </c>
      <c r="G10" s="11"/>
      <c r="H10" s="11">
        <f t="shared" si="2"/>
        <v>394.49342473640354</v>
      </c>
      <c r="I10" s="11">
        <f>'RD T1'!E9</f>
        <v>893.91344122980354</v>
      </c>
      <c r="J10" s="11">
        <f t="shared" ref="J10:J32" si="5">SUM(H10:I10)</f>
        <v>1288.4068659662071</v>
      </c>
      <c r="L10" s="10" t="str">
        <f>name!D6</f>
        <v>21 Science, research, engineering and technology professionals</v>
      </c>
      <c r="M10" s="11">
        <v>1432.9207422192851</v>
      </c>
      <c r="N10" s="11">
        <v>1664.7620804861335</v>
      </c>
      <c r="O10" s="11">
        <v>1662.0748855520801</v>
      </c>
      <c r="P10" s="11">
        <v>1706.6994163908255</v>
      </c>
      <c r="Q10" s="11">
        <v>1844.9651379133611</v>
      </c>
      <c r="R10" s="11"/>
      <c r="S10" s="11">
        <f t="shared" si="3"/>
        <v>182.890252361281</v>
      </c>
      <c r="T10" s="11">
        <f>'RD T1'!T9</f>
        <v>572.9227337161625</v>
      </c>
      <c r="U10" s="11">
        <f t="shared" ref="U10:U32" si="6">SUM(S10:T10)</f>
        <v>755.8129860774435</v>
      </c>
      <c r="W10" s="10" t="str">
        <f>name!D6</f>
        <v>21 Science, research, engineering and technology professionals</v>
      </c>
      <c r="X10" s="11">
        <v>371.52369112881331</v>
      </c>
      <c r="Y10" s="11">
        <v>413.8414659434784</v>
      </c>
      <c r="Z10" s="11">
        <v>506.41451291559548</v>
      </c>
      <c r="AA10" s="11">
        <v>600.03066147507207</v>
      </c>
      <c r="AB10" s="11">
        <v>718.01768529070887</v>
      </c>
      <c r="AC10" s="11"/>
      <c r="AD10" s="11">
        <f t="shared" si="4"/>
        <v>211.60317237511339</v>
      </c>
      <c r="AE10" s="11">
        <f>'RD T1'!T38</f>
        <v>320.99070751364081</v>
      </c>
      <c r="AF10" s="11">
        <f t="shared" ref="AF10:AF32" si="7">SUM(AD10:AE10)</f>
        <v>532.59387988875415</v>
      </c>
    </row>
    <row r="11" spans="1:32" x14ac:dyDescent="0.3">
      <c r="A11" s="10" t="str">
        <f>name!D7</f>
        <v>22 Health professionals</v>
      </c>
      <c r="B11" s="11">
        <v>1431.704750253356</v>
      </c>
      <c r="C11" s="11">
        <v>1645.5227101580754</v>
      </c>
      <c r="D11" s="11">
        <v>1652.6894842034105</v>
      </c>
      <c r="E11" s="11">
        <v>1790.2133863705644</v>
      </c>
      <c r="F11" s="11">
        <v>1962.7779742263765</v>
      </c>
      <c r="G11" s="11"/>
      <c r="H11" s="11">
        <f t="shared" si="2"/>
        <v>310.08849002296597</v>
      </c>
      <c r="I11" s="11">
        <f>'RD T1'!E10</f>
        <v>973.65651825520581</v>
      </c>
      <c r="J11" s="11">
        <f t="shared" si="5"/>
        <v>1283.7450082781718</v>
      </c>
      <c r="L11" s="10" t="str">
        <f>name!D7</f>
        <v>22 Health professionals</v>
      </c>
      <c r="M11" s="11">
        <v>348.51242946675166</v>
      </c>
      <c r="N11" s="11">
        <v>400.09596042490688</v>
      </c>
      <c r="O11" s="11">
        <v>438.61157204045008</v>
      </c>
      <c r="P11" s="11">
        <v>471.31862675276142</v>
      </c>
      <c r="Q11" s="11">
        <v>516.79353321025303</v>
      </c>
      <c r="R11" s="11"/>
      <c r="S11" s="11">
        <f t="shared" si="3"/>
        <v>78.181961169802946</v>
      </c>
      <c r="T11" s="11">
        <f>'RD T1'!T10</f>
        <v>184.06496046935894</v>
      </c>
      <c r="U11" s="11">
        <f t="shared" si="6"/>
        <v>262.24692163916188</v>
      </c>
      <c r="W11" s="10" t="str">
        <f>name!D7</f>
        <v>22 Health professionals</v>
      </c>
      <c r="X11" s="11">
        <v>1083.192320786605</v>
      </c>
      <c r="Y11" s="11">
        <v>1245.4267497331673</v>
      </c>
      <c r="Z11" s="11">
        <v>1214.0779121629612</v>
      </c>
      <c r="AA11" s="11">
        <v>1318.8947596178023</v>
      </c>
      <c r="AB11" s="11">
        <v>1445.984441016122</v>
      </c>
      <c r="AC11" s="11"/>
      <c r="AD11" s="11">
        <f t="shared" si="4"/>
        <v>231.90652885316081</v>
      </c>
      <c r="AE11" s="11">
        <f>'RD T1'!T39</f>
        <v>789.59155778584693</v>
      </c>
      <c r="AF11" s="11">
        <f t="shared" si="7"/>
        <v>1021.4980866390077</v>
      </c>
    </row>
    <row r="12" spans="1:32" x14ac:dyDescent="0.3">
      <c r="A12" s="10" t="str">
        <f>name!D8</f>
        <v>23 Teaching and other educational professionals</v>
      </c>
      <c r="B12" s="11">
        <v>1646.9786897581305</v>
      </c>
      <c r="C12" s="11">
        <v>1740.7273501948343</v>
      </c>
      <c r="D12" s="11">
        <v>1814.3949916428305</v>
      </c>
      <c r="E12" s="11">
        <v>1909.7720176323999</v>
      </c>
      <c r="F12" s="11">
        <v>2082.0254777556443</v>
      </c>
      <c r="G12" s="11"/>
      <c r="H12" s="11">
        <f t="shared" si="2"/>
        <v>267.63048611281374</v>
      </c>
      <c r="I12" s="11">
        <f>'RD T1'!E11</f>
        <v>993.76211714301564</v>
      </c>
      <c r="J12" s="11">
        <f t="shared" si="5"/>
        <v>1261.3926032558293</v>
      </c>
      <c r="L12" s="10" t="str">
        <f>name!D8</f>
        <v>23 Teaching and other educational professionals</v>
      </c>
      <c r="M12" s="11">
        <v>557.14083635597501</v>
      </c>
      <c r="N12" s="11">
        <v>553.96679260515884</v>
      </c>
      <c r="O12" s="11">
        <v>586.26652337732412</v>
      </c>
      <c r="P12" s="11">
        <v>637.48722525472999</v>
      </c>
      <c r="Q12" s="11">
        <v>685.40402395056765</v>
      </c>
      <c r="R12" s="11"/>
      <c r="S12" s="11">
        <f t="shared" si="3"/>
        <v>99.137500573243528</v>
      </c>
      <c r="T12" s="11">
        <f>'RD T1'!T11</f>
        <v>274.96890760025695</v>
      </c>
      <c r="U12" s="11">
        <f t="shared" si="6"/>
        <v>374.10640817350048</v>
      </c>
      <c r="W12" s="10" t="str">
        <f>name!D8</f>
        <v>23 Teaching and other educational professionals</v>
      </c>
      <c r="X12" s="11">
        <v>1089.8378534021531</v>
      </c>
      <c r="Y12" s="11">
        <v>1186.7605575896755</v>
      </c>
      <c r="Z12" s="11">
        <v>1228.1284682655059</v>
      </c>
      <c r="AA12" s="11">
        <v>1272.2847923776692</v>
      </c>
      <c r="AB12" s="11">
        <v>1396.6214538050767</v>
      </c>
      <c r="AC12" s="11"/>
      <c r="AD12" s="11">
        <f t="shared" si="4"/>
        <v>168.49298553957078</v>
      </c>
      <c r="AE12" s="11">
        <f>'RD T1'!T40</f>
        <v>718.79320954275875</v>
      </c>
      <c r="AF12" s="11">
        <f t="shared" si="7"/>
        <v>887.28619508232953</v>
      </c>
    </row>
    <row r="13" spans="1:32" x14ac:dyDescent="0.3">
      <c r="A13" s="10" t="str">
        <f>name!D9</f>
        <v>24 Business, media and public service professionals</v>
      </c>
      <c r="B13" s="11">
        <v>2002.3539721741229</v>
      </c>
      <c r="C13" s="11">
        <v>2371.5803917003777</v>
      </c>
      <c r="D13" s="11">
        <v>2564.0058358864653</v>
      </c>
      <c r="E13" s="11">
        <v>2881.7791948453123</v>
      </c>
      <c r="F13" s="11">
        <v>3234.0308052677001</v>
      </c>
      <c r="G13" s="11"/>
      <c r="H13" s="11">
        <f t="shared" si="2"/>
        <v>670.02496938123477</v>
      </c>
      <c r="I13" s="11">
        <f>'RD T1'!E12</f>
        <v>1418.86077327263</v>
      </c>
      <c r="J13" s="11">
        <f t="shared" si="5"/>
        <v>2088.8857426538648</v>
      </c>
      <c r="L13" s="10" t="str">
        <f>name!D9</f>
        <v>24 Business, media and public service professionals</v>
      </c>
      <c r="M13" s="11">
        <v>1168.767664704611</v>
      </c>
      <c r="N13" s="11">
        <v>1329.6480442210932</v>
      </c>
      <c r="O13" s="11">
        <v>1407.0757765791584</v>
      </c>
      <c r="P13" s="11">
        <v>1586.2118669865165</v>
      </c>
      <c r="Q13" s="11">
        <v>1729.656620679872</v>
      </c>
      <c r="R13" s="11"/>
      <c r="S13" s="11">
        <f t="shared" si="3"/>
        <v>322.58084410071365</v>
      </c>
      <c r="T13" s="11">
        <f>'RD T1'!T12</f>
        <v>680.87938168858466</v>
      </c>
      <c r="U13" s="11">
        <f t="shared" si="6"/>
        <v>1003.4602257892983</v>
      </c>
      <c r="W13" s="10" t="str">
        <f>name!D9</f>
        <v>24 Business, media and public service professionals</v>
      </c>
      <c r="X13" s="11">
        <v>833.5863074695111</v>
      </c>
      <c r="Y13" s="11">
        <v>1041.9323474792916</v>
      </c>
      <c r="Z13" s="11">
        <v>1156.9300593073121</v>
      </c>
      <c r="AA13" s="11">
        <v>1295.5673278588058</v>
      </c>
      <c r="AB13" s="11">
        <v>1504.374184587836</v>
      </c>
      <c r="AC13" s="11"/>
      <c r="AD13" s="11">
        <f t="shared" si="4"/>
        <v>347.44412528052385</v>
      </c>
      <c r="AE13" s="11">
        <f>'RD T1'!T41</f>
        <v>737.98139158404501</v>
      </c>
      <c r="AF13" s="11">
        <f t="shared" si="7"/>
        <v>1085.4255168645689</v>
      </c>
    </row>
    <row r="14" spans="1:32" x14ac:dyDescent="0.3">
      <c r="A14" s="10" t="str">
        <f>name!D10</f>
        <v>31 Science, engineering and technology associate professionals</v>
      </c>
      <c r="B14" s="11">
        <v>543.13411333119222</v>
      </c>
      <c r="C14" s="11">
        <v>639.96984679802495</v>
      </c>
      <c r="D14" s="11">
        <v>694.16022623804326</v>
      </c>
      <c r="E14" s="11">
        <v>615.4898763289159</v>
      </c>
      <c r="F14" s="11">
        <v>660.15471895472103</v>
      </c>
      <c r="G14" s="11"/>
      <c r="H14" s="11">
        <f t="shared" si="2"/>
        <v>-34.005507283322231</v>
      </c>
      <c r="I14" s="11">
        <f>'RD T1'!E13</f>
        <v>261.71067311995773</v>
      </c>
      <c r="J14" s="11">
        <f t="shared" si="5"/>
        <v>227.7051658366355</v>
      </c>
      <c r="L14" s="10" t="str">
        <f>name!D10</f>
        <v>31 Science, engineering and technology associate professionals</v>
      </c>
      <c r="M14" s="11">
        <v>394.55308818822698</v>
      </c>
      <c r="N14" s="11">
        <v>481.36455543141807</v>
      </c>
      <c r="O14" s="11">
        <v>500.28833279764387</v>
      </c>
      <c r="P14" s="11">
        <v>413.45406325086901</v>
      </c>
      <c r="Q14" s="11">
        <v>421.58132941767383</v>
      </c>
      <c r="R14" s="11"/>
      <c r="S14" s="11">
        <f t="shared" si="3"/>
        <v>-78.707003379970047</v>
      </c>
      <c r="T14" s="11">
        <f>'RD T1'!T13</f>
        <v>154.33917693437849</v>
      </c>
      <c r="U14" s="11">
        <f t="shared" si="6"/>
        <v>75.632173554408439</v>
      </c>
      <c r="W14" s="10" t="str">
        <f>name!D10</f>
        <v>31 Science, engineering and technology associate professionals</v>
      </c>
      <c r="X14" s="11">
        <v>148.5810251429665</v>
      </c>
      <c r="Y14" s="11">
        <v>158.60529136660611</v>
      </c>
      <c r="Z14" s="11">
        <v>193.87189344039913</v>
      </c>
      <c r="AA14" s="11">
        <v>202.03581307804458</v>
      </c>
      <c r="AB14" s="11">
        <v>238.57338953704709</v>
      </c>
      <c r="AC14" s="11"/>
      <c r="AD14" s="11">
        <f t="shared" si="4"/>
        <v>44.701496096647958</v>
      </c>
      <c r="AE14" s="11">
        <f>'RD T1'!T42</f>
        <v>107.37149618557929</v>
      </c>
      <c r="AF14" s="11">
        <f t="shared" si="7"/>
        <v>152.07299228222723</v>
      </c>
    </row>
    <row r="15" spans="1:32" x14ac:dyDescent="0.3">
      <c r="A15" s="10" t="str">
        <f>name!D11</f>
        <v>32 Health and social care associate professionals</v>
      </c>
      <c r="B15" s="11">
        <v>594.94854959952465</v>
      </c>
      <c r="C15" s="11">
        <v>665.16059805117277</v>
      </c>
      <c r="D15" s="11">
        <v>684.34670849941995</v>
      </c>
      <c r="E15" s="11">
        <v>696.56541801708568</v>
      </c>
      <c r="F15" s="11">
        <v>766.0236239924069</v>
      </c>
      <c r="G15" s="11"/>
      <c r="H15" s="11">
        <f t="shared" si="2"/>
        <v>81.67691549298695</v>
      </c>
      <c r="I15" s="11">
        <f>'RD T1'!E14</f>
        <v>410.78378723915824</v>
      </c>
      <c r="J15" s="11">
        <f t="shared" si="5"/>
        <v>492.46070273214519</v>
      </c>
      <c r="L15" s="10" t="str">
        <f>name!D11</f>
        <v>32 Health and social care associate professionals</v>
      </c>
      <c r="M15" s="11">
        <v>138.27212934363146</v>
      </c>
      <c r="N15" s="11">
        <v>142.20316753638784</v>
      </c>
      <c r="O15" s="11">
        <v>156.97759783482422</v>
      </c>
      <c r="P15" s="11">
        <v>144.21566264309419</v>
      </c>
      <c r="Q15" s="11">
        <v>153.78648779451717</v>
      </c>
      <c r="R15" s="11"/>
      <c r="S15" s="11">
        <f t="shared" si="3"/>
        <v>-3.191110040307052</v>
      </c>
      <c r="T15" s="11">
        <f>'RD T1'!T14</f>
        <v>70.614066226001952</v>
      </c>
      <c r="U15" s="11">
        <f t="shared" si="6"/>
        <v>67.4229561856949</v>
      </c>
      <c r="W15" s="10" t="str">
        <f>name!D11</f>
        <v>32 Health and social care associate professionals</v>
      </c>
      <c r="X15" s="11">
        <v>456.67642025589413</v>
      </c>
      <c r="Y15" s="11">
        <v>522.95743051478439</v>
      </c>
      <c r="Z15" s="11">
        <v>527.36911066459652</v>
      </c>
      <c r="AA15" s="11">
        <v>552.34975537399259</v>
      </c>
      <c r="AB15" s="11">
        <v>612.23713619788953</v>
      </c>
      <c r="AC15" s="11"/>
      <c r="AD15" s="11">
        <f t="shared" si="4"/>
        <v>84.868025533293007</v>
      </c>
      <c r="AE15" s="11">
        <f>'RD T1'!T43</f>
        <v>340.16972101315633</v>
      </c>
      <c r="AF15" s="11">
        <f t="shared" si="7"/>
        <v>425.03774654644934</v>
      </c>
    </row>
    <row r="16" spans="1:32" x14ac:dyDescent="0.3">
      <c r="A16" s="10" t="str">
        <f>name!D12</f>
        <v>33 Protective service occupations</v>
      </c>
      <c r="B16" s="11">
        <v>363.34672944829595</v>
      </c>
      <c r="C16" s="11">
        <v>374.45016456591787</v>
      </c>
      <c r="D16" s="11">
        <v>396.95240357529076</v>
      </c>
      <c r="E16" s="11">
        <v>471.17241079229422</v>
      </c>
      <c r="F16" s="11">
        <v>540.74077072874798</v>
      </c>
      <c r="G16" s="11"/>
      <c r="H16" s="11">
        <f t="shared" si="2"/>
        <v>143.78836715345722</v>
      </c>
      <c r="I16" s="11">
        <f>'RD T1'!E15</f>
        <v>168.78802819863751</v>
      </c>
      <c r="J16" s="11">
        <f t="shared" si="5"/>
        <v>312.57639535209472</v>
      </c>
      <c r="L16" s="10" t="str">
        <f>name!D12</f>
        <v>33 Protective service occupations</v>
      </c>
      <c r="M16" s="11">
        <v>280.31060788525781</v>
      </c>
      <c r="N16" s="11">
        <v>281.42639025433937</v>
      </c>
      <c r="O16" s="11">
        <v>292.46834058914482</v>
      </c>
      <c r="P16" s="11">
        <v>332.37180774358978</v>
      </c>
      <c r="Q16" s="11">
        <v>357.77705834718284</v>
      </c>
      <c r="R16" s="11"/>
      <c r="S16" s="11">
        <f t="shared" si="3"/>
        <v>65.308717758038028</v>
      </c>
      <c r="T16" s="11">
        <f>'RD T1'!T15</f>
        <v>95.187577539997164</v>
      </c>
      <c r="U16" s="11">
        <f t="shared" si="6"/>
        <v>160.49629529803519</v>
      </c>
      <c r="W16" s="10" t="str">
        <f>name!D12</f>
        <v>33 Protective service occupations</v>
      </c>
      <c r="X16" s="11">
        <v>83.036121563037412</v>
      </c>
      <c r="Y16" s="11">
        <v>93.023774311578308</v>
      </c>
      <c r="Z16" s="11">
        <v>104.48406298614599</v>
      </c>
      <c r="AA16" s="11">
        <v>138.80060304870361</v>
      </c>
      <c r="AB16" s="11">
        <v>182.96371238156686</v>
      </c>
      <c r="AC16" s="11"/>
      <c r="AD16" s="11">
        <f t="shared" si="4"/>
        <v>78.479649395420878</v>
      </c>
      <c r="AE16" s="11">
        <f>'RD T1'!T44</f>
        <v>73.600450658640341</v>
      </c>
      <c r="AF16" s="11">
        <f t="shared" si="7"/>
        <v>152.08010005406123</v>
      </c>
    </row>
    <row r="17" spans="1:32" x14ac:dyDescent="0.3">
      <c r="A17" s="10" t="str">
        <f>name!D13</f>
        <v>34 Culture, media and sports occupations</v>
      </c>
      <c r="B17" s="11">
        <v>690.99398123085246</v>
      </c>
      <c r="C17" s="11">
        <v>706.28772737996678</v>
      </c>
      <c r="D17" s="11">
        <v>752.69702031034967</v>
      </c>
      <c r="E17" s="11">
        <v>748.06174924159575</v>
      </c>
      <c r="F17" s="11">
        <v>831.23766135714891</v>
      </c>
      <c r="G17" s="11"/>
      <c r="H17" s="11">
        <f t="shared" si="2"/>
        <v>78.540641046799237</v>
      </c>
      <c r="I17" s="11">
        <f>'RD T1'!E16</f>
        <v>363.12174318253568</v>
      </c>
      <c r="J17" s="11">
        <f t="shared" si="5"/>
        <v>441.66238422933492</v>
      </c>
      <c r="L17" s="10" t="str">
        <f>name!D13</f>
        <v>34 Culture, media and sports occupations</v>
      </c>
      <c r="M17" s="11">
        <v>378.01213024048917</v>
      </c>
      <c r="N17" s="11">
        <v>376.46113773503623</v>
      </c>
      <c r="O17" s="11">
        <v>382.48993957074305</v>
      </c>
      <c r="P17" s="11">
        <v>382.33592894790536</v>
      </c>
      <c r="Q17" s="11">
        <v>422.97114045864595</v>
      </c>
      <c r="R17" s="11"/>
      <c r="S17" s="11">
        <f t="shared" si="3"/>
        <v>40.481200887902901</v>
      </c>
      <c r="T17" s="11">
        <f>'RD T1'!T16</f>
        <v>159.19812828378244</v>
      </c>
      <c r="U17" s="11">
        <f t="shared" si="6"/>
        <v>199.67932917168534</v>
      </c>
      <c r="W17" s="10" t="str">
        <f>name!D13</f>
        <v>34 Culture, media and sports occupations</v>
      </c>
      <c r="X17" s="11">
        <v>312.98185099036266</v>
      </c>
      <c r="Y17" s="11">
        <v>329.82658964493061</v>
      </c>
      <c r="Z17" s="11">
        <v>370.20708073960736</v>
      </c>
      <c r="AA17" s="11">
        <v>365.72582029368988</v>
      </c>
      <c r="AB17" s="11">
        <v>408.26652089850245</v>
      </c>
      <c r="AC17" s="11"/>
      <c r="AD17" s="11">
        <f t="shared" si="4"/>
        <v>38.059440158895086</v>
      </c>
      <c r="AE17" s="11">
        <f>'RD T1'!T45</f>
        <v>203.92361489875333</v>
      </c>
      <c r="AF17" s="11">
        <f t="shared" si="7"/>
        <v>241.98305505764841</v>
      </c>
    </row>
    <row r="18" spans="1:32" x14ac:dyDescent="0.3">
      <c r="A18" s="10" t="str">
        <f>name!D14</f>
        <v>35 Business and public service associate professionals</v>
      </c>
      <c r="B18" s="11">
        <v>2027.0470687026313</v>
      </c>
      <c r="C18" s="11">
        <v>2184.9567602085476</v>
      </c>
      <c r="D18" s="11">
        <v>2253.7675379132588</v>
      </c>
      <c r="E18" s="11">
        <v>2179.1345505034442</v>
      </c>
      <c r="F18" s="11">
        <v>2280.1601708895205</v>
      </c>
      <c r="G18" s="11"/>
      <c r="H18" s="11">
        <f t="shared" si="2"/>
        <v>26.392632976261666</v>
      </c>
      <c r="I18" s="11">
        <f>'RD T1'!E17</f>
        <v>1024.9664276349306</v>
      </c>
      <c r="J18" s="11">
        <f t="shared" si="5"/>
        <v>1051.3590606111923</v>
      </c>
      <c r="L18" s="10" t="str">
        <f>name!D14</f>
        <v>35 Business and public service associate professionals</v>
      </c>
      <c r="M18" s="11">
        <v>1086.9658802670947</v>
      </c>
      <c r="N18" s="11">
        <v>1145.2054516450951</v>
      </c>
      <c r="O18" s="11">
        <v>1184.4336164975182</v>
      </c>
      <c r="P18" s="11">
        <v>1108.1255813959192</v>
      </c>
      <c r="Q18" s="11">
        <v>1111.1879352883907</v>
      </c>
      <c r="R18" s="11"/>
      <c r="S18" s="11">
        <f t="shared" si="3"/>
        <v>-73.245681209127497</v>
      </c>
      <c r="T18" s="11">
        <f>'RD T1'!T17</f>
        <v>431.96029449080311</v>
      </c>
      <c r="U18" s="11">
        <f t="shared" si="6"/>
        <v>358.71461328167561</v>
      </c>
      <c r="W18" s="10" t="str">
        <f>name!D14</f>
        <v>35 Business and public service associate professionals</v>
      </c>
      <c r="X18" s="11">
        <v>940.08118843553086</v>
      </c>
      <c r="Y18" s="11">
        <v>1039.751308563456</v>
      </c>
      <c r="Z18" s="11">
        <v>1069.3339214157434</v>
      </c>
      <c r="AA18" s="11">
        <v>1071.008969107517</v>
      </c>
      <c r="AB18" s="11">
        <v>1168.9722356011355</v>
      </c>
      <c r="AC18" s="11"/>
      <c r="AD18" s="11">
        <f t="shared" si="4"/>
        <v>99.638314185392119</v>
      </c>
      <c r="AE18" s="11">
        <f>'RD T1'!T46</f>
        <v>593.00613314412749</v>
      </c>
      <c r="AF18" s="11">
        <f t="shared" si="7"/>
        <v>692.64444732951961</v>
      </c>
    </row>
    <row r="19" spans="1:32" x14ac:dyDescent="0.3">
      <c r="A19" s="10" t="str">
        <f>name!D15</f>
        <v>41 Administrative occupations</v>
      </c>
      <c r="B19" s="11">
        <v>2983.2974966503325</v>
      </c>
      <c r="C19" s="11">
        <v>2936.1562259666393</v>
      </c>
      <c r="D19" s="11">
        <v>3065.8450120205653</v>
      </c>
      <c r="E19" s="11">
        <v>2826.2804049751931</v>
      </c>
      <c r="F19" s="11">
        <v>2684.5081609977879</v>
      </c>
      <c r="G19" s="11"/>
      <c r="H19" s="11">
        <f t="shared" si="2"/>
        <v>-381.33685102277741</v>
      </c>
      <c r="I19" s="11">
        <f>'RD T1'!E18</f>
        <v>1389.8491041813447</v>
      </c>
      <c r="J19" s="11">
        <f t="shared" si="5"/>
        <v>1008.5122531585673</v>
      </c>
      <c r="L19" s="10" t="str">
        <f>name!D15</f>
        <v>41 Administrative occupations</v>
      </c>
      <c r="M19" s="11">
        <v>893.66210959378532</v>
      </c>
      <c r="N19" s="11">
        <v>853.86111053766251</v>
      </c>
      <c r="O19" s="11">
        <v>1004.9447572906457</v>
      </c>
      <c r="P19" s="11">
        <v>959.36615643569519</v>
      </c>
      <c r="Q19" s="11">
        <v>1037.3803456113635</v>
      </c>
      <c r="R19" s="11"/>
      <c r="S19" s="11">
        <f t="shared" si="3"/>
        <v>32.435588320717784</v>
      </c>
      <c r="T19" s="11">
        <f>'RD T1'!T18</f>
        <v>369.90455498075977</v>
      </c>
      <c r="U19" s="11">
        <f t="shared" si="6"/>
        <v>402.34014330147755</v>
      </c>
      <c r="W19" s="10" t="str">
        <f>name!D15</f>
        <v>41 Administrative occupations</v>
      </c>
      <c r="X19" s="11">
        <v>2089.6353870565431</v>
      </c>
      <c r="Y19" s="11">
        <v>2082.2951154289781</v>
      </c>
      <c r="Z19" s="11">
        <v>2060.9002547299101</v>
      </c>
      <c r="AA19" s="11">
        <v>1866.9142485395075</v>
      </c>
      <c r="AB19" s="11">
        <v>1647.1278153864282</v>
      </c>
      <c r="AC19" s="11"/>
      <c r="AD19" s="11">
        <f t="shared" si="4"/>
        <v>-413.77243934348189</v>
      </c>
      <c r="AE19" s="11">
        <f>'RD T1'!T47</f>
        <v>1019.9445492005849</v>
      </c>
      <c r="AF19" s="11">
        <f t="shared" si="7"/>
        <v>606.17210985710301</v>
      </c>
    </row>
    <row r="20" spans="1:32" x14ac:dyDescent="0.3">
      <c r="A20" s="10" t="str">
        <f>name!D16</f>
        <v>42 Secretarial and related occupations</v>
      </c>
      <c r="B20" s="11">
        <v>752.31508382302525</v>
      </c>
      <c r="C20" s="11">
        <v>691.36833270873626</v>
      </c>
      <c r="D20" s="11">
        <v>675.89827543689773</v>
      </c>
      <c r="E20" s="11">
        <v>707.40178733206074</v>
      </c>
      <c r="F20" s="11">
        <v>570.45465442441707</v>
      </c>
      <c r="G20" s="11"/>
      <c r="H20" s="11">
        <f t="shared" si="2"/>
        <v>-105.44362101248066</v>
      </c>
      <c r="I20" s="11">
        <f>'RD T1'!E19</f>
        <v>348.8936164839796</v>
      </c>
      <c r="J20" s="11">
        <f t="shared" si="5"/>
        <v>243.44999547149894</v>
      </c>
      <c r="L20" s="10" t="str">
        <f>name!D16</f>
        <v>42 Secretarial and related occupations</v>
      </c>
      <c r="M20" s="11">
        <v>57.308113796816293</v>
      </c>
      <c r="N20" s="11">
        <v>45.098969751248077</v>
      </c>
      <c r="O20" s="11">
        <v>43.291709779888208</v>
      </c>
      <c r="P20" s="11">
        <v>57.180471016046504</v>
      </c>
      <c r="Q20" s="11">
        <v>69.579679642121931</v>
      </c>
      <c r="R20" s="11"/>
      <c r="S20" s="11">
        <f t="shared" si="3"/>
        <v>26.287969862233723</v>
      </c>
      <c r="T20" s="11">
        <f>'RD T1'!T19</f>
        <v>19.836836347772429</v>
      </c>
      <c r="U20" s="11">
        <f t="shared" si="6"/>
        <v>46.124806210006156</v>
      </c>
      <c r="W20" s="10" t="str">
        <f>name!D16</f>
        <v>42 Secretarial and related occupations</v>
      </c>
      <c r="X20" s="11">
        <v>695.00697002620927</v>
      </c>
      <c r="Y20" s="11">
        <v>646.26936295748817</v>
      </c>
      <c r="Z20" s="11">
        <v>632.60656565700947</v>
      </c>
      <c r="AA20" s="11">
        <v>650.22131631601439</v>
      </c>
      <c r="AB20" s="11">
        <v>500.874974782295</v>
      </c>
      <c r="AC20" s="11"/>
      <c r="AD20" s="11">
        <f t="shared" si="4"/>
        <v>-131.73159087471447</v>
      </c>
      <c r="AE20" s="11">
        <f>'RD T1'!T48</f>
        <v>329.05678013620718</v>
      </c>
      <c r="AF20" s="11">
        <f t="shared" si="7"/>
        <v>197.32518926149271</v>
      </c>
    </row>
    <row r="21" spans="1:32" x14ac:dyDescent="0.3">
      <c r="A21" s="10" t="str">
        <f>name!D17</f>
        <v>51 Skilled agricultural and related trades</v>
      </c>
      <c r="B21" s="11">
        <v>404.75546845929</v>
      </c>
      <c r="C21" s="11">
        <v>408.46552052824893</v>
      </c>
      <c r="D21" s="11">
        <v>376.47025514650636</v>
      </c>
      <c r="E21" s="11">
        <v>386.22303951218908</v>
      </c>
      <c r="F21" s="11">
        <v>423.49261595568004</v>
      </c>
      <c r="G21" s="11"/>
      <c r="H21" s="11">
        <f t="shared" si="2"/>
        <v>47.022360809173676</v>
      </c>
      <c r="I21" s="11">
        <f>'RD T1'!E20</f>
        <v>218.81096615548063</v>
      </c>
      <c r="J21" s="11">
        <f t="shared" si="5"/>
        <v>265.8333269646543</v>
      </c>
      <c r="L21" s="10" t="str">
        <f>name!D17</f>
        <v>51 Skilled agricultural and related trades</v>
      </c>
      <c r="M21" s="11">
        <v>341.95723307717464</v>
      </c>
      <c r="N21" s="11">
        <v>346.17568052397621</v>
      </c>
      <c r="O21" s="11">
        <v>303.97513289187032</v>
      </c>
      <c r="P21" s="11">
        <v>303.77952058273638</v>
      </c>
      <c r="Q21" s="11">
        <v>323.74337055390657</v>
      </c>
      <c r="R21" s="11"/>
      <c r="S21" s="11">
        <f t="shared" si="3"/>
        <v>19.768237662036256</v>
      </c>
      <c r="T21" s="11">
        <f>'RD T1'!T20</f>
        <v>159.64842760451765</v>
      </c>
      <c r="U21" s="11">
        <f t="shared" si="6"/>
        <v>179.41666526655391</v>
      </c>
      <c r="W21" s="10" t="str">
        <f>name!D17</f>
        <v>51 Skilled agricultural and related trades</v>
      </c>
      <c r="X21" s="11">
        <v>62.798235382114889</v>
      </c>
      <c r="Y21" s="11">
        <v>62.289840004273167</v>
      </c>
      <c r="Z21" s="11">
        <v>72.495122254634566</v>
      </c>
      <c r="AA21" s="11">
        <v>82.443518929452708</v>
      </c>
      <c r="AB21" s="11">
        <v>99.749245401773436</v>
      </c>
      <c r="AC21" s="11"/>
      <c r="AD21" s="11">
        <f t="shared" si="4"/>
        <v>27.25412314713887</v>
      </c>
      <c r="AE21" s="11">
        <f>'RD T1'!T49</f>
        <v>59.162538550962985</v>
      </c>
      <c r="AF21" s="11">
        <f t="shared" si="7"/>
        <v>86.416661698101848</v>
      </c>
    </row>
    <row r="22" spans="1:32" x14ac:dyDescent="0.3">
      <c r="A22" s="10" t="str">
        <f>name!D18</f>
        <v>52 Skilled metal, electrical and electronic trades</v>
      </c>
      <c r="B22" s="11">
        <v>1243.0037577536757</v>
      </c>
      <c r="C22" s="11">
        <v>1262.3427682116287</v>
      </c>
      <c r="D22" s="11">
        <v>1101.9773582511193</v>
      </c>
      <c r="E22" s="11">
        <v>1091.030578805357</v>
      </c>
      <c r="F22" s="11">
        <v>1030.1623941830187</v>
      </c>
      <c r="G22" s="11"/>
      <c r="H22" s="11">
        <f t="shared" si="2"/>
        <v>-71.814964068100608</v>
      </c>
      <c r="I22" s="11">
        <f>'RD T1'!E21</f>
        <v>409.67150609742322</v>
      </c>
      <c r="J22" s="11">
        <f t="shared" si="5"/>
        <v>337.85654202932261</v>
      </c>
      <c r="L22" s="10" t="str">
        <f>name!D18</f>
        <v>52 Skilled metal, electrical and electronic trades</v>
      </c>
      <c r="M22" s="11">
        <v>1222.0144277699078</v>
      </c>
      <c r="N22" s="11">
        <v>1227.1458322811134</v>
      </c>
      <c r="O22" s="11">
        <v>1074.7938787991336</v>
      </c>
      <c r="P22" s="11">
        <v>1029.3926258347662</v>
      </c>
      <c r="Q22" s="11">
        <v>951.98728285514289</v>
      </c>
      <c r="R22" s="11"/>
      <c r="S22" s="11">
        <f t="shared" si="3"/>
        <v>-122.80659594399071</v>
      </c>
      <c r="T22" s="11">
        <f>'RD T1'!T21</f>
        <v>373.58672918504573</v>
      </c>
      <c r="U22" s="11">
        <f t="shared" si="6"/>
        <v>250.78013324105501</v>
      </c>
      <c r="W22" s="10" t="str">
        <f>name!D18</f>
        <v>52 Skilled metal, electrical and electronic trades</v>
      </c>
      <c r="X22" s="11">
        <v>20.989329983770912</v>
      </c>
      <c r="Y22" s="11">
        <v>35.196935930513085</v>
      </c>
      <c r="Z22" s="11">
        <v>27.183479451981629</v>
      </c>
      <c r="AA22" s="11">
        <v>61.637952970590796</v>
      </c>
      <c r="AB22" s="11">
        <v>78.175111327874617</v>
      </c>
      <c r="AC22" s="11"/>
      <c r="AD22" s="11">
        <f t="shared" si="4"/>
        <v>50.991631875892992</v>
      </c>
      <c r="AE22" s="11">
        <f>'RD T1'!T50</f>
        <v>36.084776912377485</v>
      </c>
      <c r="AF22" s="11">
        <f t="shared" si="7"/>
        <v>87.07640878827047</v>
      </c>
    </row>
    <row r="23" spans="1:32" x14ac:dyDescent="0.3">
      <c r="A23" s="10" t="str">
        <f>name!D19</f>
        <v>53 Skilled construction and building trades</v>
      </c>
      <c r="B23" s="11">
        <v>1085.8029793612313</v>
      </c>
      <c r="C23" s="11">
        <v>1074.3217952996649</v>
      </c>
      <c r="D23" s="11">
        <v>902.6086997361848</v>
      </c>
      <c r="E23" s="11">
        <v>946.65514273475333</v>
      </c>
      <c r="F23" s="11">
        <v>888.79123577476093</v>
      </c>
      <c r="G23" s="11"/>
      <c r="H23" s="11">
        <f t="shared" si="2"/>
        <v>-13.817463961423869</v>
      </c>
      <c r="I23" s="11">
        <f>'RD T1'!E22</f>
        <v>387.68579790988838</v>
      </c>
      <c r="J23" s="11">
        <f t="shared" si="5"/>
        <v>373.86833394846451</v>
      </c>
      <c r="L23" s="10" t="str">
        <f>name!D19</f>
        <v>53 Skilled construction and building trades</v>
      </c>
      <c r="M23" s="11">
        <v>1068.4797666132677</v>
      </c>
      <c r="N23" s="11">
        <v>1053.1517364940839</v>
      </c>
      <c r="O23" s="11">
        <v>881.14209680591478</v>
      </c>
      <c r="P23" s="11">
        <v>922.70229611167167</v>
      </c>
      <c r="Q23" s="11">
        <v>859.7158864814952</v>
      </c>
      <c r="R23" s="11"/>
      <c r="S23" s="11">
        <f t="shared" si="3"/>
        <v>-21.426210324419571</v>
      </c>
      <c r="T23" s="11">
        <f>'RD T1'!T22</f>
        <v>373.91217161742844</v>
      </c>
      <c r="U23" s="11">
        <f t="shared" si="6"/>
        <v>352.48596129300887</v>
      </c>
      <c r="W23" s="10" t="str">
        <f>name!D19</f>
        <v>53 Skilled construction and building trades</v>
      </c>
      <c r="X23" s="11">
        <v>17.323212747966721</v>
      </c>
      <c r="Y23" s="11">
        <v>21.170058805582148</v>
      </c>
      <c r="Z23" s="11">
        <v>21.466602930270341</v>
      </c>
      <c r="AA23" s="11">
        <v>23.952846623082653</v>
      </c>
      <c r="AB23" s="11">
        <v>29.075349293264136</v>
      </c>
      <c r="AC23" s="11"/>
      <c r="AD23" s="11">
        <f t="shared" si="4"/>
        <v>7.608746362993795</v>
      </c>
      <c r="AE23" s="11">
        <f>'RD T1'!T51</f>
        <v>13.77362629246011</v>
      </c>
      <c r="AF23" s="11">
        <f t="shared" si="7"/>
        <v>21.382372655453906</v>
      </c>
    </row>
    <row r="24" spans="1:32" x14ac:dyDescent="0.3">
      <c r="A24" s="10" t="str">
        <f>name!D20</f>
        <v>54 Textiles, printing and other skilled trades</v>
      </c>
      <c r="B24" s="11">
        <v>755.52676365289369</v>
      </c>
      <c r="C24" s="11">
        <v>689.32645869058581</v>
      </c>
      <c r="D24" s="11">
        <v>647.87195370468623</v>
      </c>
      <c r="E24" s="11">
        <v>646.27082264483795</v>
      </c>
      <c r="F24" s="11">
        <v>647.60661016517849</v>
      </c>
      <c r="G24" s="11"/>
      <c r="H24" s="11">
        <f t="shared" si="2"/>
        <v>-0.26534353950773948</v>
      </c>
      <c r="I24" s="11">
        <f>'RD T1'!E23</f>
        <v>276.57915260632291</v>
      </c>
      <c r="J24" s="11">
        <f t="shared" si="5"/>
        <v>276.31380906681517</v>
      </c>
      <c r="L24" s="10" t="str">
        <f>name!D20</f>
        <v>54 Textiles, printing and other skilled trades</v>
      </c>
      <c r="M24" s="11">
        <v>488.84840414917664</v>
      </c>
      <c r="N24" s="11">
        <v>441.80074512471941</v>
      </c>
      <c r="O24" s="11">
        <v>385.2678051461524</v>
      </c>
      <c r="P24" s="11">
        <v>383.65915429244978</v>
      </c>
      <c r="Q24" s="11">
        <v>380.69227862888886</v>
      </c>
      <c r="R24" s="11"/>
      <c r="S24" s="11">
        <f t="shared" si="3"/>
        <v>-4.5755265172635404</v>
      </c>
      <c r="T24" s="11">
        <f>'RD T1'!T23</f>
        <v>124.14708776221802</v>
      </c>
      <c r="U24" s="11">
        <f t="shared" si="6"/>
        <v>119.57156124495448</v>
      </c>
      <c r="W24" s="10" t="str">
        <f>name!D20</f>
        <v>54 Textiles, printing and other skilled trades</v>
      </c>
      <c r="X24" s="11">
        <v>266.67835950371887</v>
      </c>
      <c r="Y24" s="11">
        <v>247.52571356586833</v>
      </c>
      <c r="Z24" s="11">
        <v>262.60414855853298</v>
      </c>
      <c r="AA24" s="11">
        <v>262.61166835238754</v>
      </c>
      <c r="AB24" s="11">
        <v>266.91433153629032</v>
      </c>
      <c r="AC24" s="11"/>
      <c r="AD24" s="11">
        <f t="shared" si="4"/>
        <v>4.3101829777573357</v>
      </c>
      <c r="AE24" s="11">
        <f>'RD T1'!T52</f>
        <v>152.43206484410487</v>
      </c>
      <c r="AF24" s="11">
        <f t="shared" si="7"/>
        <v>156.74224782186221</v>
      </c>
    </row>
    <row r="25" spans="1:32" x14ac:dyDescent="0.3">
      <c r="A25" s="10" t="str">
        <f>name!D21</f>
        <v>61 Caring personal service occupations</v>
      </c>
      <c r="B25" s="11">
        <v>2378.4874023039993</v>
      </c>
      <c r="C25" s="11">
        <v>2425.9290474878148</v>
      </c>
      <c r="D25" s="11">
        <v>2366.0754145696519</v>
      </c>
      <c r="E25" s="11">
        <v>2583.6927520604086</v>
      </c>
      <c r="F25" s="11">
        <v>2831.8232058057956</v>
      </c>
      <c r="G25" s="11"/>
      <c r="H25" s="11">
        <f t="shared" si="2"/>
        <v>465.74779123614371</v>
      </c>
      <c r="I25" s="11">
        <f>'RD T1'!E24</f>
        <v>1473.745303560632</v>
      </c>
      <c r="J25" s="11">
        <f t="shared" si="5"/>
        <v>1939.4930947967757</v>
      </c>
      <c r="L25" s="10" t="str">
        <f>name!D21</f>
        <v>61 Caring personal service occupations</v>
      </c>
      <c r="M25" s="11">
        <v>368.0655078680532</v>
      </c>
      <c r="N25" s="11">
        <v>377.30248868630508</v>
      </c>
      <c r="O25" s="11">
        <v>369.85769879148097</v>
      </c>
      <c r="P25" s="11">
        <v>456.31790770329781</v>
      </c>
      <c r="Q25" s="11">
        <v>532.91813162272513</v>
      </c>
      <c r="R25" s="11"/>
      <c r="S25" s="11">
        <f t="shared" si="3"/>
        <v>163.06043283124416</v>
      </c>
      <c r="T25" s="11">
        <f>'RD T1'!T24</f>
        <v>210.08790831884767</v>
      </c>
      <c r="U25" s="11">
        <f t="shared" si="6"/>
        <v>373.14834115009182</v>
      </c>
      <c r="W25" s="10" t="str">
        <f>name!D21</f>
        <v>61 Caring personal service occupations</v>
      </c>
      <c r="X25" s="11">
        <v>2010.4218944359411</v>
      </c>
      <c r="Y25" s="11">
        <v>2048.6265588015126</v>
      </c>
      <c r="Z25" s="11">
        <v>1996.2177157781721</v>
      </c>
      <c r="AA25" s="11">
        <v>2127.3748443571053</v>
      </c>
      <c r="AB25" s="11">
        <v>2298.9050741830715</v>
      </c>
      <c r="AC25" s="11"/>
      <c r="AD25" s="11">
        <f t="shared" si="4"/>
        <v>302.68735840489944</v>
      </c>
      <c r="AE25" s="11">
        <f>'RD T1'!T53</f>
        <v>1263.6573952417843</v>
      </c>
      <c r="AF25" s="11">
        <f t="shared" si="7"/>
        <v>1566.3447536466838</v>
      </c>
    </row>
    <row r="26" spans="1:32" x14ac:dyDescent="0.3">
      <c r="A26" s="10" t="str">
        <f>name!D22</f>
        <v>62 Leisure, travel and related personal service occupations</v>
      </c>
      <c r="B26" s="11">
        <v>734.9431095897952</v>
      </c>
      <c r="C26" s="11">
        <v>794.74477127636385</v>
      </c>
      <c r="D26" s="11">
        <v>729.01453888132892</v>
      </c>
      <c r="E26" s="11">
        <v>743.24387513858949</v>
      </c>
      <c r="F26" s="11">
        <v>769.83325122450708</v>
      </c>
      <c r="G26" s="11"/>
      <c r="H26" s="11">
        <f t="shared" si="2"/>
        <v>40.818712343178163</v>
      </c>
      <c r="I26" s="11">
        <f>'RD T1'!E25</f>
        <v>380.16420970967152</v>
      </c>
      <c r="J26" s="11">
        <f t="shared" si="5"/>
        <v>420.98292205284969</v>
      </c>
      <c r="L26" s="10" t="str">
        <f>name!D22</f>
        <v>62 Leisure, travel and related personal service occupations</v>
      </c>
      <c r="M26" s="11">
        <v>224.08956255449885</v>
      </c>
      <c r="N26" s="11">
        <v>251.82611876946706</v>
      </c>
      <c r="O26" s="11">
        <v>239.15645027242459</v>
      </c>
      <c r="P26" s="11">
        <v>247.68428894258085</v>
      </c>
      <c r="Q26" s="11">
        <v>271.05536182923242</v>
      </c>
      <c r="R26" s="11"/>
      <c r="S26" s="11">
        <f t="shared" si="3"/>
        <v>31.898911556807832</v>
      </c>
      <c r="T26" s="11">
        <f>'RD T1'!T25</f>
        <v>110.37375501840064</v>
      </c>
      <c r="U26" s="11">
        <f t="shared" si="6"/>
        <v>142.27266657520846</v>
      </c>
      <c r="W26" s="10" t="str">
        <f>name!D22</f>
        <v>62 Leisure, travel and related personal service occupations</v>
      </c>
      <c r="X26" s="11">
        <v>510.85354703529703</v>
      </c>
      <c r="Y26" s="11">
        <v>542.91865250689568</v>
      </c>
      <c r="Z26" s="11">
        <v>489.85808860890154</v>
      </c>
      <c r="AA26" s="11">
        <v>495.55958619600767</v>
      </c>
      <c r="AB26" s="11">
        <v>498.77788939527414</v>
      </c>
      <c r="AC26" s="11"/>
      <c r="AD26" s="11">
        <f t="shared" si="4"/>
        <v>8.9198007863726048</v>
      </c>
      <c r="AE26" s="11">
        <f>'RD T1'!T54</f>
        <v>269.79045469127095</v>
      </c>
      <c r="AF26" s="11">
        <f t="shared" si="7"/>
        <v>278.71025547764356</v>
      </c>
    </row>
    <row r="27" spans="1:32" x14ac:dyDescent="0.3">
      <c r="A27" s="10" t="str">
        <f>name!D23</f>
        <v>63 Community and civil enforcement occupations</v>
      </c>
      <c r="B27" s="11">
        <v>35.1715178590417</v>
      </c>
      <c r="C27" s="11">
        <v>30.500599461389967</v>
      </c>
      <c r="D27" s="11">
        <v>38.450806585208952</v>
      </c>
      <c r="E27" s="11">
        <v>31.402379836268015</v>
      </c>
      <c r="F27" s="11">
        <v>33.642958409426491</v>
      </c>
      <c r="G27" s="11"/>
      <c r="H27" s="11">
        <f t="shared" si="2"/>
        <v>-4.8078481757824605</v>
      </c>
      <c r="I27" s="11">
        <f>'RD T1'!E26</f>
        <v>15.989916065692373</v>
      </c>
      <c r="J27" s="11">
        <f t="shared" si="5"/>
        <v>11.182067889909913</v>
      </c>
      <c r="L27" s="10" t="str">
        <f>name!D23</f>
        <v>63 Community and civil enforcement occupations</v>
      </c>
      <c r="M27" s="11">
        <v>26.822677839217658</v>
      </c>
      <c r="N27" s="11">
        <v>20.270110968304682</v>
      </c>
      <c r="O27" s="11">
        <v>29.587882763207844</v>
      </c>
      <c r="P27" s="11">
        <v>19.592744340917221</v>
      </c>
      <c r="Q27" s="11">
        <v>22.090009419199141</v>
      </c>
      <c r="R27" s="11"/>
      <c r="S27" s="11">
        <f t="shared" si="3"/>
        <v>-7.4978733440087026</v>
      </c>
      <c r="T27" s="11">
        <f>'RD T1'!T26</f>
        <v>8.7250466628333072</v>
      </c>
      <c r="U27" s="11">
        <f t="shared" si="6"/>
        <v>1.2271733188246046</v>
      </c>
      <c r="W27" s="10" t="str">
        <f>name!D23</f>
        <v>63 Community and civil enforcement occupations</v>
      </c>
      <c r="X27" s="11">
        <v>8.3488400198241113</v>
      </c>
      <c r="Y27" s="11">
        <v>10.230488493085357</v>
      </c>
      <c r="Z27" s="11">
        <v>8.8629238220010098</v>
      </c>
      <c r="AA27" s="11">
        <v>11.80963549535082</v>
      </c>
      <c r="AB27" s="11">
        <v>11.552948990227389</v>
      </c>
      <c r="AC27" s="11"/>
      <c r="AD27" s="11">
        <f t="shared" si="4"/>
        <v>2.6900251682263789</v>
      </c>
      <c r="AE27" s="11">
        <f>'RD T1'!T55</f>
        <v>7.2648694028590599</v>
      </c>
      <c r="AF27" s="11">
        <f t="shared" si="7"/>
        <v>9.9548945710854397</v>
      </c>
    </row>
    <row r="28" spans="1:32" x14ac:dyDescent="0.3">
      <c r="A28" s="10" t="str">
        <f>name!D24</f>
        <v>71 Sales occupations</v>
      </c>
      <c r="B28" s="11">
        <v>2342.1745624620294</v>
      </c>
      <c r="C28" s="11">
        <v>2227.4479501027699</v>
      </c>
      <c r="D28" s="11">
        <v>2182.3387584985444</v>
      </c>
      <c r="E28" s="11">
        <v>2026.1126707279607</v>
      </c>
      <c r="F28" s="11">
        <v>1927.0365395209469</v>
      </c>
      <c r="G28" s="11"/>
      <c r="H28" s="11">
        <f t="shared" si="2"/>
        <v>-255.30221897759748</v>
      </c>
      <c r="I28" s="11">
        <f>'RD T1'!E27</f>
        <v>926.45995940940816</v>
      </c>
      <c r="J28" s="11">
        <f t="shared" si="5"/>
        <v>671.15774043181068</v>
      </c>
      <c r="L28" s="10" t="str">
        <f>name!D24</f>
        <v>71 Sales occupations</v>
      </c>
      <c r="M28" s="11">
        <v>917.60133423102843</v>
      </c>
      <c r="N28" s="11">
        <v>915.23864721110135</v>
      </c>
      <c r="O28" s="11">
        <v>892.98198416227251</v>
      </c>
      <c r="P28" s="11">
        <v>840.41479977576512</v>
      </c>
      <c r="Q28" s="11">
        <v>823.84181487414082</v>
      </c>
      <c r="R28" s="11"/>
      <c r="S28" s="11">
        <f t="shared" si="3"/>
        <v>-69.140169288131688</v>
      </c>
      <c r="T28" s="11">
        <f>'RD T1'!T27</f>
        <v>281.8750382014756</v>
      </c>
      <c r="U28" s="11">
        <f t="shared" si="6"/>
        <v>212.73486891334392</v>
      </c>
      <c r="W28" s="10" t="str">
        <f>name!D24</f>
        <v>71 Sales occupations</v>
      </c>
      <c r="X28" s="11">
        <v>1424.5732282309941</v>
      </c>
      <c r="Y28" s="11">
        <v>1312.2093028916727</v>
      </c>
      <c r="Z28" s="11">
        <v>1289.3567743362776</v>
      </c>
      <c r="AA28" s="11">
        <v>1185.6978709521966</v>
      </c>
      <c r="AB28" s="11">
        <v>1103.1947246468051</v>
      </c>
      <c r="AC28" s="11"/>
      <c r="AD28" s="11">
        <f t="shared" si="4"/>
        <v>-186.1620496894725</v>
      </c>
      <c r="AE28" s="11">
        <f>'RD T1'!T56</f>
        <v>644.58492120793244</v>
      </c>
      <c r="AF28" s="11">
        <f t="shared" si="7"/>
        <v>458.42287151845994</v>
      </c>
    </row>
    <row r="29" spans="1:32" x14ac:dyDescent="0.3">
      <c r="A29" s="10" t="str">
        <f>name!D25</f>
        <v>72 Customer service occupations</v>
      </c>
      <c r="B29" s="11">
        <v>545.0861667470167</v>
      </c>
      <c r="C29" s="11">
        <v>589.82043284833424</v>
      </c>
      <c r="D29" s="11">
        <v>604.74815671761121</v>
      </c>
      <c r="E29" s="11">
        <v>778.20420426110786</v>
      </c>
      <c r="F29" s="11">
        <v>889.38998169618799</v>
      </c>
      <c r="G29" s="11"/>
      <c r="H29" s="11">
        <f t="shared" si="2"/>
        <v>284.64182497857678</v>
      </c>
      <c r="I29" s="11">
        <f>'RD T1'!E28</f>
        <v>362.88294392232518</v>
      </c>
      <c r="J29" s="11">
        <f t="shared" si="5"/>
        <v>647.52476890090202</v>
      </c>
      <c r="L29" s="10" t="str">
        <f>name!D25</f>
        <v>72 Customer service occupations</v>
      </c>
      <c r="M29" s="11">
        <v>218.32879769496239</v>
      </c>
      <c r="N29" s="11">
        <v>206.27684050791595</v>
      </c>
      <c r="O29" s="11">
        <v>237.44794155271015</v>
      </c>
      <c r="P29" s="11">
        <v>328.29492787472276</v>
      </c>
      <c r="Q29" s="11">
        <v>387.52098173476327</v>
      </c>
      <c r="R29" s="11"/>
      <c r="S29" s="11">
        <f t="shared" si="3"/>
        <v>150.07304018205312</v>
      </c>
      <c r="T29" s="11">
        <f>'RD T1'!T28</f>
        <v>116.09375892238918</v>
      </c>
      <c r="U29" s="11">
        <f t="shared" si="6"/>
        <v>266.1667991044423</v>
      </c>
      <c r="W29" s="10" t="str">
        <f>name!D25</f>
        <v>72 Customer service occupations</v>
      </c>
      <c r="X29" s="11">
        <v>326.75736905205434</v>
      </c>
      <c r="Y29" s="11">
        <v>383.54359234041732</v>
      </c>
      <c r="Z29" s="11">
        <v>367.30021516489961</v>
      </c>
      <c r="AA29" s="11">
        <v>449.90927638638311</v>
      </c>
      <c r="AB29" s="11">
        <v>501.86899996142643</v>
      </c>
      <c r="AC29" s="11"/>
      <c r="AD29" s="11">
        <f t="shared" si="4"/>
        <v>134.56878479652681</v>
      </c>
      <c r="AE29" s="11">
        <f>'RD T1'!T57</f>
        <v>246.78918499993597</v>
      </c>
      <c r="AF29" s="11">
        <f t="shared" si="7"/>
        <v>381.35796979646278</v>
      </c>
    </row>
    <row r="30" spans="1:32" x14ac:dyDescent="0.3">
      <c r="A30" s="10" t="str">
        <f>name!D26</f>
        <v>81 Process, plant and machine operatives</v>
      </c>
      <c r="B30" s="11">
        <v>904.53857920670657</v>
      </c>
      <c r="C30" s="11">
        <v>870.99992587765519</v>
      </c>
      <c r="D30" s="11">
        <v>765.07385705408774</v>
      </c>
      <c r="E30" s="11">
        <v>921.25332068124919</v>
      </c>
      <c r="F30" s="11">
        <v>906.8322616503707</v>
      </c>
      <c r="G30" s="11"/>
      <c r="H30" s="11">
        <f t="shared" si="2"/>
        <v>141.75840459628296</v>
      </c>
      <c r="I30" s="11">
        <f>'RD T1'!E29</f>
        <v>353.74935888476273</v>
      </c>
      <c r="J30" s="11">
        <f t="shared" si="5"/>
        <v>495.50776348104569</v>
      </c>
      <c r="L30" s="10" t="str">
        <f>name!D26</f>
        <v>81 Process, plant and machine operatives</v>
      </c>
      <c r="M30" s="11">
        <v>710.30502953367295</v>
      </c>
      <c r="N30" s="11">
        <v>669.92633691310448</v>
      </c>
      <c r="O30" s="11">
        <v>591.41640268122455</v>
      </c>
      <c r="P30" s="11">
        <v>703.29773491467961</v>
      </c>
      <c r="Q30" s="11">
        <v>684.66526960856299</v>
      </c>
      <c r="R30" s="11"/>
      <c r="S30" s="11">
        <f t="shared" si="3"/>
        <v>93.24886692733844</v>
      </c>
      <c r="T30" s="11">
        <f>'RD T1'!T29</f>
        <v>247.84932288286231</v>
      </c>
      <c r="U30" s="11">
        <f t="shared" si="6"/>
        <v>341.09818981020078</v>
      </c>
      <c r="W30" s="10" t="str">
        <f>name!D26</f>
        <v>81 Process, plant and machine operatives</v>
      </c>
      <c r="X30" s="11">
        <v>194.23354967303402</v>
      </c>
      <c r="Y30" s="11">
        <v>201.07358896454917</v>
      </c>
      <c r="Z30" s="11">
        <v>173.65745437286304</v>
      </c>
      <c r="AA30" s="11">
        <v>217.95558576656896</v>
      </c>
      <c r="AB30" s="11">
        <v>222.16699204180659</v>
      </c>
      <c r="AC30" s="11"/>
      <c r="AD30" s="11">
        <f t="shared" si="4"/>
        <v>48.509537668943551</v>
      </c>
      <c r="AE30" s="11">
        <f>'RD T1'!T58</f>
        <v>105.90003600190033</v>
      </c>
      <c r="AF30" s="11">
        <f t="shared" si="7"/>
        <v>154.40957367084388</v>
      </c>
    </row>
    <row r="31" spans="1:32" x14ac:dyDescent="0.3">
      <c r="A31" s="10" t="str">
        <f>name!D27</f>
        <v>82 Transport and mobile machine drivers and operatives</v>
      </c>
      <c r="B31" s="11">
        <v>1208.479039683479</v>
      </c>
      <c r="C31" s="11">
        <v>1337.8202780641443</v>
      </c>
      <c r="D31" s="11">
        <v>1192.1983711089595</v>
      </c>
      <c r="E31" s="11">
        <v>1279.2062044794754</v>
      </c>
      <c r="F31" s="11">
        <v>1272.0792886398074</v>
      </c>
      <c r="G31" s="11"/>
      <c r="H31" s="11">
        <f t="shared" si="2"/>
        <v>79.88091753084791</v>
      </c>
      <c r="I31" s="11">
        <f>'RD T1'!E30</f>
        <v>667.65850811243592</v>
      </c>
      <c r="J31" s="11">
        <f t="shared" si="5"/>
        <v>747.53942564328383</v>
      </c>
      <c r="L31" s="10" t="str">
        <f>name!D27</f>
        <v>82 Transport and mobile machine drivers and operatives</v>
      </c>
      <c r="M31" s="11">
        <v>1134.5263509512913</v>
      </c>
      <c r="N31" s="11">
        <v>1263.2708038991977</v>
      </c>
      <c r="O31" s="11">
        <v>1121.830455666314</v>
      </c>
      <c r="P31" s="11">
        <v>1175.2619837131144</v>
      </c>
      <c r="Q31" s="11">
        <v>1153.3367925900011</v>
      </c>
      <c r="R31" s="11"/>
      <c r="S31" s="11">
        <f t="shared" si="3"/>
        <v>31.506336923687059</v>
      </c>
      <c r="T31" s="11">
        <f>'RD T1'!T30</f>
        <v>602.95087133750542</v>
      </c>
      <c r="U31" s="11">
        <f t="shared" si="6"/>
        <v>634.45720826119248</v>
      </c>
      <c r="W31" s="10" t="str">
        <f>name!D27</f>
        <v>82 Transport and mobile machine drivers and operatives</v>
      </c>
      <c r="X31" s="11">
        <v>73.952688732186189</v>
      </c>
      <c r="Y31" s="11">
        <v>74.549474164943035</v>
      </c>
      <c r="Z31" s="11">
        <v>70.367915442644886</v>
      </c>
      <c r="AA31" s="11">
        <v>103.94422076636599</v>
      </c>
      <c r="AB31" s="11">
        <v>118.74249604980453</v>
      </c>
      <c r="AC31" s="11"/>
      <c r="AD31" s="11">
        <f t="shared" si="4"/>
        <v>48.374580607159643</v>
      </c>
      <c r="AE31" s="11">
        <f>'RD T1'!T59</f>
        <v>64.707636774930677</v>
      </c>
      <c r="AF31" s="11">
        <f t="shared" si="7"/>
        <v>113.08221738209032</v>
      </c>
    </row>
    <row r="32" spans="1:32" x14ac:dyDescent="0.3">
      <c r="A32" s="10" t="str">
        <f>name!D28</f>
        <v>91 Elementary trades and related occupations</v>
      </c>
      <c r="B32" s="11">
        <v>586.32680498173522</v>
      </c>
      <c r="C32" s="11">
        <v>523.17721969052866</v>
      </c>
      <c r="D32" s="11">
        <v>464.80863120633876</v>
      </c>
      <c r="E32" s="11">
        <v>389.87330472296622</v>
      </c>
      <c r="F32" s="11">
        <v>368.2541352592807</v>
      </c>
      <c r="G32" s="11"/>
      <c r="H32" s="11">
        <f t="shared" si="2"/>
        <v>-96.554495947058058</v>
      </c>
      <c r="I32" s="11">
        <f>'RD T1'!E31</f>
        <v>152.81011939748237</v>
      </c>
      <c r="J32" s="11">
        <f t="shared" si="5"/>
        <v>56.255623450424309</v>
      </c>
      <c r="L32" s="10" t="str">
        <f>name!D28</f>
        <v>91 Elementary trades and related occupations</v>
      </c>
      <c r="M32" s="11">
        <v>451.87954918913374</v>
      </c>
      <c r="N32" s="11">
        <v>404.21519528753305</v>
      </c>
      <c r="O32" s="11">
        <v>366.35911682474841</v>
      </c>
      <c r="P32" s="11">
        <v>303.93873624763819</v>
      </c>
      <c r="Q32" s="11">
        <v>285.97562053211072</v>
      </c>
      <c r="R32" s="11"/>
      <c r="S32" s="11">
        <f t="shared" si="3"/>
        <v>-80.383496292637687</v>
      </c>
      <c r="T32" s="11">
        <f>'RD T1'!T31</f>
        <v>100.05460968837718</v>
      </c>
      <c r="U32" s="11">
        <f t="shared" si="6"/>
        <v>19.671113395739496</v>
      </c>
      <c r="W32" s="10" t="str">
        <f>name!D28</f>
        <v>91 Elementary trades and related occupations</v>
      </c>
      <c r="X32" s="11">
        <v>134.44725579260273</v>
      </c>
      <c r="Y32" s="11">
        <v>118.96202440299479</v>
      </c>
      <c r="Z32" s="11">
        <v>98.449514381590134</v>
      </c>
      <c r="AA32" s="11">
        <v>85.934568475327978</v>
      </c>
      <c r="AB32" s="11">
        <v>82.278514727169892</v>
      </c>
      <c r="AC32" s="11"/>
      <c r="AD32" s="11">
        <f t="shared" si="4"/>
        <v>-16.170999654420243</v>
      </c>
      <c r="AE32" s="11">
        <f>'RD T1'!T60</f>
        <v>52.755509709105205</v>
      </c>
      <c r="AF32" s="11">
        <f t="shared" si="7"/>
        <v>36.584510054684962</v>
      </c>
    </row>
    <row r="33" spans="1:32" x14ac:dyDescent="0.3">
      <c r="A33" s="10" t="str">
        <f>name!D29</f>
        <v>92 Elementary administration and service occupations</v>
      </c>
      <c r="B33" s="11">
        <v>3385.6988412834389</v>
      </c>
      <c r="C33" s="11">
        <v>3417.5980423080023</v>
      </c>
      <c r="D33" s="11">
        <v>3133.5251022906664</v>
      </c>
      <c r="E33" s="11">
        <v>3203.9105679470053</v>
      </c>
      <c r="F33" s="11">
        <v>3085.5818095627951</v>
      </c>
      <c r="G33" s="11"/>
      <c r="H33" s="11">
        <f t="shared" ref="H33" si="8">F33-D33</f>
        <v>-47.943292727871267</v>
      </c>
      <c r="I33" s="11">
        <f>'RD T1'!E32</f>
        <v>1535.5425944235601</v>
      </c>
      <c r="J33" s="11">
        <f>SUM(H33:I33)</f>
        <v>1487.5993016956888</v>
      </c>
      <c r="L33" s="10" t="str">
        <f>name!D29</f>
        <v>92 Elementary administration and service occupations</v>
      </c>
      <c r="M33" s="11">
        <v>1666.4604987337166</v>
      </c>
      <c r="N33" s="11">
        <v>1629.0979940928164</v>
      </c>
      <c r="O33" s="11">
        <v>1532.5978410910091</v>
      </c>
      <c r="P33" s="11">
        <v>1632.2458741500084</v>
      </c>
      <c r="Q33" s="11">
        <v>1565.7526621758986</v>
      </c>
      <c r="R33" s="11"/>
      <c r="S33" s="11">
        <f t="shared" ref="S33" si="9">Q33-O33</f>
        <v>33.154821084889591</v>
      </c>
      <c r="T33" s="11">
        <f>'RD T1'!T32</f>
        <v>641.2227134280256</v>
      </c>
      <c r="U33" s="11">
        <f>SUM(S33:T33)</f>
        <v>674.37753451291519</v>
      </c>
      <c r="W33" s="10" t="str">
        <f>name!D29</f>
        <v>92 Elementary administration and service occupations</v>
      </c>
      <c r="X33" s="11">
        <v>1719.2383425497221</v>
      </c>
      <c r="Y33" s="11">
        <v>1788.500048215182</v>
      </c>
      <c r="Z33" s="11">
        <v>1600.9272611996569</v>
      </c>
      <c r="AA33" s="11">
        <v>1571.6646937969847</v>
      </c>
      <c r="AB33" s="11">
        <v>1519.8291473869019</v>
      </c>
      <c r="AC33" s="11"/>
      <c r="AD33" s="11">
        <f t="shared" ref="AD33" si="10">AB33-Z33</f>
        <v>-81.098113812754946</v>
      </c>
      <c r="AE33" s="11">
        <f>'RD T1'!T61</f>
        <v>894.3198809955345</v>
      </c>
      <c r="AF33" s="11">
        <f>SUM(AD33:AE33)</f>
        <v>813.22176718277956</v>
      </c>
    </row>
    <row r="34" spans="1:32" x14ac:dyDescent="0.3">
      <c r="H34" s="11"/>
      <c r="L34" s="10"/>
      <c r="S34" s="11"/>
      <c r="W34" s="10"/>
      <c r="AD34" s="11"/>
    </row>
    <row r="35" spans="1:32" x14ac:dyDescent="0.3">
      <c r="A35" s="231" t="str">
        <f>name!D3</f>
        <v>All occupations</v>
      </c>
      <c r="B35" s="33">
        <f>SUM(B8:B33)</f>
        <v>33655.985000000073</v>
      </c>
      <c r="C35" s="33">
        <f t="shared" ref="C35:F35" si="11">SUM(C8:C33)</f>
        <v>35365.00400000019</v>
      </c>
      <c r="D35" s="33">
        <f t="shared" si="11"/>
        <v>34974.967999999833</v>
      </c>
      <c r="E35" s="33">
        <f t="shared" si="11"/>
        <v>36022.323999999819</v>
      </c>
      <c r="F35" s="33">
        <f t="shared" si="11"/>
        <v>37567.872000000098</v>
      </c>
      <c r="G35" s="11"/>
      <c r="H35" s="33">
        <f>F35-D35</f>
        <v>2592.9040000002642</v>
      </c>
      <c r="I35" s="33">
        <f>SUM(I8:I33)</f>
        <v>17534.355663602433</v>
      </c>
      <c r="J35" s="33">
        <f>SUM(J8:J33)</f>
        <v>20127.259663602686</v>
      </c>
      <c r="L35" s="231" t="str">
        <f>name!D3</f>
        <v>All occupations</v>
      </c>
      <c r="M35" s="33">
        <f>SUM(M8:M33)</f>
        <v>17704.955000000049</v>
      </c>
      <c r="N35" s="33">
        <f t="shared" ref="N35:P35" si="12">SUM(N8:N33)</f>
        <v>18453.751000000248</v>
      </c>
      <c r="O35" s="33">
        <f t="shared" si="12"/>
        <v>18072.08199999978</v>
      </c>
      <c r="P35" s="33">
        <f t="shared" si="12"/>
        <v>18555.940999999861</v>
      </c>
      <c r="Q35" s="33">
        <f>SUM(Q8:Q33)</f>
        <v>19212.934999999903</v>
      </c>
      <c r="R35" s="11"/>
      <c r="S35" s="33">
        <f>Q35-O35</f>
        <v>1140.8530000001228</v>
      </c>
      <c r="T35" s="33">
        <f>SUM(T8:T33)</f>
        <v>7557.7581698058766</v>
      </c>
      <c r="U35" s="33">
        <f>SUM(U8:U33)</f>
        <v>8698.6111698060013</v>
      </c>
      <c r="W35" s="231" t="str">
        <f>name!D3</f>
        <v>All occupations</v>
      </c>
      <c r="X35" s="33">
        <f>SUM(X8:X33)</f>
        <v>15951.030000000013</v>
      </c>
      <c r="Y35" s="33">
        <f t="shared" ref="Y35:AB35" si="13">SUM(Y8:Y33)</f>
        <v>16911.252999999946</v>
      </c>
      <c r="Z35" s="33">
        <f t="shared" si="13"/>
        <v>16902.886000000053</v>
      </c>
      <c r="AA35" s="33">
        <f t="shared" si="13"/>
        <v>17466.382999999954</v>
      </c>
      <c r="AB35" s="33">
        <f t="shared" si="13"/>
        <v>18354.937000000195</v>
      </c>
      <c r="AC35" s="11"/>
      <c r="AD35" s="33">
        <f>AB35-Z35</f>
        <v>1452.0510000001414</v>
      </c>
      <c r="AE35" s="33">
        <f>SUM(AE8:AE33)</f>
        <v>9976.5974937965511</v>
      </c>
      <c r="AF35" s="33">
        <f>SUM(AF8:AF33)</f>
        <v>11428.6484937967</v>
      </c>
    </row>
    <row r="36" spans="1:32" x14ac:dyDescent="0.3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3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45" x14ac:dyDescent="0.4">
      <c r="A38" s="18" t="str">
        <f>CONCATENATE(A$1," (Continued)")</f>
        <v>Occupation Table 2  Employment Change by Occupation (SOC 2020) and Replacement Demand, 2015-2035, United Kingdom (Continued)</v>
      </c>
      <c r="L38" s="18" t="str">
        <f>CONCATENATE(L$1," (Continued)")</f>
        <v>Occupation Table 2.1  Males: Employment Change by Occupation (SOC 2020) and Replacement Demand, 2015-2035, United Kingdom (Continued)</v>
      </c>
      <c r="W38" s="18" t="str">
        <f>CONCATENATE(W$1," (Continued)")</f>
        <v>Occupation Table 2.2  Females: Employment Change by Occupation (SOC 2020) and Replacement Demand, 2015-2035, United Kingdom (Continued)</v>
      </c>
    </row>
    <row r="40" spans="1:32" x14ac:dyDescent="0.3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</row>
    <row r="41" spans="1:32" x14ac:dyDescent="0.3">
      <c r="A41" s="35"/>
      <c r="B41" s="35"/>
      <c r="C41" s="35"/>
      <c r="D41" s="35"/>
      <c r="E41" s="35"/>
      <c r="F41" s="35"/>
      <c r="H41" s="98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98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98" t="str">
        <f>$H$4</f>
        <v>2020-2035</v>
      </c>
      <c r="AE41" s="35"/>
      <c r="AF41" s="35"/>
    </row>
    <row r="42" spans="1:32" x14ac:dyDescent="0.3">
      <c r="H42" s="15" t="str">
        <f t="shared" ref="H42:J43" si="14">H5</f>
        <v>Net</v>
      </c>
      <c r="I42" s="15" t="str">
        <f t="shared" si="14"/>
        <v>Replacement</v>
      </c>
      <c r="J42" s="15" t="str">
        <f t="shared" si="14"/>
        <v>Total</v>
      </c>
      <c r="S42" s="15" t="str">
        <f t="shared" ref="S42:U42" si="15">S5</f>
        <v>Net</v>
      </c>
      <c r="T42" s="15" t="str">
        <f t="shared" si="15"/>
        <v>Replacement</v>
      </c>
      <c r="U42" s="15" t="str">
        <f t="shared" si="15"/>
        <v>Total</v>
      </c>
      <c r="AD42" s="15" t="str">
        <f t="shared" ref="AD42:AF42" si="16">AD5</f>
        <v>Net</v>
      </c>
      <c r="AE42" s="15" t="str">
        <f t="shared" si="16"/>
        <v>Replacement</v>
      </c>
      <c r="AF42" s="15" t="str">
        <f t="shared" si="16"/>
        <v>Total</v>
      </c>
    </row>
    <row r="43" spans="1:32" x14ac:dyDescent="0.3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14"/>
        <v>Change</v>
      </c>
      <c r="I43" s="62" t="str">
        <f t="shared" si="14"/>
        <v>Demand</v>
      </c>
      <c r="J43" s="62" t="str">
        <f t="shared" si="14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ref="S43:U43" si="17">S6</f>
        <v>Change</v>
      </c>
      <c r="T43" s="62" t="str">
        <f t="shared" si="17"/>
        <v>Demand</v>
      </c>
      <c r="U43" s="62" t="str">
        <f t="shared" si="1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ref="AD43:AF43" si="18">AD6</f>
        <v>Change</v>
      </c>
      <c r="AE43" s="62" t="str">
        <f t="shared" si="18"/>
        <v>Demand</v>
      </c>
      <c r="AF43" s="62" t="str">
        <f t="shared" si="18"/>
        <v>Requirement</v>
      </c>
    </row>
    <row r="44" spans="1:32" x14ac:dyDescent="0.3">
      <c r="G44" s="11"/>
      <c r="R44" s="11"/>
      <c r="AC44" s="11"/>
    </row>
    <row r="45" spans="1:32" x14ac:dyDescent="0.3">
      <c r="A45" t="str">
        <f t="shared" ref="A45:A70" si="19">A8</f>
        <v>11 Corporate managers and directors</v>
      </c>
      <c r="B45" s="172">
        <f t="shared" ref="B45:F54" si="20">B8/B$35*100</f>
        <v>6.3821377497742429</v>
      </c>
      <c r="C45" s="172">
        <f t="shared" si="20"/>
        <v>7.1947037286539057</v>
      </c>
      <c r="D45" s="172">
        <f t="shared" si="20"/>
        <v>7.4442240046846839</v>
      </c>
      <c r="E45" s="172">
        <f t="shared" si="20"/>
        <v>6.7918248701766393</v>
      </c>
      <c r="F45" s="172">
        <f t="shared" si="20"/>
        <v>7.1371557447167406</v>
      </c>
      <c r="H45" s="67">
        <f t="shared" ref="H45:H70" si="21">IF(D8&gt;0,(H8/D8)*100,0)</f>
        <v>2.9828746653483016</v>
      </c>
      <c r="I45" s="68">
        <f t="shared" ref="I45:I70" si="22">IF(D8&gt;0,I8/D8*100,0)</f>
        <v>49.934026934609186</v>
      </c>
      <c r="J45" s="68">
        <f t="shared" ref="J45:J70" si="23">IF(D8&gt;0,(J8/D8)*100,0)</f>
        <v>52.916901599957491</v>
      </c>
      <c r="L45" t="str">
        <f t="shared" ref="L45:L70" si="24">L8</f>
        <v>11 Corporate managers and directors</v>
      </c>
      <c r="M45" s="172">
        <f t="shared" ref="M45:Q45" si="25">M8/M$35*100</f>
        <v>8.4074622715390461</v>
      </c>
      <c r="N45" s="172">
        <f t="shared" si="25"/>
        <v>9.1880580533550145</v>
      </c>
      <c r="O45" s="172">
        <f t="shared" si="25"/>
        <v>9.5220513730646026</v>
      </c>
      <c r="P45" s="172">
        <f t="shared" si="25"/>
        <v>8.4233999173099168</v>
      </c>
      <c r="Q45" s="172">
        <f t="shared" si="25"/>
        <v>8.5603906329838271</v>
      </c>
      <c r="S45" s="67">
        <f t="shared" ref="S45:S70" si="26">IF(O8&gt;0,(S8/O8)*100,0)</f>
        <v>-4.4240578347579165</v>
      </c>
      <c r="T45" s="68">
        <f t="shared" ref="T45:T70" si="27">IF(O8&gt;0,T8/O8*100,0)</f>
        <v>43.634513529427075</v>
      </c>
      <c r="U45" s="68">
        <f t="shared" ref="U45:U70" si="28">IF(O8&gt;0,(U8/O8)*100,0)</f>
        <v>39.210455694669157</v>
      </c>
      <c r="W45" t="str">
        <f t="shared" ref="W45:W70" si="29">W8</f>
        <v>11 Corporate managers and directors</v>
      </c>
      <c r="X45" s="172">
        <f t="shared" ref="X45:AB45" si="30">X8/X$35*100</f>
        <v>4.1341149250261058</v>
      </c>
      <c r="Y45" s="172">
        <f t="shared" si="30"/>
        <v>5.019532890466559</v>
      </c>
      <c r="Z45" s="172">
        <f t="shared" si="30"/>
        <v>5.2226704437599452</v>
      </c>
      <c r="AA45" s="172">
        <f t="shared" si="30"/>
        <v>5.0584717018832119</v>
      </c>
      <c r="AB45" s="172">
        <f t="shared" si="30"/>
        <v>5.6473920153175525</v>
      </c>
      <c r="AD45" s="67">
        <f t="shared" ref="AD45:AD70" si="31">IF(Z8&gt;0,(AD8/Z8)*100,0)</f>
        <v>17.421425657005518</v>
      </c>
      <c r="AE45" s="68">
        <f t="shared" ref="AE45:AE70" si="32">IF(Z8&gt;0,AE8/Z8*100,0)</f>
        <v>62.213853370457748</v>
      </c>
      <c r="AF45" s="68">
        <f t="shared" ref="AF45:AF70" si="33">IF(Z8&gt;0,(AF8/Z8)*100,0)</f>
        <v>79.63527902746327</v>
      </c>
    </row>
    <row r="46" spans="1:32" x14ac:dyDescent="0.3">
      <c r="A46" t="str">
        <f t="shared" si="19"/>
        <v>12 Other managers and proprietors</v>
      </c>
      <c r="B46" s="172">
        <f t="shared" si="20"/>
        <v>3.1419487933359052</v>
      </c>
      <c r="C46" s="172">
        <f t="shared" si="20"/>
        <v>3.2046321119164367</v>
      </c>
      <c r="D46" s="172">
        <f t="shared" si="20"/>
        <v>3.2678921638125926</v>
      </c>
      <c r="E46" s="172">
        <f t="shared" si="20"/>
        <v>3.9310931251834367</v>
      </c>
      <c r="F46" s="172">
        <f t="shared" si="20"/>
        <v>4.3573704034605418</v>
      </c>
      <c r="H46" s="67">
        <f t="shared" si="21"/>
        <v>43.224076949631005</v>
      </c>
      <c r="I46" s="68">
        <f t="shared" si="22"/>
        <v>72.112818145689531</v>
      </c>
      <c r="J46" s="68">
        <f t="shared" si="23"/>
        <v>115.33689509532053</v>
      </c>
      <c r="L46" t="str">
        <f t="shared" si="24"/>
        <v>12 Other managers and proprietors</v>
      </c>
      <c r="M46" s="172">
        <f t="shared" ref="M46:Q46" si="34">M9/M$35*100</f>
        <v>3.618267970266229</v>
      </c>
      <c r="N46" s="172">
        <f t="shared" si="34"/>
        <v>3.6763119525700572</v>
      </c>
      <c r="O46" s="172">
        <f t="shared" si="34"/>
        <v>3.6847515876674541</v>
      </c>
      <c r="P46" s="172">
        <f t="shared" si="34"/>
        <v>4.5675424374732696</v>
      </c>
      <c r="Q46" s="172">
        <f t="shared" si="34"/>
        <v>5.0687412241733325</v>
      </c>
      <c r="S46" s="67">
        <f t="shared" si="26"/>
        <v>46.24378879841597</v>
      </c>
      <c r="T46" s="68">
        <f t="shared" si="27"/>
        <v>66.446839599328371</v>
      </c>
      <c r="U46" s="68">
        <f t="shared" si="28"/>
        <v>112.69062839774433</v>
      </c>
      <c r="W46" t="str">
        <f t="shared" si="29"/>
        <v>12 Other managers and proprietors</v>
      </c>
      <c r="X46" s="172">
        <f t="shared" ref="X46:AB46" si="35">X9/X$35*100</f>
        <v>2.6132550605055944</v>
      </c>
      <c r="Y46" s="172">
        <f t="shared" si="35"/>
        <v>2.6899297222625305</v>
      </c>
      <c r="Z46" s="172">
        <f t="shared" si="35"/>
        <v>2.8221979971254427</v>
      </c>
      <c r="AA46" s="172">
        <f t="shared" si="35"/>
        <v>3.2549419215632591</v>
      </c>
      <c r="AB46" s="172">
        <f t="shared" si="35"/>
        <v>3.6127466905460546</v>
      </c>
      <c r="AD46" s="67">
        <f t="shared" si="31"/>
        <v>39.008727681499707</v>
      </c>
      <c r="AE46" s="68">
        <f t="shared" si="32"/>
        <v>80.02220808574728</v>
      </c>
      <c r="AF46" s="68">
        <f t="shared" si="33"/>
        <v>119.03093576724699</v>
      </c>
    </row>
    <row r="47" spans="1:32" x14ac:dyDescent="0.3">
      <c r="A47" t="str">
        <f t="shared" si="19"/>
        <v>21 Science, research, engineering and technology professionals</v>
      </c>
      <c r="B47" s="172">
        <f t="shared" si="20"/>
        <v>5.361437002506662</v>
      </c>
      <c r="C47" s="172">
        <f t="shared" si="20"/>
        <v>5.877571925142715</v>
      </c>
      <c r="D47" s="172">
        <f t="shared" si="20"/>
        <v>6.2001183202446093</v>
      </c>
      <c r="E47" s="172">
        <f t="shared" si="20"/>
        <v>6.4036125983040524</v>
      </c>
      <c r="F47" s="172">
        <f t="shared" si="20"/>
        <v>6.8222730933604012</v>
      </c>
      <c r="H47" s="67">
        <f t="shared" si="21"/>
        <v>18.192084545820915</v>
      </c>
      <c r="I47" s="68">
        <f t="shared" si="22"/>
        <v>41.222864260321955</v>
      </c>
      <c r="J47" s="68">
        <f t="shared" si="23"/>
        <v>59.414948806142874</v>
      </c>
      <c r="L47" t="str">
        <f t="shared" si="24"/>
        <v>21 Science, research, engineering and technology professionals</v>
      </c>
      <c r="M47" s="172">
        <f t="shared" ref="M47:Q47" si="36">M10/M$35*100</f>
        <v>8.0933317380319867</v>
      </c>
      <c r="N47" s="172">
        <f t="shared" si="36"/>
        <v>9.0212666275063054</v>
      </c>
      <c r="O47" s="172">
        <f t="shared" si="36"/>
        <v>9.1969197879475111</v>
      </c>
      <c r="P47" s="172">
        <f t="shared" si="36"/>
        <v>9.1975902294086733</v>
      </c>
      <c r="Q47" s="172">
        <f t="shared" si="36"/>
        <v>9.602724091417425</v>
      </c>
      <c r="S47" s="67">
        <f t="shared" si="26"/>
        <v>11.003731176681104</v>
      </c>
      <c r="T47" s="68">
        <f t="shared" si="27"/>
        <v>34.470332155091718</v>
      </c>
      <c r="U47" s="68">
        <f t="shared" si="28"/>
        <v>45.474063331772818</v>
      </c>
      <c r="W47" t="str">
        <f t="shared" si="29"/>
        <v>21 Science, research, engineering and technology professionals</v>
      </c>
      <c r="X47" s="172">
        <f t="shared" ref="X47:AB47" si="37">X10/X$35*100</f>
        <v>2.3291517295673887</v>
      </c>
      <c r="Y47" s="172">
        <f t="shared" si="37"/>
        <v>2.4471366252014541</v>
      </c>
      <c r="Z47" s="172">
        <f t="shared" si="37"/>
        <v>2.9960239506767889</v>
      </c>
      <c r="AA47" s="172">
        <f t="shared" si="37"/>
        <v>3.4353458382028705</v>
      </c>
      <c r="AB47" s="172">
        <f t="shared" si="37"/>
        <v>3.9118504481421059</v>
      </c>
      <c r="AD47" s="67">
        <f t="shared" si="31"/>
        <v>41.784579031284885</v>
      </c>
      <c r="AE47" s="68">
        <f t="shared" si="32"/>
        <v>63.384974033542477</v>
      </c>
      <c r="AF47" s="68">
        <f t="shared" si="33"/>
        <v>105.16955306482735</v>
      </c>
    </row>
    <row r="48" spans="1:32" x14ac:dyDescent="0.3">
      <c r="A48" t="str">
        <f t="shared" si="19"/>
        <v>22 Health professionals</v>
      </c>
      <c r="B48" s="172">
        <f t="shared" si="20"/>
        <v>4.2539380447589128</v>
      </c>
      <c r="C48" s="172">
        <f t="shared" si="20"/>
        <v>4.6529691051584967</v>
      </c>
      <c r="D48" s="172">
        <f t="shared" si="20"/>
        <v>4.7253495248470809</v>
      </c>
      <c r="E48" s="172">
        <f t="shared" si="20"/>
        <v>4.9697331753791714</v>
      </c>
      <c r="F48" s="172">
        <f t="shared" si="20"/>
        <v>5.2246184565002016</v>
      </c>
      <c r="H48" s="67">
        <f t="shared" si="21"/>
        <v>18.762658865251225</v>
      </c>
      <c r="I48" s="68">
        <f t="shared" si="22"/>
        <v>58.913457583019849</v>
      </c>
      <c r="J48" s="68">
        <f t="shared" si="23"/>
        <v>77.676116448271088</v>
      </c>
      <c r="L48" t="str">
        <f t="shared" si="24"/>
        <v>22 Health professionals</v>
      </c>
      <c r="M48" s="172">
        <f t="shared" ref="M48:Q48" si="38">M11/M$35*100</f>
        <v>1.9684457230574757</v>
      </c>
      <c r="N48" s="172">
        <f t="shared" si="38"/>
        <v>2.168101002473164</v>
      </c>
      <c r="O48" s="172">
        <f t="shared" si="38"/>
        <v>2.4270118519850419</v>
      </c>
      <c r="P48" s="172">
        <f t="shared" si="38"/>
        <v>2.5399877416767218</v>
      </c>
      <c r="Q48" s="172">
        <f t="shared" si="38"/>
        <v>2.6898208587613275</v>
      </c>
      <c r="S48" s="67">
        <f t="shared" si="26"/>
        <v>17.824874251742902</v>
      </c>
      <c r="T48" s="68">
        <f t="shared" si="27"/>
        <v>41.965368039214411</v>
      </c>
      <c r="U48" s="68">
        <f t="shared" si="28"/>
        <v>59.790242290957309</v>
      </c>
      <c r="W48" t="str">
        <f t="shared" si="29"/>
        <v>22 Health professionals</v>
      </c>
      <c r="X48" s="172">
        <f t="shared" ref="X48:AB48" si="39">X11/X$35*100</f>
        <v>6.790735900983222</v>
      </c>
      <c r="Y48" s="172">
        <f t="shared" si="39"/>
        <v>7.3644853502763592</v>
      </c>
      <c r="Z48" s="172">
        <f t="shared" si="39"/>
        <v>7.1826663929636476</v>
      </c>
      <c r="AA48" s="172">
        <f t="shared" si="39"/>
        <v>7.5510468287441403</v>
      </c>
      <c r="AB48" s="172">
        <f t="shared" si="39"/>
        <v>7.8779046804470472</v>
      </c>
      <c r="AD48" s="67">
        <f t="shared" si="31"/>
        <v>19.101453582991539</v>
      </c>
      <c r="AE48" s="68">
        <f t="shared" si="32"/>
        <v>65.036316852115078</v>
      </c>
      <c r="AF48" s="68">
        <f t="shared" si="33"/>
        <v>84.137770435106631</v>
      </c>
    </row>
    <row r="49" spans="1:32" x14ac:dyDescent="0.3">
      <c r="A49" t="str">
        <f t="shared" si="19"/>
        <v>23 Teaching and other educational professionals</v>
      </c>
      <c r="B49" s="172">
        <f t="shared" si="20"/>
        <v>4.893568528028899</v>
      </c>
      <c r="C49" s="172">
        <f t="shared" si="20"/>
        <v>4.9221748997817869</v>
      </c>
      <c r="D49" s="172">
        <f t="shared" si="20"/>
        <v>5.1876959305376324</v>
      </c>
      <c r="E49" s="172">
        <f t="shared" si="20"/>
        <v>5.3016346686360638</v>
      </c>
      <c r="F49" s="172">
        <f t="shared" si="20"/>
        <v>5.5420372965379538</v>
      </c>
      <c r="H49" s="67">
        <f t="shared" si="21"/>
        <v>14.750398195846524</v>
      </c>
      <c r="I49" s="68">
        <f t="shared" si="22"/>
        <v>54.77099097607303</v>
      </c>
      <c r="J49" s="68">
        <f t="shared" si="23"/>
        <v>69.521389171919552</v>
      </c>
      <c r="L49" t="str">
        <f t="shared" si="24"/>
        <v>23 Teaching and other educational professionals</v>
      </c>
      <c r="M49" s="172">
        <f t="shared" ref="M49:Q49" si="40">M12/M$35*100</f>
        <v>3.1468074127043728</v>
      </c>
      <c r="N49" s="172">
        <f t="shared" si="40"/>
        <v>3.0019197322276181</v>
      </c>
      <c r="O49" s="172">
        <f t="shared" si="40"/>
        <v>3.2440452814309455</v>
      </c>
      <c r="P49" s="172">
        <f t="shared" si="40"/>
        <v>3.4354885330511382</v>
      </c>
      <c r="Q49" s="172">
        <f t="shared" si="40"/>
        <v>3.5674092685504379</v>
      </c>
      <c r="S49" s="67">
        <f t="shared" si="26"/>
        <v>16.909971253712218</v>
      </c>
      <c r="T49" s="68">
        <f t="shared" si="27"/>
        <v>46.901690039580437</v>
      </c>
      <c r="U49" s="68">
        <f t="shared" si="28"/>
        <v>63.811661293292651</v>
      </c>
      <c r="W49" t="str">
        <f t="shared" si="29"/>
        <v>23 Teaching and other educational professionals</v>
      </c>
      <c r="X49" s="172">
        <f t="shared" ref="X49:AB49" si="41">X12/X$35*100</f>
        <v>6.8323979918673103</v>
      </c>
      <c r="Y49" s="172">
        <f t="shared" si="41"/>
        <v>7.0175791089499953</v>
      </c>
      <c r="Z49" s="172">
        <f t="shared" si="41"/>
        <v>7.265791582961052</v>
      </c>
      <c r="AA49" s="172">
        <f t="shared" si="41"/>
        <v>7.2841915374103072</v>
      </c>
      <c r="AB49" s="172">
        <f t="shared" si="41"/>
        <v>7.6089689319285698</v>
      </c>
      <c r="AD49" s="67">
        <f t="shared" si="31"/>
        <v>13.719491884878668</v>
      </c>
      <c r="AE49" s="68">
        <f t="shared" si="32"/>
        <v>58.52752607859626</v>
      </c>
      <c r="AF49" s="68">
        <f t="shared" si="33"/>
        <v>72.247017963474917</v>
      </c>
    </row>
    <row r="50" spans="1:32" x14ac:dyDescent="0.3">
      <c r="A50" t="str">
        <f t="shared" si="19"/>
        <v>24 Business, media and public service professionals</v>
      </c>
      <c r="B50" s="172">
        <f t="shared" si="20"/>
        <v>5.9494736884810191</v>
      </c>
      <c r="C50" s="172">
        <f t="shared" si="20"/>
        <v>6.7060091148310494</v>
      </c>
      <c r="D50" s="172">
        <f t="shared" si="20"/>
        <v>7.3309740723321815</v>
      </c>
      <c r="E50" s="172">
        <f t="shared" si="20"/>
        <v>7.9999813305919041</v>
      </c>
      <c r="F50" s="172">
        <f t="shared" si="20"/>
        <v>8.6085014484389522</v>
      </c>
      <c r="H50" s="67">
        <f t="shared" si="21"/>
        <v>26.131959608024214</v>
      </c>
      <c r="I50" s="68">
        <f t="shared" si="22"/>
        <v>55.337657715668996</v>
      </c>
      <c r="J50" s="68">
        <f t="shared" si="23"/>
        <v>81.469617323693214</v>
      </c>
      <c r="L50" t="str">
        <f t="shared" si="24"/>
        <v>24 Business, media and public service professionals</v>
      </c>
      <c r="M50" s="172">
        <f t="shared" ref="M50:Q50" si="42">M13/M$35*100</f>
        <v>6.6013591376233816</v>
      </c>
      <c r="N50" s="172">
        <f t="shared" si="42"/>
        <v>7.2052995850061894</v>
      </c>
      <c r="O50" s="172">
        <f t="shared" si="42"/>
        <v>7.7859085443457792</v>
      </c>
      <c r="P50" s="172">
        <f t="shared" si="42"/>
        <v>8.5482696188057954</v>
      </c>
      <c r="Q50" s="172">
        <f t="shared" si="42"/>
        <v>9.002563224618628</v>
      </c>
      <c r="S50" s="67">
        <f t="shared" si="26"/>
        <v>22.925619889851475</v>
      </c>
      <c r="T50" s="68">
        <f t="shared" si="27"/>
        <v>48.389674033328802</v>
      </c>
      <c r="U50" s="68">
        <f t="shared" si="28"/>
        <v>71.315293923180278</v>
      </c>
      <c r="W50" t="str">
        <f t="shared" si="29"/>
        <v>24 Business, media and public service professionals</v>
      </c>
      <c r="X50" s="172">
        <f t="shared" ref="X50:AB50" si="43">X13/X$35*100</f>
        <v>5.225908969323676</v>
      </c>
      <c r="Y50" s="172">
        <f t="shared" si="43"/>
        <v>6.1611776932158424</v>
      </c>
      <c r="Z50" s="172">
        <f t="shared" si="43"/>
        <v>6.8445711537503628</v>
      </c>
      <c r="AA50" s="172">
        <f t="shared" si="43"/>
        <v>7.4174906611105982</v>
      </c>
      <c r="AB50" s="172">
        <f t="shared" si="43"/>
        <v>8.1960193303187054</v>
      </c>
      <c r="AD50" s="67">
        <f t="shared" si="31"/>
        <v>30.031558302543264</v>
      </c>
      <c r="AE50" s="68">
        <f t="shared" si="32"/>
        <v>63.787900197346069</v>
      </c>
      <c r="AF50" s="68">
        <f t="shared" si="33"/>
        <v>93.819458499889336</v>
      </c>
    </row>
    <row r="51" spans="1:32" x14ac:dyDescent="0.3">
      <c r="A51" t="str">
        <f t="shared" si="19"/>
        <v>31 Science, engineering and technology associate professionals</v>
      </c>
      <c r="B51" s="172">
        <f t="shared" si="20"/>
        <v>1.6137816597291421</v>
      </c>
      <c r="C51" s="172">
        <f t="shared" si="20"/>
        <v>1.8096133872854123</v>
      </c>
      <c r="D51" s="172">
        <f t="shared" si="20"/>
        <v>1.9847344141617131</v>
      </c>
      <c r="E51" s="172">
        <f t="shared" si="20"/>
        <v>1.7086345576396429</v>
      </c>
      <c r="F51" s="172">
        <f t="shared" si="20"/>
        <v>1.7572321342947488</v>
      </c>
      <c r="H51" s="67">
        <f t="shared" si="21"/>
        <v>-4.8987980005153702</v>
      </c>
      <c r="I51" s="68">
        <f t="shared" si="22"/>
        <v>37.701767290569485</v>
      </c>
      <c r="J51" s="68">
        <f t="shared" si="23"/>
        <v>32.802969290054115</v>
      </c>
      <c r="L51" t="str">
        <f t="shared" si="24"/>
        <v>31 Science, engineering and technology associate professionals</v>
      </c>
      <c r="M51" s="172">
        <f t="shared" ref="M51:Q51" si="44">M14/M$35*100</f>
        <v>2.2284896413926263</v>
      </c>
      <c r="N51" s="172">
        <f t="shared" si="44"/>
        <v>2.6084916580450859</v>
      </c>
      <c r="O51" s="172">
        <f t="shared" si="44"/>
        <v>2.768293840176522</v>
      </c>
      <c r="P51" s="172">
        <f t="shared" si="44"/>
        <v>2.2281492663232338</v>
      </c>
      <c r="Q51" s="172">
        <f t="shared" si="44"/>
        <v>2.1942578237925439</v>
      </c>
      <c r="S51" s="67">
        <f t="shared" si="26"/>
        <v>-15.732328383481487</v>
      </c>
      <c r="T51" s="68">
        <f t="shared" si="27"/>
        <v>30.850045227180111</v>
      </c>
      <c r="U51" s="68">
        <f t="shared" si="28"/>
        <v>15.117716843698625</v>
      </c>
      <c r="W51" t="str">
        <f t="shared" si="29"/>
        <v>31 Science, engineering and technology associate professionals</v>
      </c>
      <c r="X51" s="172">
        <f t="shared" ref="X51:AB51" si="45">X14/X$35*100</f>
        <v>0.9314823252352129</v>
      </c>
      <c r="Y51" s="172">
        <f t="shared" si="45"/>
        <v>0.93786836118297456</v>
      </c>
      <c r="Z51" s="172">
        <f t="shared" si="45"/>
        <v>1.146975099047574</v>
      </c>
      <c r="AA51" s="172">
        <f t="shared" si="45"/>
        <v>1.1567123718633967</v>
      </c>
      <c r="AB51" s="172">
        <f t="shared" si="45"/>
        <v>1.2997777629912028</v>
      </c>
      <c r="AD51" s="67">
        <f t="shared" si="31"/>
        <v>23.057233982392745</v>
      </c>
      <c r="AE51" s="68">
        <f t="shared" si="32"/>
        <v>55.382703640116794</v>
      </c>
      <c r="AF51" s="68">
        <f t="shared" si="33"/>
        <v>78.439937622509532</v>
      </c>
    </row>
    <row r="52" spans="1:32" x14ac:dyDescent="0.3">
      <c r="A52" t="str">
        <f t="shared" si="19"/>
        <v>32 Health and social care associate professionals</v>
      </c>
      <c r="B52" s="172">
        <f t="shared" si="20"/>
        <v>1.7677347716892653</v>
      </c>
      <c r="C52" s="172">
        <f t="shared" si="20"/>
        <v>1.8808441193762322</v>
      </c>
      <c r="D52" s="172">
        <f t="shared" si="20"/>
        <v>1.9566757244764976</v>
      </c>
      <c r="E52" s="172">
        <f t="shared" si="20"/>
        <v>1.9337048270874728</v>
      </c>
      <c r="F52" s="172">
        <f t="shared" si="20"/>
        <v>2.039039166212036</v>
      </c>
      <c r="H52" s="67">
        <f t="shared" si="21"/>
        <v>11.935019848649739</v>
      </c>
      <c r="I52" s="68">
        <f t="shared" si="22"/>
        <v>60.025683200828375</v>
      </c>
      <c r="J52" s="68">
        <f t="shared" si="23"/>
        <v>71.960703049478113</v>
      </c>
      <c r="L52" t="str">
        <f t="shared" si="24"/>
        <v>32 Health and social care associate professionals</v>
      </c>
      <c r="M52" s="172">
        <f t="shared" ref="M52:Q52" si="46">M15/M$35*100</f>
        <v>0.78097984063574899</v>
      </c>
      <c r="N52" s="172">
        <f t="shared" si="46"/>
        <v>0.77059220933665973</v>
      </c>
      <c r="O52" s="172">
        <f t="shared" si="46"/>
        <v>0.86861933137989378</v>
      </c>
      <c r="P52" s="172">
        <f t="shared" si="46"/>
        <v>0.77719401372905461</v>
      </c>
      <c r="Q52" s="172">
        <f t="shared" si="46"/>
        <v>0.80043204119785938</v>
      </c>
      <c r="S52" s="67">
        <f t="shared" si="26"/>
        <v>-2.0328442302097258</v>
      </c>
      <c r="T52" s="68">
        <f t="shared" si="27"/>
        <v>44.983530898659723</v>
      </c>
      <c r="U52" s="68">
        <f t="shared" si="28"/>
        <v>42.950686668449997</v>
      </c>
      <c r="W52" t="str">
        <f t="shared" si="29"/>
        <v>32 Health and social care associate professionals</v>
      </c>
      <c r="X52" s="172">
        <f t="shared" ref="X52:AB52" si="47">X15/X$35*100</f>
        <v>2.8629901658757695</v>
      </c>
      <c r="Y52" s="172">
        <f t="shared" si="47"/>
        <v>3.092363590768739</v>
      </c>
      <c r="Z52" s="172">
        <f t="shared" si="47"/>
        <v>3.1199944829811597</v>
      </c>
      <c r="AA52" s="172">
        <f t="shared" si="47"/>
        <v>3.1623591179352588</v>
      </c>
      <c r="AB52" s="172">
        <f t="shared" si="47"/>
        <v>3.3355447430731195</v>
      </c>
      <c r="AD52" s="67">
        <f t="shared" si="31"/>
        <v>16.092718328978609</v>
      </c>
      <c r="AE52" s="68">
        <f t="shared" si="32"/>
        <v>64.503156164089816</v>
      </c>
      <c r="AF52" s="68">
        <f t="shared" si="33"/>
        <v>80.595874493068422</v>
      </c>
    </row>
    <row r="53" spans="1:32" x14ac:dyDescent="0.3">
      <c r="A53" t="str">
        <f t="shared" si="19"/>
        <v>33 Protective service occupations</v>
      </c>
      <c r="B53" s="172">
        <f t="shared" si="20"/>
        <v>1.0795902406311839</v>
      </c>
      <c r="C53" s="172">
        <f t="shared" si="20"/>
        <v>1.0588155583579628</v>
      </c>
      <c r="D53" s="172">
        <f t="shared" si="20"/>
        <v>1.1349614489291102</v>
      </c>
      <c r="E53" s="172">
        <f t="shared" si="20"/>
        <v>1.308001146156746</v>
      </c>
      <c r="F53" s="172">
        <f t="shared" si="20"/>
        <v>1.4393702436186606</v>
      </c>
      <c r="H53" s="67">
        <f t="shared" si="21"/>
        <v>36.223075073579849</v>
      </c>
      <c r="I53" s="68">
        <f t="shared" si="22"/>
        <v>42.520973970276806</v>
      </c>
      <c r="J53" s="68">
        <f t="shared" si="23"/>
        <v>78.744049043856648</v>
      </c>
      <c r="L53" t="str">
        <f t="shared" si="24"/>
        <v>33 Protective service occupations</v>
      </c>
      <c r="M53" s="172">
        <f t="shared" ref="M53:Q53" si="48">M16/M$35*100</f>
        <v>1.5832325351025012</v>
      </c>
      <c r="N53" s="172">
        <f t="shared" si="48"/>
        <v>1.5250362392682961</v>
      </c>
      <c r="O53" s="172">
        <f t="shared" si="48"/>
        <v>1.6183433684572059</v>
      </c>
      <c r="P53" s="172">
        <f t="shared" si="48"/>
        <v>1.7911881038185682</v>
      </c>
      <c r="Q53" s="172">
        <f t="shared" si="48"/>
        <v>1.8621676404317438</v>
      </c>
      <c r="S53" s="67">
        <f t="shared" si="26"/>
        <v>22.330183713724676</v>
      </c>
      <c r="T53" s="68">
        <f t="shared" si="27"/>
        <v>32.546284274137989</v>
      </c>
      <c r="U53" s="68">
        <f t="shared" si="28"/>
        <v>54.876467987862668</v>
      </c>
      <c r="W53" t="str">
        <f t="shared" si="29"/>
        <v>33 Protective service occupations</v>
      </c>
      <c r="X53" s="172">
        <f t="shared" ref="X53:AB53" si="49">X16/X$35*100</f>
        <v>0.52056902634524138</v>
      </c>
      <c r="Y53" s="172">
        <f t="shared" si="49"/>
        <v>0.55007026570756534</v>
      </c>
      <c r="Z53" s="172">
        <f t="shared" si="49"/>
        <v>0.61814333354757089</v>
      </c>
      <c r="AA53" s="172">
        <f t="shared" si="49"/>
        <v>0.79467284696954132</v>
      </c>
      <c r="AB53" s="172">
        <f t="shared" si="49"/>
        <v>0.99680926380496393</v>
      </c>
      <c r="AD53" s="67">
        <f t="shared" si="31"/>
        <v>75.111598029861113</v>
      </c>
      <c r="AE53" s="68">
        <f t="shared" si="32"/>
        <v>70.441796150671664</v>
      </c>
      <c r="AF53" s="68">
        <f t="shared" si="33"/>
        <v>145.55339418053279</v>
      </c>
    </row>
    <row r="54" spans="1:32" x14ac:dyDescent="0.3">
      <c r="A54" t="str">
        <f t="shared" si="19"/>
        <v>34 Culture, media and sports occupations</v>
      </c>
      <c r="B54" s="172">
        <f t="shared" si="20"/>
        <v>2.0531087746528618</v>
      </c>
      <c r="C54" s="172">
        <f t="shared" si="20"/>
        <v>1.9971374169220026</v>
      </c>
      <c r="D54" s="172">
        <f t="shared" si="20"/>
        <v>2.1521020985933519</v>
      </c>
      <c r="E54" s="172">
        <f t="shared" si="20"/>
        <v>2.0766615425523338</v>
      </c>
      <c r="F54" s="172">
        <f t="shared" si="20"/>
        <v>2.2126290819909809</v>
      </c>
      <c r="H54" s="67">
        <f t="shared" si="21"/>
        <v>10.434562503570906</v>
      </c>
      <c r="I54" s="68">
        <f t="shared" si="22"/>
        <v>48.242750188225067</v>
      </c>
      <c r="J54" s="68">
        <f t="shared" si="23"/>
        <v>58.677312691795969</v>
      </c>
      <c r="L54" t="str">
        <f t="shared" si="24"/>
        <v>34 Culture, media and sports occupations</v>
      </c>
      <c r="M54" s="172">
        <f t="shared" ref="M54:Q54" si="50">M17/M$35*100</f>
        <v>2.1350640554606781</v>
      </c>
      <c r="N54" s="172">
        <f t="shared" si="50"/>
        <v>2.0400250211191815</v>
      </c>
      <c r="O54" s="172">
        <f t="shared" si="50"/>
        <v>2.1164685926654587</v>
      </c>
      <c r="P54" s="172">
        <f t="shared" si="50"/>
        <v>2.0604502296483278</v>
      </c>
      <c r="Q54" s="172">
        <f t="shared" si="50"/>
        <v>2.2014915496182548</v>
      </c>
      <c r="S54" s="67">
        <f t="shared" si="26"/>
        <v>10.583598861014158</v>
      </c>
      <c r="T54" s="68">
        <f t="shared" si="27"/>
        <v>41.621520415006394</v>
      </c>
      <c r="U54" s="68">
        <f t="shared" si="28"/>
        <v>52.205119276020554</v>
      </c>
      <c r="W54" t="str">
        <f t="shared" si="29"/>
        <v>34 Culture, media and sports occupations</v>
      </c>
      <c r="X54" s="172">
        <f t="shared" ref="X54:AB54" si="51">X17/X$35*100</f>
        <v>1.9621419493936278</v>
      </c>
      <c r="Y54" s="172">
        <f t="shared" si="51"/>
        <v>1.9503379769963329</v>
      </c>
      <c r="Z54" s="172">
        <f t="shared" si="51"/>
        <v>2.1902004234046553</v>
      </c>
      <c r="AA54" s="172">
        <f t="shared" si="51"/>
        <v>2.0938841218224225</v>
      </c>
      <c r="AB54" s="172">
        <f t="shared" si="51"/>
        <v>2.2242872361724704</v>
      </c>
      <c r="AD54" s="67">
        <f t="shared" si="31"/>
        <v>10.280581366207029</v>
      </c>
      <c r="AE54" s="68">
        <f t="shared" si="32"/>
        <v>55.083661417645089</v>
      </c>
      <c r="AF54" s="68">
        <f t="shared" si="33"/>
        <v>65.36424278385212</v>
      </c>
    </row>
    <row r="55" spans="1:32" x14ac:dyDescent="0.3">
      <c r="A55" t="str">
        <f t="shared" si="19"/>
        <v>35 Business and public service associate professionals</v>
      </c>
      <c r="B55" s="172">
        <f t="shared" ref="B55:F64" si="52">B18/B$35*100</f>
        <v>6.0228427981015171</v>
      </c>
      <c r="C55" s="172">
        <f t="shared" si="52"/>
        <v>6.1783020304720901</v>
      </c>
      <c r="D55" s="172">
        <f t="shared" si="52"/>
        <v>6.443944531738441</v>
      </c>
      <c r="E55" s="172">
        <f t="shared" si="52"/>
        <v>6.0494002288787785</v>
      </c>
      <c r="F55" s="172">
        <f t="shared" si="52"/>
        <v>6.0694419180557118</v>
      </c>
      <c r="H55" s="67">
        <f t="shared" si="21"/>
        <v>1.1710450404613755</v>
      </c>
      <c r="I55" s="68">
        <f t="shared" si="22"/>
        <v>45.477912446282588</v>
      </c>
      <c r="J55" s="68">
        <f t="shared" si="23"/>
        <v>46.648957486743967</v>
      </c>
      <c r="L55" t="str">
        <f t="shared" si="24"/>
        <v>35 Business and public service associate professionals</v>
      </c>
      <c r="M55" s="172">
        <f t="shared" ref="M55:Q55" si="53">M18/M$35*100</f>
        <v>6.1393315050339954</v>
      </c>
      <c r="N55" s="172">
        <f t="shared" si="53"/>
        <v>6.2058139380176947</v>
      </c>
      <c r="O55" s="172">
        <f t="shared" si="53"/>
        <v>6.5539411369289517</v>
      </c>
      <c r="P55" s="172">
        <f t="shared" si="53"/>
        <v>5.9718102218363791</v>
      </c>
      <c r="Q55" s="172">
        <f t="shared" si="53"/>
        <v>5.7835408035700748</v>
      </c>
      <c r="S55" s="67">
        <f t="shared" si="26"/>
        <v>-6.1840258659427345</v>
      </c>
      <c r="T55" s="68">
        <f t="shared" si="27"/>
        <v>36.469776648872092</v>
      </c>
      <c r="U55" s="68">
        <f t="shared" si="28"/>
        <v>30.285750782929355</v>
      </c>
      <c r="W55" t="str">
        <f t="shared" si="29"/>
        <v>35 Business and public service associate professionals</v>
      </c>
      <c r="X55" s="172">
        <f t="shared" ref="X55:AB55" si="54">X18/X$35*100</f>
        <v>5.8935453599894805</v>
      </c>
      <c r="Y55" s="172">
        <f t="shared" si="54"/>
        <v>6.1482807250501148</v>
      </c>
      <c r="Z55" s="172">
        <f t="shared" si="54"/>
        <v>6.3263393092501481</v>
      </c>
      <c r="AA55" s="172">
        <f t="shared" si="54"/>
        <v>6.1318303228981055</v>
      </c>
      <c r="AB55" s="172">
        <f t="shared" si="54"/>
        <v>6.3687074251528237</v>
      </c>
      <c r="AD55" s="67">
        <f t="shared" si="31"/>
        <v>9.3177923368853843</v>
      </c>
      <c r="AE55" s="68">
        <f t="shared" si="32"/>
        <v>55.455655269872828</v>
      </c>
      <c r="AF55" s="68">
        <f t="shared" si="33"/>
        <v>64.773447606758211</v>
      </c>
    </row>
    <row r="56" spans="1:32" x14ac:dyDescent="0.3">
      <c r="A56" t="str">
        <f t="shared" si="19"/>
        <v>41 Administrative occupations</v>
      </c>
      <c r="B56" s="172">
        <f t="shared" si="52"/>
        <v>8.8640920675782517</v>
      </c>
      <c r="C56" s="172">
        <f t="shared" si="52"/>
        <v>8.3024343103895131</v>
      </c>
      <c r="D56" s="172">
        <f t="shared" si="52"/>
        <v>8.7658264963118189</v>
      </c>
      <c r="E56" s="172">
        <f t="shared" si="52"/>
        <v>7.8459135645307265</v>
      </c>
      <c r="F56" s="172">
        <f t="shared" si="52"/>
        <v>7.1457551841046003</v>
      </c>
      <c r="H56" s="67">
        <f t="shared" si="21"/>
        <v>-12.438229901630118</v>
      </c>
      <c r="I56" s="68">
        <f t="shared" si="22"/>
        <v>45.333312634266385</v>
      </c>
      <c r="J56" s="68">
        <f t="shared" si="23"/>
        <v>32.895082732636268</v>
      </c>
      <c r="L56" t="str">
        <f t="shared" si="24"/>
        <v>41 Administrative occupations</v>
      </c>
      <c r="M56" s="172">
        <f t="shared" ref="M56:Q56" si="55">M19/M$35*100</f>
        <v>5.0475254503260976</v>
      </c>
      <c r="N56" s="172">
        <f t="shared" si="55"/>
        <v>4.627032794241404</v>
      </c>
      <c r="O56" s="172">
        <f t="shared" si="55"/>
        <v>5.5607580647910844</v>
      </c>
      <c r="P56" s="172">
        <f t="shared" si="55"/>
        <v>5.1701293749301227</v>
      </c>
      <c r="Q56" s="172">
        <f t="shared" si="55"/>
        <v>5.3993850789136006</v>
      </c>
      <c r="S56" s="67">
        <f t="shared" si="26"/>
        <v>3.2275991377043329</v>
      </c>
      <c r="T56" s="68">
        <f t="shared" si="27"/>
        <v>36.808446663081362</v>
      </c>
      <c r="U56" s="68">
        <f t="shared" si="28"/>
        <v>40.036045800785693</v>
      </c>
      <c r="W56" t="str">
        <f t="shared" si="29"/>
        <v>41 Administrative occupations</v>
      </c>
      <c r="X56" s="172">
        <f t="shared" ref="X56:AB56" si="56">X19/X$35*100</f>
        <v>13.100316324754836</v>
      </c>
      <c r="Y56" s="172">
        <f t="shared" si="56"/>
        <v>12.313074113603438</v>
      </c>
      <c r="Z56" s="172">
        <f t="shared" si="56"/>
        <v>12.192593943601723</v>
      </c>
      <c r="AA56" s="172">
        <f t="shared" si="56"/>
        <v>10.688613942219821</v>
      </c>
      <c r="AB56" s="172">
        <f t="shared" si="56"/>
        <v>8.973759023996708</v>
      </c>
      <c r="AD56" s="67">
        <f t="shared" si="31"/>
        <v>-20.077266640820934</v>
      </c>
      <c r="AE56" s="68">
        <f t="shared" si="32"/>
        <v>49.4902432497517</v>
      </c>
      <c r="AF56" s="68">
        <f t="shared" si="33"/>
        <v>29.412976608930762</v>
      </c>
    </row>
    <row r="57" spans="1:32" x14ac:dyDescent="0.3">
      <c r="A57" t="str">
        <f t="shared" si="19"/>
        <v>42 Secretarial and related occupations</v>
      </c>
      <c r="B57" s="172">
        <f t="shared" si="52"/>
        <v>2.235308471355165</v>
      </c>
      <c r="C57" s="172">
        <f t="shared" si="52"/>
        <v>1.9549505288016724</v>
      </c>
      <c r="D57" s="172">
        <f t="shared" si="52"/>
        <v>1.9325200681724739</v>
      </c>
      <c r="E57" s="172">
        <f t="shared" si="52"/>
        <v>1.9637871985496114</v>
      </c>
      <c r="F57" s="172">
        <f t="shared" si="52"/>
        <v>1.5184641132306231</v>
      </c>
      <c r="H57" s="67">
        <f t="shared" si="21"/>
        <v>-15.600516356447628</v>
      </c>
      <c r="I57" s="68">
        <f t="shared" si="22"/>
        <v>51.61924939939464</v>
      </c>
      <c r="J57" s="68">
        <f t="shared" si="23"/>
        <v>36.018733042947019</v>
      </c>
      <c r="L57" t="str">
        <f t="shared" si="24"/>
        <v>42 Secretarial and related occupations</v>
      </c>
      <c r="M57" s="172">
        <f t="shared" ref="M57:Q57" si="57">M20/M$35*100</f>
        <v>0.32368404097506115</v>
      </c>
      <c r="N57" s="172">
        <f t="shared" si="57"/>
        <v>0.24438917459787698</v>
      </c>
      <c r="O57" s="172">
        <f t="shared" si="57"/>
        <v>0.23955020666621996</v>
      </c>
      <c r="P57" s="172">
        <f t="shared" si="57"/>
        <v>0.30815182596262258</v>
      </c>
      <c r="Q57" s="172">
        <f t="shared" si="57"/>
        <v>0.36215018497758034</v>
      </c>
      <c r="S57" s="67">
        <f t="shared" si="26"/>
        <v>60.722872799184714</v>
      </c>
      <c r="T57" s="68">
        <f t="shared" si="27"/>
        <v>45.821328029386173</v>
      </c>
      <c r="U57" s="68">
        <f t="shared" si="28"/>
        <v>106.54420082857088</v>
      </c>
      <c r="W57" t="str">
        <f t="shared" si="29"/>
        <v>42 Secretarial and related occupations</v>
      </c>
      <c r="X57" s="172">
        <f t="shared" ref="X57:AB57" si="58">X20/X$35*100</f>
        <v>4.3571291009183017</v>
      </c>
      <c r="Y57" s="172">
        <f t="shared" si="58"/>
        <v>3.8215344714994819</v>
      </c>
      <c r="Z57" s="172">
        <f t="shared" si="58"/>
        <v>3.7425949962450642</v>
      </c>
      <c r="AA57" s="172">
        <f t="shared" si="58"/>
        <v>3.7227015823254077</v>
      </c>
      <c r="AB57" s="172">
        <f t="shared" si="58"/>
        <v>2.7288297136747985</v>
      </c>
      <c r="AD57" s="67">
        <f t="shared" si="31"/>
        <v>-20.823620560735296</v>
      </c>
      <c r="AE57" s="68">
        <f t="shared" si="32"/>
        <v>52.016023544500676</v>
      </c>
      <c r="AF57" s="68">
        <f t="shared" si="33"/>
        <v>31.192402983765376</v>
      </c>
    </row>
    <row r="58" spans="1:32" x14ac:dyDescent="0.3">
      <c r="A58" t="str">
        <f t="shared" si="19"/>
        <v>51 Skilled agricultural and related trades</v>
      </c>
      <c r="B58" s="172">
        <f t="shared" si="52"/>
        <v>1.2026255314152567</v>
      </c>
      <c r="C58" s="172">
        <f t="shared" si="52"/>
        <v>1.1549992204956254</v>
      </c>
      <c r="D58" s="172">
        <f t="shared" si="52"/>
        <v>1.0763991410842981</v>
      </c>
      <c r="E58" s="172">
        <f t="shared" si="52"/>
        <v>1.0721769076092675</v>
      </c>
      <c r="F58" s="172">
        <f t="shared" si="52"/>
        <v>1.1272733679343854</v>
      </c>
      <c r="H58" s="67">
        <f t="shared" si="21"/>
        <v>12.490325640965859</v>
      </c>
      <c r="I58" s="68">
        <f t="shared" si="22"/>
        <v>58.121714309229723</v>
      </c>
      <c r="J58" s="68">
        <f t="shared" si="23"/>
        <v>70.61203995019558</v>
      </c>
      <c r="L58" t="str">
        <f t="shared" si="24"/>
        <v>51 Skilled agricultural and related trades</v>
      </c>
      <c r="M58" s="172">
        <f t="shared" ref="M58:Q58" si="59">M21/M$35*100</f>
        <v>1.9314210800150222</v>
      </c>
      <c r="N58" s="172">
        <f t="shared" si="59"/>
        <v>1.8759095672417581</v>
      </c>
      <c r="O58" s="172">
        <f t="shared" si="59"/>
        <v>1.6820150157124896</v>
      </c>
      <c r="P58" s="172">
        <f t="shared" si="59"/>
        <v>1.6371011342552699</v>
      </c>
      <c r="Q58" s="172">
        <f t="shared" si="59"/>
        <v>1.6850281883216085</v>
      </c>
      <c r="S58" s="67">
        <f t="shared" si="26"/>
        <v>6.503241720456189</v>
      </c>
      <c r="T58" s="68">
        <f t="shared" si="27"/>
        <v>52.520226271702164</v>
      </c>
      <c r="U58" s="68">
        <f t="shared" si="28"/>
        <v>59.023467992158352</v>
      </c>
      <c r="W58" t="str">
        <f t="shared" si="29"/>
        <v>51 Skilled agricultural and related trades</v>
      </c>
      <c r="X58" s="172">
        <f t="shared" ref="X58:AB58" si="60">X21/X$35*100</f>
        <v>0.39369392059393554</v>
      </c>
      <c r="Y58" s="172">
        <f t="shared" si="60"/>
        <v>0.36833367701537767</v>
      </c>
      <c r="Z58" s="172">
        <f t="shared" si="60"/>
        <v>0.42889197888830549</v>
      </c>
      <c r="AA58" s="172">
        <f t="shared" si="60"/>
        <v>0.47201254506701767</v>
      </c>
      <c r="AB58" s="172">
        <f t="shared" si="60"/>
        <v>0.54344640573690006</v>
      </c>
      <c r="AD58" s="67">
        <f t="shared" si="31"/>
        <v>37.594423320524207</v>
      </c>
      <c r="AE58" s="68">
        <f t="shared" si="32"/>
        <v>81.608992041089721</v>
      </c>
      <c r="AF58" s="68">
        <f t="shared" si="33"/>
        <v>119.20341536161392</v>
      </c>
    </row>
    <row r="59" spans="1:32" x14ac:dyDescent="0.3">
      <c r="A59" t="str">
        <f t="shared" si="19"/>
        <v>52 Skilled metal, electrical and electronic trades</v>
      </c>
      <c r="B59" s="172">
        <f t="shared" si="52"/>
        <v>3.6932621575439648</v>
      </c>
      <c r="C59" s="172">
        <f t="shared" si="52"/>
        <v>3.5694687556422218</v>
      </c>
      <c r="D59" s="172">
        <f t="shared" si="52"/>
        <v>3.1507601615278804</v>
      </c>
      <c r="E59" s="172">
        <f t="shared" si="52"/>
        <v>3.0287623275093591</v>
      </c>
      <c r="F59" s="172">
        <f t="shared" si="52"/>
        <v>2.7421366698199354</v>
      </c>
      <c r="H59" s="67">
        <f t="shared" si="21"/>
        <v>-6.5169182951339151</v>
      </c>
      <c r="I59" s="68">
        <f t="shared" si="22"/>
        <v>37.176036606377082</v>
      </c>
      <c r="J59" s="68">
        <f t="shared" si="23"/>
        <v>30.659118311243166</v>
      </c>
      <c r="L59" t="str">
        <f t="shared" si="24"/>
        <v>52 Skilled metal, electrical and electronic trades</v>
      </c>
      <c r="M59" s="172">
        <f t="shared" ref="M59:Q59" si="61">M22/M$35*100</f>
        <v>6.9021041158811443</v>
      </c>
      <c r="N59" s="172">
        <f t="shared" si="61"/>
        <v>6.6498449680018821</v>
      </c>
      <c r="O59" s="172">
        <f t="shared" si="61"/>
        <v>5.947260967491995</v>
      </c>
      <c r="P59" s="172">
        <f t="shared" si="61"/>
        <v>5.547509694252498</v>
      </c>
      <c r="Q59" s="172">
        <f t="shared" si="61"/>
        <v>4.9549289728776351</v>
      </c>
      <c r="S59" s="67">
        <f t="shared" si="26"/>
        <v>-11.426060230376677</v>
      </c>
      <c r="T59" s="68">
        <f t="shared" si="27"/>
        <v>34.758918575388051</v>
      </c>
      <c r="U59" s="68">
        <f t="shared" si="28"/>
        <v>23.332858345011367</v>
      </c>
      <c r="W59" t="str">
        <f t="shared" si="29"/>
        <v>52 Skilled metal, electrical and electronic trades</v>
      </c>
      <c r="X59" s="172">
        <f t="shared" ref="X59:AB59" si="62">X22/X$35*100</f>
        <v>0.13158604794656453</v>
      </c>
      <c r="Y59" s="172">
        <f t="shared" si="62"/>
        <v>0.20812730984814196</v>
      </c>
      <c r="Z59" s="172">
        <f t="shared" si="62"/>
        <v>0.16082152747159004</v>
      </c>
      <c r="AA59" s="172">
        <f t="shared" si="62"/>
        <v>0.3528947748975329</v>
      </c>
      <c r="AB59" s="172">
        <f t="shared" si="62"/>
        <v>0.42590781612529532</v>
      </c>
      <c r="AD59" s="67">
        <f t="shared" si="31"/>
        <v>187.58316780589982</v>
      </c>
      <c r="AE59" s="68">
        <f t="shared" si="32"/>
        <v>132.74524689203085</v>
      </c>
      <c r="AF59" s="68">
        <f t="shared" si="33"/>
        <v>320.32841469793061</v>
      </c>
    </row>
    <row r="60" spans="1:32" x14ac:dyDescent="0.3">
      <c r="A60" t="str">
        <f t="shared" si="19"/>
        <v>53 Skilled construction and building trades</v>
      </c>
      <c r="B60" s="172">
        <f t="shared" si="52"/>
        <v>3.2261809581898406</v>
      </c>
      <c r="C60" s="172">
        <f t="shared" si="52"/>
        <v>3.0378104730305111</v>
      </c>
      <c r="D60" s="172">
        <f t="shared" si="52"/>
        <v>2.5807277357228435</v>
      </c>
      <c r="E60" s="172">
        <f t="shared" si="52"/>
        <v>2.6279679865595518</v>
      </c>
      <c r="F60" s="172">
        <f t="shared" si="52"/>
        <v>2.3658280026474712</v>
      </c>
      <c r="H60" s="67">
        <f t="shared" si="21"/>
        <v>-1.5308365591271664</v>
      </c>
      <c r="I60" s="68">
        <f t="shared" si="22"/>
        <v>42.951701886232819</v>
      </c>
      <c r="J60" s="68">
        <f t="shared" si="23"/>
        <v>41.420865327105652</v>
      </c>
      <c r="L60" t="str">
        <f t="shared" si="24"/>
        <v>53 Skilled construction and building trades</v>
      </c>
      <c r="M60" s="172">
        <f t="shared" ref="M60:Q60" si="63">M23/M$35*100</f>
        <v>6.0349194144422542</v>
      </c>
      <c r="N60" s="172">
        <f t="shared" si="63"/>
        <v>5.706979228743629</v>
      </c>
      <c r="O60" s="172">
        <f t="shared" si="63"/>
        <v>4.8757088242844704</v>
      </c>
      <c r="P60" s="172">
        <f t="shared" si="63"/>
        <v>4.9725438128504429</v>
      </c>
      <c r="Q60" s="172">
        <f t="shared" si="63"/>
        <v>4.4746723313304271</v>
      </c>
      <c r="S60" s="67">
        <f t="shared" si="26"/>
        <v>-2.4316407537545022</v>
      </c>
      <c r="T60" s="68">
        <f t="shared" si="27"/>
        <v>42.434945847308484</v>
      </c>
      <c r="U60" s="68">
        <f t="shared" si="28"/>
        <v>40.003305093553983</v>
      </c>
      <c r="W60" t="str">
        <f t="shared" si="29"/>
        <v>53 Skilled construction and building trades</v>
      </c>
      <c r="X60" s="172">
        <f t="shared" ref="X60:AB60" si="64">X23/X$35*100</f>
        <v>0.10860247111294195</v>
      </c>
      <c r="Y60" s="172">
        <f t="shared" si="64"/>
        <v>0.12518326587380729</v>
      </c>
      <c r="Z60" s="172">
        <f t="shared" si="64"/>
        <v>0.12699963148464868</v>
      </c>
      <c r="AA60" s="172">
        <f t="shared" si="64"/>
        <v>0.13713684523626166</v>
      </c>
      <c r="AB60" s="172">
        <f t="shared" si="64"/>
        <v>0.15840615139819783</v>
      </c>
      <c r="AD60" s="67">
        <f t="shared" si="31"/>
        <v>35.444575873086102</v>
      </c>
      <c r="AE60" s="68">
        <f t="shared" si="32"/>
        <v>64.163045905310597</v>
      </c>
      <c r="AF60" s="68">
        <f t="shared" si="33"/>
        <v>99.607621778396719</v>
      </c>
    </row>
    <row r="61" spans="1:32" x14ac:dyDescent="0.3">
      <c r="A61" t="str">
        <f t="shared" si="19"/>
        <v>54 Textiles, printing and other skilled trades</v>
      </c>
      <c r="B61" s="172">
        <f t="shared" si="52"/>
        <v>2.2448511420862944</v>
      </c>
      <c r="C61" s="172">
        <f t="shared" si="52"/>
        <v>1.9491768152792577</v>
      </c>
      <c r="D61" s="172">
        <f t="shared" si="52"/>
        <v>1.8523875524480518</v>
      </c>
      <c r="E61" s="172">
        <f t="shared" si="52"/>
        <v>1.7940841980235402</v>
      </c>
      <c r="F61" s="172">
        <f t="shared" si="52"/>
        <v>1.7238309643015628</v>
      </c>
      <c r="H61" s="67">
        <f t="shared" si="21"/>
        <v>-4.0956170118252824E-2</v>
      </c>
      <c r="I61" s="68">
        <f t="shared" si="22"/>
        <v>42.690403717089062</v>
      </c>
      <c r="J61" s="68">
        <f t="shared" si="23"/>
        <v>42.649447546970812</v>
      </c>
      <c r="L61" t="str">
        <f t="shared" si="24"/>
        <v>54 Textiles, printing and other skilled trades</v>
      </c>
      <c r="M61" s="172">
        <f t="shared" ref="M61:Q61" si="65">M24/M$35*100</f>
        <v>2.7610824435824624</v>
      </c>
      <c r="N61" s="172">
        <f t="shared" si="65"/>
        <v>2.3940972495224062</v>
      </c>
      <c r="O61" s="172">
        <f t="shared" si="65"/>
        <v>2.131839625042411</v>
      </c>
      <c r="P61" s="172">
        <f t="shared" si="65"/>
        <v>2.0675812360712542</v>
      </c>
      <c r="Q61" s="172">
        <f t="shared" si="65"/>
        <v>1.9814373942809402</v>
      </c>
      <c r="S61" s="67">
        <f t="shared" si="26"/>
        <v>-1.1876223385776556</v>
      </c>
      <c r="T61" s="68">
        <f t="shared" si="27"/>
        <v>32.223582169063533</v>
      </c>
      <c r="U61" s="68">
        <f t="shared" si="28"/>
        <v>31.035959830485883</v>
      </c>
      <c r="W61" t="str">
        <f t="shared" si="29"/>
        <v>54 Textiles, printing and other skilled trades</v>
      </c>
      <c r="X61" s="172">
        <f t="shared" ref="X61:AB61" si="66">X24/X$35*100</f>
        <v>1.6718566732287423</v>
      </c>
      <c r="Y61" s="172">
        <f t="shared" si="66"/>
        <v>1.4636745932774415</v>
      </c>
      <c r="Z61" s="172">
        <f t="shared" si="66"/>
        <v>1.5536053935318037</v>
      </c>
      <c r="AA61" s="172">
        <f t="shared" si="66"/>
        <v>1.5035263360043589</v>
      </c>
      <c r="AB61" s="172">
        <f t="shared" si="66"/>
        <v>1.4541827712962867</v>
      </c>
      <c r="AD61" s="67">
        <f t="shared" si="31"/>
        <v>1.6413232621862486</v>
      </c>
      <c r="AE61" s="68">
        <f t="shared" si="32"/>
        <v>58.04632778302382</v>
      </c>
      <c r="AF61" s="68">
        <f t="shared" si="33"/>
        <v>59.687651045210067</v>
      </c>
    </row>
    <row r="62" spans="1:32" x14ac:dyDescent="0.3">
      <c r="A62" t="str">
        <f t="shared" si="19"/>
        <v>61 Caring personal service occupations</v>
      </c>
      <c r="B62" s="172">
        <f t="shared" si="52"/>
        <v>7.0670562822748888</v>
      </c>
      <c r="C62" s="172">
        <f t="shared" si="52"/>
        <v>6.8596883164152951</v>
      </c>
      <c r="D62" s="172">
        <f t="shared" si="52"/>
        <v>6.7650538367030473</v>
      </c>
      <c r="E62" s="172">
        <f t="shared" si="52"/>
        <v>7.1724765788582143</v>
      </c>
      <c r="F62" s="172">
        <f t="shared" si="52"/>
        <v>7.5378855789483845</v>
      </c>
      <c r="H62" s="67">
        <f t="shared" si="21"/>
        <v>19.684401789063649</v>
      </c>
      <c r="I62" s="68">
        <f t="shared" si="22"/>
        <v>62.286489030979631</v>
      </c>
      <c r="J62" s="68">
        <f t="shared" si="23"/>
        <v>81.97089082004328</v>
      </c>
      <c r="L62" t="str">
        <f t="shared" si="24"/>
        <v>61 Caring personal service occupations</v>
      </c>
      <c r="M62" s="172">
        <f t="shared" ref="M62:Q62" si="67">M25/M$35*100</f>
        <v>2.0788841760289825</v>
      </c>
      <c r="N62" s="172">
        <f t="shared" si="67"/>
        <v>2.0445842619546561</v>
      </c>
      <c r="O62" s="172">
        <f t="shared" si="67"/>
        <v>2.0465693924556421</v>
      </c>
      <c r="P62" s="172">
        <f t="shared" si="67"/>
        <v>2.459147222462613</v>
      </c>
      <c r="Q62" s="172">
        <f t="shared" si="67"/>
        <v>2.7737466015615406</v>
      </c>
      <c r="S62" s="67">
        <f t="shared" si="26"/>
        <v>44.087343149554023</v>
      </c>
      <c r="T62" s="68">
        <f t="shared" si="27"/>
        <v>56.802361828701962</v>
      </c>
      <c r="U62" s="68">
        <f t="shared" si="28"/>
        <v>100.88970497825601</v>
      </c>
      <c r="W62" t="str">
        <f t="shared" si="29"/>
        <v>61 Caring personal service occupations</v>
      </c>
      <c r="X62" s="172">
        <f t="shared" ref="X62:AB62" si="68">X25/X$35*100</f>
        <v>12.603712076498756</v>
      </c>
      <c r="Y62" s="172">
        <f t="shared" si="68"/>
        <v>12.113984450481103</v>
      </c>
      <c r="Z62" s="172">
        <f t="shared" si="68"/>
        <v>11.809922375256898</v>
      </c>
      <c r="AA62" s="172">
        <f t="shared" si="68"/>
        <v>12.179824777443109</v>
      </c>
      <c r="AB62" s="172">
        <f t="shared" si="68"/>
        <v>12.524723316582604</v>
      </c>
      <c r="AD62" s="67">
        <f t="shared" si="31"/>
        <v>15.163043390129664</v>
      </c>
      <c r="AE62" s="68">
        <f t="shared" si="32"/>
        <v>63.302583944315984</v>
      </c>
      <c r="AF62" s="68">
        <f t="shared" si="33"/>
        <v>78.465627334445642</v>
      </c>
    </row>
    <row r="63" spans="1:32" x14ac:dyDescent="0.3">
      <c r="A63" t="str">
        <f t="shared" si="19"/>
        <v>62 Leisure, travel and related personal service occupations</v>
      </c>
      <c r="B63" s="172">
        <f t="shared" si="52"/>
        <v>2.1836921712135111</v>
      </c>
      <c r="C63" s="172">
        <f t="shared" si="52"/>
        <v>2.2472633433785547</v>
      </c>
      <c r="D63" s="172">
        <f t="shared" si="52"/>
        <v>2.0843894378440386</v>
      </c>
      <c r="E63" s="172">
        <f t="shared" si="52"/>
        <v>2.0632868527266401</v>
      </c>
      <c r="F63" s="172">
        <f t="shared" si="52"/>
        <v>2.0491798183951042</v>
      </c>
      <c r="H63" s="67">
        <f t="shared" si="21"/>
        <v>5.5991630024024452</v>
      </c>
      <c r="I63" s="68">
        <f t="shared" si="22"/>
        <v>52.147685599389092</v>
      </c>
      <c r="J63" s="68">
        <f t="shared" si="23"/>
        <v>57.746848601791534</v>
      </c>
      <c r="L63" t="str">
        <f t="shared" si="24"/>
        <v>62 Leisure, travel and related personal service occupations</v>
      </c>
      <c r="M63" s="172">
        <f t="shared" ref="M63:Q63" si="69">M26/M$35*100</f>
        <v>1.2656884050510055</v>
      </c>
      <c r="N63" s="172">
        <f t="shared" si="69"/>
        <v>1.3646337742904608</v>
      </c>
      <c r="O63" s="172">
        <f t="shared" si="69"/>
        <v>1.3233475272656881</v>
      </c>
      <c r="P63" s="172">
        <f t="shared" si="69"/>
        <v>1.3347977822444181</v>
      </c>
      <c r="Q63" s="172">
        <f t="shared" si="69"/>
        <v>1.4107962257158202</v>
      </c>
      <c r="S63" s="67">
        <f t="shared" si="26"/>
        <v>13.338093754306682</v>
      </c>
      <c r="T63" s="68">
        <f t="shared" si="27"/>
        <v>46.151276661228756</v>
      </c>
      <c r="U63" s="68">
        <f t="shared" si="28"/>
        <v>59.489370415535433</v>
      </c>
      <c r="W63" t="str">
        <f t="shared" si="29"/>
        <v>62 Leisure, travel and related personal service occupations</v>
      </c>
      <c r="X63" s="172">
        <f t="shared" ref="X63:AB63" si="70">X26/X$35*100</f>
        <v>3.2026367390400283</v>
      </c>
      <c r="Y63" s="172">
        <f t="shared" si="70"/>
        <v>3.2103987357228787</v>
      </c>
      <c r="Z63" s="172">
        <f t="shared" si="70"/>
        <v>2.8980736698389848</v>
      </c>
      <c r="AA63" s="172">
        <f t="shared" si="70"/>
        <v>2.8372192811528807</v>
      </c>
      <c r="AB63" s="172">
        <f t="shared" si="70"/>
        <v>2.7174045293387215</v>
      </c>
      <c r="AD63" s="67">
        <f t="shared" si="31"/>
        <v>1.8208948660423356</v>
      </c>
      <c r="AE63" s="68">
        <f t="shared" si="32"/>
        <v>55.075227084117685</v>
      </c>
      <c r="AF63" s="68">
        <f t="shared" si="33"/>
        <v>56.896121950160016</v>
      </c>
    </row>
    <row r="64" spans="1:32" x14ac:dyDescent="0.3">
      <c r="A64" t="str">
        <f t="shared" si="19"/>
        <v>63 Community and civil enforcement occupations</v>
      </c>
      <c r="B64" s="172">
        <f t="shared" si="52"/>
        <v>0.10450301145261867</v>
      </c>
      <c r="C64" s="172">
        <f t="shared" si="52"/>
        <v>8.6245146363873745E-2</v>
      </c>
      <c r="D64" s="172">
        <f t="shared" si="52"/>
        <v>0.10993807509762164</v>
      </c>
      <c r="E64" s="172">
        <f t="shared" si="52"/>
        <v>8.7174774832040752E-2</v>
      </c>
      <c r="F64" s="172">
        <f t="shared" si="52"/>
        <v>8.9552472946634848E-2</v>
      </c>
      <c r="H64" s="67">
        <f t="shared" si="21"/>
        <v>-12.503894203436339</v>
      </c>
      <c r="I64" s="68">
        <f t="shared" si="22"/>
        <v>41.585385290313489</v>
      </c>
      <c r="J64" s="68">
        <f t="shared" si="23"/>
        <v>29.081491086877147</v>
      </c>
      <c r="L64" t="str">
        <f t="shared" si="24"/>
        <v>63 Community and civil enforcement occupations</v>
      </c>
      <c r="M64" s="172">
        <f t="shared" ref="M64:Q64" si="71">M27/M$35*100</f>
        <v>0.15149814184344204</v>
      </c>
      <c r="N64" s="172">
        <f t="shared" si="71"/>
        <v>0.10984276837974247</v>
      </c>
      <c r="O64" s="172">
        <f t="shared" si="71"/>
        <v>0.16372149464133795</v>
      </c>
      <c r="P64" s="172">
        <f t="shared" si="71"/>
        <v>0.10558744685013478</v>
      </c>
      <c r="Q64" s="172">
        <f t="shared" si="71"/>
        <v>0.11497467419318938</v>
      </c>
      <c r="S64" s="67">
        <f t="shared" si="26"/>
        <v>-25.341026946788542</v>
      </c>
      <c r="T64" s="68">
        <f t="shared" si="27"/>
        <v>29.488580621533323</v>
      </c>
      <c r="U64" s="68">
        <f t="shared" si="28"/>
        <v>4.1475536747447812</v>
      </c>
      <c r="W64" t="str">
        <f t="shared" si="29"/>
        <v>63 Community and civil enforcement occupations</v>
      </c>
      <c r="X64" s="172">
        <f t="shared" ref="X64:AB64" si="72">X27/X$35*100</f>
        <v>5.2340444597145791E-2</v>
      </c>
      <c r="Y64" s="172">
        <f t="shared" si="72"/>
        <v>6.0495153688998618E-2</v>
      </c>
      <c r="Z64" s="172">
        <f t="shared" si="72"/>
        <v>5.2434382045770063E-2</v>
      </c>
      <c r="AA64" s="172">
        <f t="shared" si="72"/>
        <v>6.7613515032567711E-2</v>
      </c>
      <c r="AB64" s="172">
        <f t="shared" si="72"/>
        <v>6.2941915792068731E-2</v>
      </c>
      <c r="AD64" s="67">
        <f t="shared" si="31"/>
        <v>30.351441829486959</v>
      </c>
      <c r="AE64" s="68">
        <f t="shared" si="32"/>
        <v>81.969218609608305</v>
      </c>
      <c r="AF64" s="68">
        <f t="shared" si="33"/>
        <v>112.32066043909528</v>
      </c>
    </row>
    <row r="65" spans="1:32" x14ac:dyDescent="0.3">
      <c r="A65" t="str">
        <f t="shared" si="19"/>
        <v>71 Sales occupations</v>
      </c>
      <c r="B65" s="172">
        <f t="shared" ref="B65:F70" si="73">B28/B$35*100</f>
        <v>6.9591621295945556</v>
      </c>
      <c r="C65" s="172">
        <f t="shared" si="73"/>
        <v>6.2984524195239961</v>
      </c>
      <c r="D65" s="172">
        <f t="shared" si="73"/>
        <v>6.239716240765552</v>
      </c>
      <c r="E65" s="172">
        <f t="shared" si="73"/>
        <v>5.6246028732848297</v>
      </c>
      <c r="F65" s="172">
        <f t="shared" si="73"/>
        <v>5.1294801566640293</v>
      </c>
      <c r="H65" s="67">
        <f t="shared" si="21"/>
        <v>-11.698560454163687</v>
      </c>
      <c r="I65" s="68">
        <f t="shared" si="22"/>
        <v>42.452619044662683</v>
      </c>
      <c r="J65" s="68">
        <f t="shared" si="23"/>
        <v>30.754058590498996</v>
      </c>
      <c r="L65" t="str">
        <f t="shared" si="24"/>
        <v>71 Sales occupations</v>
      </c>
      <c r="M65" s="172">
        <f t="shared" ref="M65:Q65" si="74">M28/M$35*100</f>
        <v>5.1827374553113854</v>
      </c>
      <c r="N65" s="172">
        <f t="shared" si="74"/>
        <v>4.9596347496565283</v>
      </c>
      <c r="O65" s="172">
        <f t="shared" si="74"/>
        <v>4.9412236186305671</v>
      </c>
      <c r="P65" s="172">
        <f t="shared" si="74"/>
        <v>4.5290874754116288</v>
      </c>
      <c r="Q65" s="172">
        <f t="shared" si="74"/>
        <v>4.2879540001261907</v>
      </c>
      <c r="S65" s="67">
        <f t="shared" si="26"/>
        <v>-7.7426163701380499</v>
      </c>
      <c r="T65" s="68">
        <f t="shared" si="27"/>
        <v>31.565590706279391</v>
      </c>
      <c r="U65" s="68">
        <f t="shared" si="28"/>
        <v>23.822974336141343</v>
      </c>
      <c r="W65" t="str">
        <f t="shared" si="29"/>
        <v>71 Sales occupations</v>
      </c>
      <c r="X65" s="172">
        <f t="shared" ref="X65:AB65" si="75">X28/X$35*100</f>
        <v>8.9309168638701895</v>
      </c>
      <c r="Y65" s="172">
        <f t="shared" si="75"/>
        <v>7.7593854393383914</v>
      </c>
      <c r="Z65" s="172">
        <f t="shared" si="75"/>
        <v>7.6280273932881855</v>
      </c>
      <c r="AA65" s="172">
        <f t="shared" si="75"/>
        <v>6.7884568370692415</v>
      </c>
      <c r="AB65" s="172">
        <f t="shared" si="75"/>
        <v>6.0103432915449035</v>
      </c>
      <c r="AD65" s="67">
        <f t="shared" si="31"/>
        <v>-14.438365966262765</v>
      </c>
      <c r="AE65" s="68">
        <f t="shared" si="32"/>
        <v>49.992750962179997</v>
      </c>
      <c r="AF65" s="68">
        <f t="shared" si="33"/>
        <v>35.554384995917239</v>
      </c>
    </row>
    <row r="66" spans="1:32" x14ac:dyDescent="0.3">
      <c r="A66" t="str">
        <f t="shared" si="19"/>
        <v>72 Customer service occupations</v>
      </c>
      <c r="B66" s="172">
        <f t="shared" si="73"/>
        <v>1.6195816784058334</v>
      </c>
      <c r="C66" s="172">
        <f t="shared" si="73"/>
        <v>1.667808189271889</v>
      </c>
      <c r="D66" s="172">
        <f t="shared" si="73"/>
        <v>1.7290885204458633</v>
      </c>
      <c r="E66" s="172">
        <f t="shared" si="73"/>
        <v>2.1603386951411347</v>
      </c>
      <c r="F66" s="172">
        <f t="shared" si="73"/>
        <v>2.3674217738395873</v>
      </c>
      <c r="H66" s="67">
        <f t="shared" si="21"/>
        <v>47.067828453339303</v>
      </c>
      <c r="I66" s="68">
        <f t="shared" si="22"/>
        <v>60.005630425058797</v>
      </c>
      <c r="J66" s="68">
        <f t="shared" si="23"/>
        <v>107.07345887839811</v>
      </c>
      <c r="L66" t="str">
        <f t="shared" si="24"/>
        <v>72 Customer service occupations</v>
      </c>
      <c r="M66" s="172">
        <f t="shared" ref="M66:Q66" si="76">M29/M$35*100</f>
        <v>1.233150819614971</v>
      </c>
      <c r="N66" s="172">
        <f t="shared" si="76"/>
        <v>1.1178043992677325</v>
      </c>
      <c r="O66" s="172">
        <f t="shared" si="76"/>
        <v>1.3138936706501942</v>
      </c>
      <c r="P66" s="172">
        <f t="shared" si="76"/>
        <v>1.769217351330904</v>
      </c>
      <c r="Q66" s="172">
        <f t="shared" si="76"/>
        <v>2.0169796115729595</v>
      </c>
      <c r="S66" s="67">
        <f t="shared" si="26"/>
        <v>63.202502072960264</v>
      </c>
      <c r="T66" s="68">
        <f t="shared" si="27"/>
        <v>48.892299576586552</v>
      </c>
      <c r="U66" s="68">
        <f t="shared" si="28"/>
        <v>112.09480164954681</v>
      </c>
      <c r="W66" t="str">
        <f t="shared" si="29"/>
        <v>72 Customer service occupations</v>
      </c>
      <c r="X66" s="172">
        <f t="shared" ref="X66:AB66" si="77">X29/X$35*100</f>
        <v>2.0485032568558523</v>
      </c>
      <c r="Y66" s="172">
        <f t="shared" si="77"/>
        <v>2.2679785604320304</v>
      </c>
      <c r="Z66" s="172">
        <f t="shared" si="77"/>
        <v>2.1730029721841491</v>
      </c>
      <c r="AA66" s="172">
        <f t="shared" si="77"/>
        <v>2.575858300979569</v>
      </c>
      <c r="AB66" s="172">
        <f t="shared" si="77"/>
        <v>2.7342452875835046</v>
      </c>
      <c r="AD66" s="67">
        <f t="shared" si="31"/>
        <v>36.637273609031809</v>
      </c>
      <c r="AE66" s="68">
        <f t="shared" si="32"/>
        <v>67.190046400909367</v>
      </c>
      <c r="AF66" s="68">
        <f t="shared" si="33"/>
        <v>103.82732000994118</v>
      </c>
    </row>
    <row r="67" spans="1:32" x14ac:dyDescent="0.3">
      <c r="A67" t="str">
        <f t="shared" si="19"/>
        <v>81 Process, plant and machine operatives</v>
      </c>
      <c r="B67" s="172">
        <f t="shared" si="73"/>
        <v>2.6876009696542966</v>
      </c>
      <c r="C67" s="172">
        <f t="shared" si="73"/>
        <v>2.4628865470442207</v>
      </c>
      <c r="D67" s="172">
        <f t="shared" si="73"/>
        <v>2.1874897985727717</v>
      </c>
      <c r="E67" s="172">
        <f t="shared" si="73"/>
        <v>2.5574510980503473</v>
      </c>
      <c r="F67" s="172">
        <f t="shared" si="73"/>
        <v>2.4138504881255138</v>
      </c>
      <c r="H67" s="67">
        <f t="shared" si="21"/>
        <v>18.528721546194618</v>
      </c>
      <c r="I67" s="68">
        <f t="shared" si="22"/>
        <v>46.23728227322686</v>
      </c>
      <c r="J67" s="68">
        <f t="shared" si="23"/>
        <v>64.766003819421485</v>
      </c>
      <c r="L67" t="str">
        <f t="shared" si="24"/>
        <v>81 Process, plant and machine operatives</v>
      </c>
      <c r="M67" s="172">
        <f t="shared" ref="M67:Q67" si="78">M30/M$35*100</f>
        <v>4.0118996604830173</v>
      </c>
      <c r="N67" s="172">
        <f t="shared" si="78"/>
        <v>3.6302989940261767</v>
      </c>
      <c r="O67" s="172">
        <f t="shared" si="78"/>
        <v>3.2725416068897415</v>
      </c>
      <c r="P67" s="172">
        <f t="shared" si="78"/>
        <v>3.7901485832202466</v>
      </c>
      <c r="Q67" s="172">
        <f t="shared" si="78"/>
        <v>3.5635641801138997</v>
      </c>
      <c r="S67" s="67">
        <f t="shared" si="26"/>
        <v>15.767041039881319</v>
      </c>
      <c r="T67" s="68">
        <f t="shared" si="27"/>
        <v>41.907752601926724</v>
      </c>
      <c r="U67" s="68">
        <f t="shared" si="28"/>
        <v>57.674793641808051</v>
      </c>
      <c r="W67" t="str">
        <f t="shared" si="29"/>
        <v>81 Process, plant and machine operatives</v>
      </c>
      <c r="X67" s="172">
        <f t="shared" ref="X67:AB67" si="79">X30/X$35*100</f>
        <v>1.2176865674068311</v>
      </c>
      <c r="Y67" s="172">
        <f t="shared" si="79"/>
        <v>1.1889928496992495</v>
      </c>
      <c r="Z67" s="172">
        <f t="shared" si="79"/>
        <v>1.0273834561320623</v>
      </c>
      <c r="AA67" s="172">
        <f t="shared" si="79"/>
        <v>1.247857588869828</v>
      </c>
      <c r="AB67" s="172">
        <f t="shared" si="79"/>
        <v>1.2103936507208073</v>
      </c>
      <c r="AD67" s="67">
        <f t="shared" si="31"/>
        <v>27.93403706401676</v>
      </c>
      <c r="AE67" s="68">
        <f t="shared" si="32"/>
        <v>60.982142335520173</v>
      </c>
      <c r="AF67" s="68">
        <f t="shared" si="33"/>
        <v>88.916179399536915</v>
      </c>
    </row>
    <row r="68" spans="1:32" x14ac:dyDescent="0.3">
      <c r="A68" t="str">
        <f t="shared" si="19"/>
        <v>82 Transport and mobile machine drivers and operatives</v>
      </c>
      <c r="B68" s="172">
        <f t="shared" si="73"/>
        <v>3.5906809433254629</v>
      </c>
      <c r="C68" s="172">
        <f t="shared" si="73"/>
        <v>3.7828930489139405</v>
      </c>
      <c r="D68" s="172">
        <f t="shared" si="73"/>
        <v>3.4087189761230521</v>
      </c>
      <c r="E68" s="172">
        <f t="shared" si="73"/>
        <v>3.5511484613804538</v>
      </c>
      <c r="F68" s="172">
        <f t="shared" si="73"/>
        <v>3.3860828972154824</v>
      </c>
      <c r="H68" s="67">
        <f t="shared" si="21"/>
        <v>6.7003041999247364</v>
      </c>
      <c r="I68" s="68">
        <f t="shared" si="22"/>
        <v>56.002299977259085</v>
      </c>
      <c r="J68" s="68">
        <f t="shared" si="23"/>
        <v>62.702604177183815</v>
      </c>
      <c r="L68" t="str">
        <f t="shared" si="24"/>
        <v>82 Transport and mobile machine drivers and operatives</v>
      </c>
      <c r="M68" s="172">
        <f t="shared" ref="M68:Q68" si="80">M31/M$35*100</f>
        <v>6.4079595285686315</v>
      </c>
      <c r="N68" s="172">
        <f t="shared" si="80"/>
        <v>6.8456044730373824</v>
      </c>
      <c r="O68" s="172">
        <f t="shared" si="80"/>
        <v>6.2075330095687242</v>
      </c>
      <c r="P68" s="172">
        <f t="shared" si="80"/>
        <v>6.3336156528689287</v>
      </c>
      <c r="Q68" s="172">
        <f t="shared" si="80"/>
        <v>6.0029183078483683</v>
      </c>
      <c r="S68" s="67">
        <f t="shared" si="26"/>
        <v>2.8084758052832317</v>
      </c>
      <c r="T68" s="68">
        <f t="shared" si="27"/>
        <v>53.747058505322997</v>
      </c>
      <c r="U68" s="68">
        <f t="shared" si="28"/>
        <v>56.555534310606234</v>
      </c>
      <c r="W68" t="str">
        <f t="shared" si="29"/>
        <v>82 Transport and mobile machine drivers and operatives</v>
      </c>
      <c r="X68" s="172">
        <f t="shared" ref="X68:AB68" si="81">X31/X$35*100</f>
        <v>0.46362328158235627</v>
      </c>
      <c r="Y68" s="172">
        <f t="shared" si="81"/>
        <v>0.44082762031260059</v>
      </c>
      <c r="Z68" s="172">
        <f t="shared" si="81"/>
        <v>0.41630710544131139</v>
      </c>
      <c r="AA68" s="172">
        <f t="shared" si="81"/>
        <v>0.59511016543245532</v>
      </c>
      <c r="AB68" s="172">
        <f t="shared" si="81"/>
        <v>0.64692401858858606</v>
      </c>
      <c r="AD68" s="67">
        <f t="shared" si="31"/>
        <v>68.745223306477712</v>
      </c>
      <c r="AE68" s="68">
        <f t="shared" si="32"/>
        <v>91.956165488051496</v>
      </c>
      <c r="AF68" s="68">
        <f t="shared" si="33"/>
        <v>160.70138879452921</v>
      </c>
    </row>
    <row r="69" spans="1:32" x14ac:dyDescent="0.3">
      <c r="A69" t="str">
        <f t="shared" si="19"/>
        <v>91 Elementary trades and related occupations</v>
      </c>
      <c r="B69" s="172">
        <f t="shared" si="73"/>
        <v>1.7421175014837154</v>
      </c>
      <c r="C69" s="172">
        <f t="shared" si="73"/>
        <v>1.47936423163002</v>
      </c>
      <c r="D69" s="172">
        <f t="shared" si="73"/>
        <v>1.328975143612257</v>
      </c>
      <c r="E69" s="172">
        <f t="shared" si="73"/>
        <v>1.0823102493969246</v>
      </c>
      <c r="F69" s="172">
        <f t="shared" si="73"/>
        <v>0.98023687702960582</v>
      </c>
      <c r="H69" s="67">
        <f t="shared" si="21"/>
        <v>-20.772956753506456</v>
      </c>
      <c r="I69" s="68">
        <f t="shared" si="22"/>
        <v>32.87592121533703</v>
      </c>
      <c r="J69" s="68">
        <f t="shared" si="23"/>
        <v>12.102964461830574</v>
      </c>
      <c r="L69" t="str">
        <f t="shared" si="24"/>
        <v>91 Elementary trades and related occupations</v>
      </c>
      <c r="M69" s="172">
        <f t="shared" ref="M69:Q70" si="82">M32/M$35*100</f>
        <v>2.5522773098781246</v>
      </c>
      <c r="N69" s="172">
        <f t="shared" si="82"/>
        <v>2.1904229405042241</v>
      </c>
      <c r="O69" s="172">
        <f t="shared" si="82"/>
        <v>2.0272103503334749</v>
      </c>
      <c r="P69" s="172">
        <f t="shared" si="82"/>
        <v>1.6379591649253491</v>
      </c>
      <c r="Q69" s="172">
        <f t="shared" si="82"/>
        <v>1.4884535888562167</v>
      </c>
      <c r="S69" s="67">
        <f t="shared" si="26"/>
        <v>-21.941175366215862</v>
      </c>
      <c r="T69" s="68">
        <f t="shared" si="27"/>
        <v>27.310528138498412</v>
      </c>
      <c r="U69" s="68">
        <f t="shared" si="28"/>
        <v>5.3693527722825509</v>
      </c>
      <c r="W69" t="str">
        <f t="shared" si="29"/>
        <v>91 Elementary trades and related occupations</v>
      </c>
      <c r="X69" s="172">
        <f t="shared" ref="X69:AB70" si="83">X32/X$35*100</f>
        <v>0.84287507322475497</v>
      </c>
      <c r="Y69" s="172">
        <f t="shared" si="83"/>
        <v>0.7034489070856853</v>
      </c>
      <c r="Z69" s="172">
        <f t="shared" si="83"/>
        <v>0.58244204203702155</v>
      </c>
      <c r="AA69" s="172">
        <f t="shared" si="83"/>
        <v>0.49199979455006915</v>
      </c>
      <c r="AB69" s="172">
        <f t="shared" si="83"/>
        <v>0.44826367275011086</v>
      </c>
      <c r="AD69" s="67">
        <f t="shared" si="31"/>
        <v>-16.425677420552304</v>
      </c>
      <c r="AE69" s="68">
        <f t="shared" si="32"/>
        <v>53.586358490936739</v>
      </c>
      <c r="AF69" s="68">
        <f t="shared" si="33"/>
        <v>37.160681070384435</v>
      </c>
    </row>
    <row r="70" spans="1:32" x14ac:dyDescent="0.3">
      <c r="A70" t="str">
        <f t="shared" si="19"/>
        <v>92 Elementary administration and service occupations</v>
      </c>
      <c r="B70" s="172">
        <f t="shared" si="73"/>
        <v>10.059722932736722</v>
      </c>
      <c r="C70" s="172">
        <f t="shared" si="73"/>
        <v>9.6637852559213169</v>
      </c>
      <c r="D70" s="172">
        <f t="shared" si="73"/>
        <v>8.9593365812105432</v>
      </c>
      <c r="E70" s="172">
        <f t="shared" si="73"/>
        <v>8.894236162961116</v>
      </c>
      <c r="F70" s="172">
        <f t="shared" si="73"/>
        <v>8.2133526476101366</v>
      </c>
      <c r="H70" s="67">
        <f t="shared" si="21"/>
        <v>-1.5300114459853476</v>
      </c>
      <c r="I70" s="68">
        <f t="shared" si="22"/>
        <v>49.003679380166744</v>
      </c>
      <c r="J70" s="68">
        <f t="shared" si="23"/>
        <v>47.473667934181393</v>
      </c>
      <c r="L70" t="str">
        <f t="shared" si="24"/>
        <v>92 Elementary administration and service occupations</v>
      </c>
      <c r="M70" s="172">
        <f t="shared" si="82"/>
        <v>9.4123961271503482</v>
      </c>
      <c r="N70" s="172">
        <f t="shared" si="82"/>
        <v>8.8280046376088777</v>
      </c>
      <c r="O70" s="172">
        <f t="shared" si="82"/>
        <v>8.4804719295265905</v>
      </c>
      <c r="P70" s="172">
        <f t="shared" si="82"/>
        <v>8.7963519292824905</v>
      </c>
      <c r="Q70" s="172">
        <f t="shared" si="82"/>
        <v>8.149471500194565</v>
      </c>
      <c r="S70" s="67">
        <f t="shared" si="26"/>
        <v>2.1633086120810203</v>
      </c>
      <c r="T70" s="68">
        <f t="shared" si="27"/>
        <v>41.838941451957083</v>
      </c>
      <c r="U70" s="68">
        <f t="shared" si="28"/>
        <v>44.002250064038108</v>
      </c>
      <c r="W70" t="str">
        <f t="shared" si="29"/>
        <v>92 Elementary administration and service occupations</v>
      </c>
      <c r="X70" s="172">
        <f t="shared" si="83"/>
        <v>10.778227754256124</v>
      </c>
      <c r="Y70" s="172">
        <f t="shared" si="83"/>
        <v>10.575798542042909</v>
      </c>
      <c r="Z70" s="172">
        <f t="shared" si="83"/>
        <v>9.4713249630841254</v>
      </c>
      <c r="AA70" s="172">
        <f t="shared" si="83"/>
        <v>8.998226443316792</v>
      </c>
      <c r="AB70" s="172">
        <f t="shared" si="83"/>
        <v>8.280219906975903</v>
      </c>
      <c r="AD70" s="67">
        <f t="shared" si="31"/>
        <v>-5.0656963485014286</v>
      </c>
      <c r="AE70" s="68">
        <f t="shared" si="32"/>
        <v>55.862618038334531</v>
      </c>
      <c r="AF70" s="68">
        <f t="shared" si="33"/>
        <v>50.796921689833106</v>
      </c>
    </row>
    <row r="71" spans="1:32" x14ac:dyDescent="0.3">
      <c r="H71" s="67"/>
      <c r="I71" s="68"/>
      <c r="J71" s="68"/>
      <c r="S71" s="67"/>
      <c r="T71" s="68"/>
      <c r="U71" s="68"/>
      <c r="AD71" s="67"/>
      <c r="AE71" s="68"/>
      <c r="AF71" s="68"/>
    </row>
    <row r="72" spans="1:32" x14ac:dyDescent="0.3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7.4135993491124177</v>
      </c>
      <c r="I72" s="66">
        <f>IF(D35&gt;0,I35/D35*100,0)</f>
        <v>50.134014886311022</v>
      </c>
      <c r="J72" s="66">
        <f>IF(D35&gt;0,(J35/D35)*100,0)</f>
        <v>57.547614235423403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84">IF(O35&gt;0,(S35/O35)*100,0)</f>
        <v>6.3127922947679007</v>
      </c>
      <c r="T72" s="66">
        <f t="shared" ref="T72" si="85">IF(O35&gt;0,T35/O35*100,0)</f>
        <v>41.820074575834532</v>
      </c>
      <c r="U72" s="66">
        <f t="shared" ref="U72" si="86">IF(O35&gt;0,(U35/O35)*100,0)</f>
        <v>48.132866870602442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87">IF(Z35&gt;0,(AD35/Z35)*100,0)</f>
        <v>8.5905507497366838</v>
      </c>
      <c r="AE72" s="66">
        <f t="shared" ref="AE72" si="88">IF(Z35&gt;0,AE35/Z35*100,0)</f>
        <v>59.023041945597456</v>
      </c>
      <c r="AF72" s="66">
        <f t="shared" ref="AF72" si="89">IF(Z35&gt;0,(AF35/Z35)*100,0)</f>
        <v>67.613592695334177</v>
      </c>
    </row>
    <row r="73" spans="1:32" x14ac:dyDescent="0.3">
      <c r="B73" s="17"/>
      <c r="C73" s="17"/>
      <c r="D73" s="17"/>
      <c r="E73" s="17"/>
      <c r="F73" s="17"/>
      <c r="M73" s="17"/>
      <c r="N73" s="17"/>
      <c r="O73" s="17"/>
      <c r="P73" s="17"/>
      <c r="Q73" s="17"/>
      <c r="X73" s="17"/>
      <c r="Y73" s="17"/>
      <c r="Z73" s="17"/>
      <c r="AA73" s="17"/>
      <c r="AB73" s="17"/>
    </row>
    <row r="74" spans="1:32" x14ac:dyDescent="0.3">
      <c r="B74" s="17"/>
      <c r="C74" s="17"/>
      <c r="D74" s="17"/>
      <c r="E74" s="17"/>
      <c r="F74" s="17"/>
      <c r="M74" s="17"/>
      <c r="N74" s="17"/>
      <c r="O74" s="17"/>
      <c r="P74" s="17"/>
      <c r="Q74" s="17"/>
      <c r="X74" s="17"/>
      <c r="Y74" s="17"/>
      <c r="Z74" s="17"/>
      <c r="AA74" s="17"/>
      <c r="AB74" s="17"/>
    </row>
    <row r="75" spans="1:32" ht="15.45" x14ac:dyDescent="0.4">
      <c r="A75" s="18" t="str">
        <f>CONCATENATE(A$1," (Continued)")</f>
        <v>Occupation Table 2  Employment Change by Occupation (SOC 2020) and Replacement Demand, 2015-2035, United Kingdom (Continued)</v>
      </c>
      <c r="B75" s="17"/>
      <c r="C75" s="17"/>
      <c r="D75" s="17"/>
      <c r="E75" s="17"/>
      <c r="F75" s="17"/>
      <c r="L75" s="18" t="str">
        <f>CONCATENATE(L$1," (Continued)")</f>
        <v>Occupation Table 2.1  Males: Employment Change by Occupation (SOC 2020) and Replacement Demand, 2015-2035, United Kingdom (Continued)</v>
      </c>
      <c r="M75" s="17"/>
      <c r="N75" s="17"/>
      <c r="O75" s="17"/>
      <c r="P75" s="17"/>
      <c r="Q75" s="17"/>
      <c r="W75" s="18" t="str">
        <f>CONCATENATE(W$1," (Continued)")</f>
        <v>Occupation Table 2.2  Females: Employment Change by Occupation (SOC 2020) and Replacement Demand, 2015-2035, United Kingdom (Continued)</v>
      </c>
      <c r="X75" s="17"/>
      <c r="Y75" s="17"/>
      <c r="Z75" s="17"/>
      <c r="AA75" s="17"/>
      <c r="AB75" s="17"/>
    </row>
    <row r="77" spans="1:32" x14ac:dyDescent="0.3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</row>
    <row r="78" spans="1:32" x14ac:dyDescent="0.3">
      <c r="A78" s="35"/>
      <c r="B78" s="35"/>
      <c r="C78" s="35"/>
      <c r="D78" s="35"/>
      <c r="E78" s="35"/>
      <c r="F78" s="35"/>
      <c r="H78" s="98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98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98" t="str">
        <f>$H$4</f>
        <v>2020-2035</v>
      </c>
      <c r="AE78" s="35"/>
      <c r="AF78" s="35"/>
    </row>
    <row r="79" spans="1:32" x14ac:dyDescent="0.3">
      <c r="H79" s="15" t="str">
        <f t="shared" ref="H79:J80" si="90">H42</f>
        <v>Net</v>
      </c>
      <c r="I79" s="15" t="str">
        <f t="shared" si="90"/>
        <v>Replacement</v>
      </c>
      <c r="J79" s="15" t="str">
        <f t="shared" si="90"/>
        <v>Total</v>
      </c>
      <c r="S79" s="15" t="str">
        <f t="shared" ref="S79:U79" si="91">S42</f>
        <v>Net</v>
      </c>
      <c r="T79" s="15" t="str">
        <f t="shared" si="91"/>
        <v>Replacement</v>
      </c>
      <c r="U79" s="15" t="str">
        <f t="shared" si="91"/>
        <v>Total</v>
      </c>
      <c r="AD79" s="15" t="str">
        <f t="shared" ref="AD79:AF79" si="92">AD42</f>
        <v>Net</v>
      </c>
      <c r="AE79" s="15" t="str">
        <f t="shared" si="92"/>
        <v>Replacement</v>
      </c>
      <c r="AF79" s="15" t="str">
        <f t="shared" si="92"/>
        <v>Total</v>
      </c>
    </row>
    <row r="80" spans="1:32" x14ac:dyDescent="0.3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CONCATENATE(D$6,"-",F$6)</f>
        <v>2020-2035</v>
      </c>
      <c r="H80" s="62" t="str">
        <f t="shared" si="90"/>
        <v>Change</v>
      </c>
      <c r="I80" s="62" t="str">
        <f t="shared" si="90"/>
        <v>Demand</v>
      </c>
      <c r="J80" s="62" t="str">
        <f t="shared" si="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CONCATENATE(O$6,"-",Q$6)</f>
        <v>2020-2035</v>
      </c>
      <c r="S80" s="62" t="str">
        <f t="shared" ref="S80:U80" si="93">S43</f>
        <v>Change</v>
      </c>
      <c r="T80" s="62" t="str">
        <f t="shared" si="93"/>
        <v>Demand</v>
      </c>
      <c r="U80" s="62" t="str">
        <f t="shared" si="93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CONCATENATE(Z$6,"-",AB$6)</f>
        <v>2020-2035</v>
      </c>
      <c r="AD80" s="62" t="str">
        <f t="shared" ref="AD80:AF80" si="94">AD43</f>
        <v>Change</v>
      </c>
      <c r="AE80" s="62" t="str">
        <f t="shared" si="94"/>
        <v>Demand</v>
      </c>
      <c r="AF80" s="62" t="str">
        <f t="shared" si="94"/>
        <v>Requirement</v>
      </c>
    </row>
    <row r="82" spans="1:32" x14ac:dyDescent="0.3">
      <c r="A82" t="str">
        <f t="shared" ref="A82:A107" si="95">A8</f>
        <v>11 Corporate managers and directors</v>
      </c>
      <c r="B82" s="17">
        <f t="shared" ref="B82:E107" si="96">IF(AND(C$6-B$6 &lt;&gt; 0,B8&lt;&gt;0,C8&lt;&gt;0),(EXP(LN(C8/B8)/(C$6-B$6))-1)*100,0)</f>
        <v>4.3252746724655511</v>
      </c>
      <c r="C82" s="17">
        <f t="shared" si="96"/>
        <v>2.3269742606755628</v>
      </c>
      <c r="D82" s="17">
        <f t="shared" si="96"/>
        <v>-1.2365415030614946</v>
      </c>
      <c r="E82" s="17">
        <f t="shared" si="96"/>
        <v>0.92025895871956642</v>
      </c>
      <c r="F82" s="17">
        <f t="shared" ref="F82:F107" si="97">IF(AND(F$6-D$6 &lt;&gt; 0,D8&lt;&gt;0,F8&lt;&gt;0),(EXP(LN(F8/D8)/(F$6-D$6))-1)*100,0)</f>
        <v>0.19614226132442791</v>
      </c>
      <c r="H82" s="17">
        <f t="shared" ref="H82:H107" si="98">IF($F$6-$D$6 &lt;&gt; 0,(EXP(LN(1+(H45/100))/($F$6-$D$6))-1)*100,0)</f>
        <v>0.19614226132442791</v>
      </c>
      <c r="I82" s="17">
        <f t="shared" ref="I82:I107" si="99">IF(D8&gt;0,((1+(I8/D8))^(1/($F$6-$D$6))-1)*100,0)</f>
        <v>2.7369528121141906</v>
      </c>
      <c r="J82" s="17">
        <f t="shared" ref="J82:J107" si="100">IF($F$6-$D$6 &lt;&gt; 0,(EXP(LN(1+(J45/100))/($F$6-$D$6))-1)*100,0)</f>
        <v>2.8719643127437466</v>
      </c>
      <c r="K82" s="39"/>
      <c r="L82" t="str">
        <f t="shared" ref="L82:L107" si="101">L8</f>
        <v>11 Corporate managers and directors</v>
      </c>
      <c r="M82" s="17">
        <f t="shared" ref="M82:P107" si="102">IF(AND(N$6-M$6 &lt;&gt; 0,M8&lt;&gt;0,N8&lt;&gt;0),(EXP(LN(N8/M8)/(N$6-M$6))-1)*100,0)</f>
        <v>3.3087622169105435</v>
      </c>
      <c r="N82" s="17">
        <f t="shared" si="102"/>
        <v>1.4916520465644068</v>
      </c>
      <c r="O82" s="17">
        <f t="shared" si="102"/>
        <v>-1.9051203078030543</v>
      </c>
      <c r="P82" s="17">
        <f t="shared" si="102"/>
        <v>0.51055922625067307</v>
      </c>
      <c r="Q82" s="17">
        <f t="shared" ref="Q82:Q107" si="103">IF(AND(Q$6-O$6 &lt;&gt; 0,O8&lt;&gt;0,Q8&lt;&gt;0),(EXP(LN(Q8/O8)/(Q$6-O$6))-1)*100,0)</f>
        <v>-0.30120578635519646</v>
      </c>
      <c r="S82" s="17">
        <f t="shared" ref="S82:S107" si="104">IF($F$6-$D$6 &lt;&gt; 0,(EXP(LN(1+(S45/100))/($F$6-$D$6))-1)*100,0)</f>
        <v>-0.30120578635519646</v>
      </c>
      <c r="T82" s="17">
        <f t="shared" ref="T82:T107" si="105">IF(O8&gt;0,((1+(T8/O8))^(1/($F$6-$D$6))-1)*100,0)</f>
        <v>2.4433850594649531</v>
      </c>
      <c r="U82" s="17">
        <f t="shared" ref="U82:U107" si="106">IF($F$6-$D$6 &lt;&gt; 0,(EXP(LN(1+(U45/100))/($F$6-$D$6))-1)*100,0)</f>
        <v>2.229944183307575</v>
      </c>
      <c r="W82" t="str">
        <f t="shared" ref="W82:W107" si="107">W8</f>
        <v>11 Corporate managers and directors</v>
      </c>
      <c r="X82" s="17">
        <f t="shared" ref="X82:AA107" si="108">IF(AND(Y$6-X$6 &lt;&gt; 0,X8&lt;&gt;0,Y8&lt;&gt;0),(EXP(LN(Y8/X8)/(Y$6-X$6))-1)*100,0)</f>
        <v>6.5165161443080155</v>
      </c>
      <c r="Y82" s="17">
        <f t="shared" si="108"/>
        <v>3.9954631796053963</v>
      </c>
      <c r="Z82" s="17">
        <f t="shared" si="108"/>
        <v>1.6986194857970816E-2</v>
      </c>
      <c r="AA82" s="17">
        <f t="shared" si="108"/>
        <v>1.6103279303084861</v>
      </c>
      <c r="AB82" s="17">
        <f t="shared" ref="AB82:AB107" si="109">IF(AND(AB$6-Z$6 &lt;&gt; 0,Z8&lt;&gt;0,AB8&lt;&gt;0),(EXP(LN(AB8/Z8)/(AB$6-Z$6))-1)*100,0)</f>
        <v>1.0764134629706268</v>
      </c>
      <c r="AD82" s="17">
        <f t="shared" ref="AD82:AD107" si="110">IF($F$6-$D$6 &lt;&gt; 0,(EXP(LN(1+(AD45/100))/($F$6-$D$6))-1)*100,0)</f>
        <v>1.0764134629706046</v>
      </c>
      <c r="AE82" s="17">
        <f t="shared" ref="AE82:AE107" si="111">IF(Z8&gt;0,((1+(AE8/Z8))^(1/($F$6-$D$6))-1)*100,0)</f>
        <v>3.2775347563452684</v>
      </c>
      <c r="AF82" s="17">
        <f t="shared" ref="AF82:AF107" si="112">IF($F$6-$D$6 &lt;&gt; 0,(EXP(LN(1+(AF45/100))/($F$6-$D$6))-1)*100,0)</f>
        <v>3.9823054506276545</v>
      </c>
    </row>
    <row r="83" spans="1:32" x14ac:dyDescent="0.3">
      <c r="A83" t="str">
        <f t="shared" si="95"/>
        <v>12 Other managers and proprietors</v>
      </c>
      <c r="B83" s="17">
        <f t="shared" si="96"/>
        <v>1.7472361396536185</v>
      </c>
      <c r="C83" s="17">
        <f t="shared" si="96"/>
        <v>0.84936105059427724</v>
      </c>
      <c r="D83" s="17">
        <f t="shared" si="96"/>
        <v>4.3787288241069477</v>
      </c>
      <c r="E83" s="17">
        <f t="shared" si="96"/>
        <v>1.4601736894761741</v>
      </c>
      <c r="F83" s="17">
        <f t="shared" si="97"/>
        <v>2.4238434770714523</v>
      </c>
      <c r="H83" s="17">
        <f t="shared" si="98"/>
        <v>2.4238434770714523</v>
      </c>
      <c r="I83" s="17">
        <f t="shared" si="99"/>
        <v>3.6861815583446589</v>
      </c>
      <c r="J83" s="17">
        <f t="shared" si="100"/>
        <v>5.2465567749554021</v>
      </c>
      <c r="K83" s="39"/>
      <c r="L83" t="str">
        <f t="shared" si="101"/>
        <v>12 Other managers and proprietors</v>
      </c>
      <c r="M83" s="17">
        <f t="shared" si="102"/>
        <v>1.4437661849828087</v>
      </c>
      <c r="N83" s="17">
        <f t="shared" si="102"/>
        <v>-1.8434262300547566</v>
      </c>
      <c r="O83" s="17">
        <f t="shared" si="102"/>
        <v>4.9421201915057056</v>
      </c>
      <c r="P83" s="17">
        <f t="shared" si="102"/>
        <v>1.3988024550247946</v>
      </c>
      <c r="Q83" s="17">
        <f t="shared" si="103"/>
        <v>2.5664117162725653</v>
      </c>
      <c r="S83" s="17">
        <f t="shared" si="104"/>
        <v>2.5664117162725653</v>
      </c>
      <c r="T83" s="17">
        <f t="shared" si="105"/>
        <v>3.4550520538539464</v>
      </c>
      <c r="U83" s="17">
        <f t="shared" si="106"/>
        <v>5.1598336156594149</v>
      </c>
      <c r="W83" t="str">
        <f t="shared" si="107"/>
        <v>12 Other managers and proprietors</v>
      </c>
      <c r="X83" s="17">
        <f t="shared" si="108"/>
        <v>2.20838996966779</v>
      </c>
      <c r="Y83" s="17">
        <f t="shared" si="108"/>
        <v>4.8652559590541378</v>
      </c>
      <c r="Z83" s="17">
        <f t="shared" si="108"/>
        <v>3.571335484373761</v>
      </c>
      <c r="AA83" s="17">
        <f t="shared" si="108"/>
        <v>1.5510501204475169</v>
      </c>
      <c r="AB83" s="17">
        <f t="shared" si="109"/>
        <v>2.220061495341219</v>
      </c>
      <c r="AD83" s="17">
        <f t="shared" si="110"/>
        <v>2.220061495341219</v>
      </c>
      <c r="AE83" s="17">
        <f t="shared" si="111"/>
        <v>3.9972221156095333</v>
      </c>
      <c r="AF83" s="17">
        <f t="shared" si="112"/>
        <v>5.3659686118822547</v>
      </c>
    </row>
    <row r="84" spans="1:32" x14ac:dyDescent="0.3">
      <c r="A84" t="str">
        <f t="shared" si="95"/>
        <v>21 Science, research, engineering and technology professionals</v>
      </c>
      <c r="B84" s="17">
        <f t="shared" si="96"/>
        <v>3.5993517181990065</v>
      </c>
      <c r="C84" s="17">
        <f t="shared" si="96"/>
        <v>4.3243384334865409</v>
      </c>
      <c r="D84" s="17">
        <f t="shared" si="96"/>
        <v>1.2436736033912821</v>
      </c>
      <c r="E84" s="17">
        <f t="shared" si="96"/>
        <v>1.0589756184114174</v>
      </c>
      <c r="F84" s="17">
        <f t="shared" si="97"/>
        <v>1.1205041449081854</v>
      </c>
      <c r="H84" s="17">
        <f t="shared" si="98"/>
        <v>1.1205041449081854</v>
      </c>
      <c r="I84" s="17">
        <f t="shared" si="99"/>
        <v>2.3278072109301107</v>
      </c>
      <c r="J84" s="17">
        <f t="shared" si="100"/>
        <v>3.157767863989358</v>
      </c>
      <c r="K84" s="39"/>
      <c r="L84" t="str">
        <f t="shared" si="101"/>
        <v>21 Science, research, engineering and technology professionals</v>
      </c>
      <c r="M84" s="17">
        <f t="shared" si="102"/>
        <v>3.8203530573112765</v>
      </c>
      <c r="N84" s="17">
        <f t="shared" si="102"/>
        <v>-0.16141615462965664</v>
      </c>
      <c r="O84" s="17">
        <f t="shared" si="102"/>
        <v>0.53129814089303284</v>
      </c>
      <c r="P84" s="17">
        <f t="shared" si="102"/>
        <v>0.78203244813135342</v>
      </c>
      <c r="Q84" s="17">
        <f t="shared" si="103"/>
        <v>0.6983849388027652</v>
      </c>
      <c r="S84" s="17">
        <f t="shared" si="104"/>
        <v>0.6983849388027652</v>
      </c>
      <c r="T84" s="17">
        <f t="shared" si="105"/>
        <v>1.9941113734374127</v>
      </c>
      <c r="U84" s="17">
        <f t="shared" si="106"/>
        <v>2.5303338070314707</v>
      </c>
      <c r="W84" t="str">
        <f t="shared" si="107"/>
        <v>21 Science, research, engineering and technology professionals</v>
      </c>
      <c r="X84" s="17">
        <f t="shared" si="108"/>
        <v>2.7334499715849558</v>
      </c>
      <c r="Y84" s="17">
        <f t="shared" si="108"/>
        <v>22.369205261021506</v>
      </c>
      <c r="Z84" s="17">
        <f t="shared" si="108"/>
        <v>3.4507062749322248</v>
      </c>
      <c r="AA84" s="17">
        <f t="shared" si="108"/>
        <v>1.8113438233906987</v>
      </c>
      <c r="AB84" s="17">
        <f t="shared" si="109"/>
        <v>2.3548909379822458</v>
      </c>
      <c r="AD84" s="17">
        <f t="shared" si="110"/>
        <v>2.3548909379822458</v>
      </c>
      <c r="AE84" s="17">
        <f t="shared" si="111"/>
        <v>3.3270762877238846</v>
      </c>
      <c r="AF84" s="17">
        <f t="shared" si="112"/>
        <v>4.9077390956149269</v>
      </c>
    </row>
    <row r="85" spans="1:32" x14ac:dyDescent="0.3">
      <c r="A85" t="str">
        <f t="shared" si="95"/>
        <v>22 Health professionals</v>
      </c>
      <c r="B85" s="17">
        <f t="shared" si="96"/>
        <v>3.5410592570446875</v>
      </c>
      <c r="C85" s="17">
        <f t="shared" si="96"/>
        <v>0.4355317614940013</v>
      </c>
      <c r="D85" s="17">
        <f t="shared" si="96"/>
        <v>1.6114636846249253</v>
      </c>
      <c r="E85" s="17">
        <f t="shared" si="96"/>
        <v>0.92450721513159806</v>
      </c>
      <c r="F85" s="17">
        <f t="shared" si="97"/>
        <v>1.1529751203581684</v>
      </c>
      <c r="H85" s="17">
        <f t="shared" si="98"/>
        <v>1.1529751203581684</v>
      </c>
      <c r="I85" s="17">
        <f t="shared" si="99"/>
        <v>3.1361016333364411</v>
      </c>
      <c r="J85" s="17">
        <f t="shared" si="100"/>
        <v>3.9063135340317245</v>
      </c>
      <c r="K85" s="39"/>
      <c r="L85" t="str">
        <f t="shared" si="101"/>
        <v>22 Health professionals</v>
      </c>
      <c r="M85" s="17">
        <f t="shared" si="102"/>
        <v>3.5109927326563595</v>
      </c>
      <c r="N85" s="17">
        <f t="shared" si="102"/>
        <v>9.6265934738853929</v>
      </c>
      <c r="O85" s="17">
        <f t="shared" si="102"/>
        <v>1.4487975025359701</v>
      </c>
      <c r="P85" s="17">
        <f t="shared" si="102"/>
        <v>0.92534593638837759</v>
      </c>
      <c r="Q85" s="17">
        <f t="shared" si="103"/>
        <v>1.099529003158084</v>
      </c>
      <c r="S85" s="17">
        <f t="shared" si="104"/>
        <v>1.099529003158084</v>
      </c>
      <c r="T85" s="17">
        <f t="shared" si="105"/>
        <v>2.3635865884601648</v>
      </c>
      <c r="U85" s="17">
        <f t="shared" si="106"/>
        <v>3.1739403205518713</v>
      </c>
      <c r="W85" t="str">
        <f t="shared" si="107"/>
        <v>22 Health professionals</v>
      </c>
      <c r="X85" s="17">
        <f t="shared" si="108"/>
        <v>3.5507274637402109</v>
      </c>
      <c r="Y85" s="17">
        <f t="shared" si="108"/>
        <v>-2.5171161272168452</v>
      </c>
      <c r="Z85" s="17">
        <f t="shared" si="108"/>
        <v>1.6699750382467071</v>
      </c>
      <c r="AA85" s="17">
        <f t="shared" si="108"/>
        <v>0.92420747550878701</v>
      </c>
      <c r="AB85" s="17">
        <f t="shared" si="109"/>
        <v>1.1721868575655714</v>
      </c>
      <c r="AD85" s="17">
        <f t="shared" si="110"/>
        <v>1.1721868575655714</v>
      </c>
      <c r="AE85" s="17">
        <f t="shared" si="111"/>
        <v>3.3963722714278166</v>
      </c>
      <c r="AF85" s="17">
        <f t="shared" si="112"/>
        <v>4.1540571938570414</v>
      </c>
    </row>
    <row r="86" spans="1:32" x14ac:dyDescent="0.3">
      <c r="A86" t="str">
        <f t="shared" si="95"/>
        <v>23 Teaching and other educational professionals</v>
      </c>
      <c r="B86" s="17">
        <f t="shared" si="96"/>
        <v>1.3936350751263982</v>
      </c>
      <c r="C86" s="17">
        <f t="shared" si="96"/>
        <v>4.2320034461313494</v>
      </c>
      <c r="D86" s="17">
        <f t="shared" si="96"/>
        <v>1.0299033339533414</v>
      </c>
      <c r="E86" s="17">
        <f t="shared" si="96"/>
        <v>0.86731289982115989</v>
      </c>
      <c r="F86" s="17">
        <f t="shared" si="97"/>
        <v>0.92148061686943006</v>
      </c>
      <c r="H86" s="17">
        <f t="shared" si="98"/>
        <v>0.92148061686943006</v>
      </c>
      <c r="I86" s="17">
        <f t="shared" si="99"/>
        <v>2.9546510327718378</v>
      </c>
      <c r="J86" s="17">
        <f t="shared" si="100"/>
        <v>3.5813658670979187</v>
      </c>
      <c r="K86" s="39"/>
      <c r="L86" t="str">
        <f t="shared" si="101"/>
        <v>23 Teaching and other educational professionals</v>
      </c>
      <c r="M86" s="17">
        <f t="shared" si="102"/>
        <v>-0.1427308474390987</v>
      </c>
      <c r="N86" s="17">
        <f t="shared" si="102"/>
        <v>5.8306258070575323</v>
      </c>
      <c r="O86" s="17">
        <f t="shared" si="102"/>
        <v>1.6893047419943574</v>
      </c>
      <c r="P86" s="17">
        <f t="shared" si="102"/>
        <v>0.72737503754674027</v>
      </c>
      <c r="Q86" s="17">
        <f t="shared" si="103"/>
        <v>1.0470029568453221</v>
      </c>
      <c r="S86" s="17">
        <f t="shared" si="104"/>
        <v>1.0470029568453221</v>
      </c>
      <c r="T86" s="17">
        <f t="shared" si="105"/>
        <v>2.5971080927999601</v>
      </c>
      <c r="U86" s="17">
        <f t="shared" si="106"/>
        <v>3.3450439562752843</v>
      </c>
      <c r="W86" t="str">
        <f t="shared" si="107"/>
        <v>23 Teaching and other educational professionals</v>
      </c>
      <c r="X86" s="17">
        <f t="shared" si="108"/>
        <v>2.1528067808930462</v>
      </c>
      <c r="Y86" s="17">
        <f t="shared" si="108"/>
        <v>3.485784087722732</v>
      </c>
      <c r="Z86" s="17">
        <f t="shared" si="108"/>
        <v>0.70895916293469696</v>
      </c>
      <c r="AA86" s="17">
        <f t="shared" si="108"/>
        <v>0.93677794859499119</v>
      </c>
      <c r="AB86" s="17">
        <f t="shared" si="109"/>
        <v>0.8607811486152972</v>
      </c>
      <c r="AD86" s="17">
        <f t="shared" si="110"/>
        <v>0.8607811486152972</v>
      </c>
      <c r="AE86" s="17">
        <f t="shared" si="111"/>
        <v>3.1193845041267876</v>
      </c>
      <c r="AF86" s="17">
        <f t="shared" si="112"/>
        <v>3.6915693445822573</v>
      </c>
    </row>
    <row r="87" spans="1:32" x14ac:dyDescent="0.3">
      <c r="A87" t="str">
        <f t="shared" si="95"/>
        <v>24 Business, media and public service professionals</v>
      </c>
      <c r="B87" s="17">
        <f t="shared" si="96"/>
        <v>4.3216024079724358</v>
      </c>
      <c r="C87" s="17">
        <f t="shared" si="96"/>
        <v>8.1138065089213498</v>
      </c>
      <c r="D87" s="17">
        <f t="shared" si="96"/>
        <v>2.3642569897410981</v>
      </c>
      <c r="E87" s="17">
        <f t="shared" si="96"/>
        <v>1.1598892199511601</v>
      </c>
      <c r="F87" s="17">
        <f t="shared" si="97"/>
        <v>1.5597624086441053</v>
      </c>
      <c r="H87" s="17">
        <f t="shared" si="98"/>
        <v>1.5597624086441053</v>
      </c>
      <c r="I87" s="17">
        <f t="shared" si="99"/>
        <v>2.979738218339234</v>
      </c>
      <c r="J87" s="17">
        <f t="shared" si="100"/>
        <v>4.0527577310288443</v>
      </c>
      <c r="K87" s="39"/>
      <c r="L87" t="str">
        <f t="shared" si="101"/>
        <v>24 Business, media and public service professionals</v>
      </c>
      <c r="M87" s="17">
        <f t="shared" si="102"/>
        <v>3.2766465764604735</v>
      </c>
      <c r="N87" s="17">
        <f t="shared" si="102"/>
        <v>5.8231749893951967</v>
      </c>
      <c r="O87" s="17">
        <f t="shared" si="102"/>
        <v>2.4256530491879147</v>
      </c>
      <c r="P87" s="17">
        <f t="shared" si="102"/>
        <v>0.86950042070907951</v>
      </c>
      <c r="Q87" s="17">
        <f t="shared" si="103"/>
        <v>1.3855731083277423</v>
      </c>
      <c r="S87" s="17">
        <f t="shared" si="104"/>
        <v>1.3855731083277423</v>
      </c>
      <c r="T87" s="17">
        <f t="shared" si="105"/>
        <v>2.6660639163920807</v>
      </c>
      <c r="U87" s="17">
        <f t="shared" si="106"/>
        <v>3.6540818413089315</v>
      </c>
      <c r="W87" t="str">
        <f t="shared" si="107"/>
        <v>24 Business, media and public service professionals</v>
      </c>
      <c r="X87" s="17">
        <f t="shared" si="108"/>
        <v>5.7358442406340915</v>
      </c>
      <c r="Y87" s="17">
        <f t="shared" si="108"/>
        <v>11.036965317971958</v>
      </c>
      <c r="Z87" s="17">
        <f t="shared" si="108"/>
        <v>2.2893871103669028</v>
      </c>
      <c r="AA87" s="17">
        <f t="shared" si="108"/>
        <v>1.5055031986574319</v>
      </c>
      <c r="AB87" s="17">
        <f t="shared" si="109"/>
        <v>1.7661280843652927</v>
      </c>
      <c r="AD87" s="17">
        <f t="shared" si="110"/>
        <v>1.7661280843652927</v>
      </c>
      <c r="AE87" s="17">
        <f t="shared" si="111"/>
        <v>3.3440445330263691</v>
      </c>
      <c r="AF87" s="17">
        <f t="shared" si="112"/>
        <v>4.5104758296069081</v>
      </c>
    </row>
    <row r="88" spans="1:32" x14ac:dyDescent="0.3">
      <c r="A88" t="str">
        <f t="shared" si="95"/>
        <v>31 Science, engineering and technology associate professionals</v>
      </c>
      <c r="B88" s="17">
        <f t="shared" si="96"/>
        <v>4.1868979922759619</v>
      </c>
      <c r="C88" s="17">
        <f t="shared" si="96"/>
        <v>8.4676457353655366</v>
      </c>
      <c r="D88" s="17">
        <f t="shared" si="96"/>
        <v>-2.3769802181573874</v>
      </c>
      <c r="E88" s="17">
        <f t="shared" si="96"/>
        <v>0.70301696920449519</v>
      </c>
      <c r="F88" s="17">
        <f t="shared" si="97"/>
        <v>-0.33429715990578313</v>
      </c>
      <c r="H88" s="17">
        <f t="shared" si="98"/>
        <v>-0.33429715990578313</v>
      </c>
      <c r="I88" s="17">
        <f t="shared" si="99"/>
        <v>2.1557071088902813</v>
      </c>
      <c r="J88" s="17">
        <f t="shared" si="100"/>
        <v>1.9093079460006601</v>
      </c>
      <c r="K88" s="39"/>
      <c r="L88" t="str">
        <f t="shared" si="101"/>
        <v>31 Science, engineering and technology associate professionals</v>
      </c>
      <c r="M88" s="17">
        <f t="shared" si="102"/>
        <v>5.0974467553938085</v>
      </c>
      <c r="N88" s="17">
        <f t="shared" si="102"/>
        <v>3.9312776881267331</v>
      </c>
      <c r="O88" s="17">
        <f t="shared" si="102"/>
        <v>-3.7409928484839039</v>
      </c>
      <c r="P88" s="17">
        <f t="shared" si="102"/>
        <v>0.19485254525457574</v>
      </c>
      <c r="Q88" s="17">
        <f t="shared" si="103"/>
        <v>-1.1346595373290969</v>
      </c>
      <c r="S88" s="17">
        <f t="shared" si="104"/>
        <v>-1.1346595373290969</v>
      </c>
      <c r="T88" s="17">
        <f t="shared" si="105"/>
        <v>1.8087077791031581</v>
      </c>
      <c r="U88" s="17">
        <f t="shared" si="106"/>
        <v>0.94298530895249311</v>
      </c>
      <c r="W88" t="str">
        <f t="shared" si="107"/>
        <v>31 Science, engineering and technology associate professionals</v>
      </c>
      <c r="X88" s="17">
        <f t="shared" si="108"/>
        <v>1.645599208422599</v>
      </c>
      <c r="Y88" s="17">
        <f t="shared" si="108"/>
        <v>22.235451144108744</v>
      </c>
      <c r="Z88" s="17">
        <f t="shared" si="108"/>
        <v>0.82835959428573247</v>
      </c>
      <c r="AA88" s="17">
        <f t="shared" si="108"/>
        <v>1.6762134346540059</v>
      </c>
      <c r="AB88" s="17">
        <f t="shared" si="109"/>
        <v>1.3928062669277042</v>
      </c>
      <c r="AD88" s="17">
        <f t="shared" si="110"/>
        <v>1.3928062669277042</v>
      </c>
      <c r="AE88" s="17">
        <f t="shared" si="111"/>
        <v>2.9817288023500588</v>
      </c>
      <c r="AF88" s="17">
        <f t="shared" si="112"/>
        <v>3.9360331766167933</v>
      </c>
    </row>
    <row r="89" spans="1:32" x14ac:dyDescent="0.3">
      <c r="A89" t="str">
        <f t="shared" si="95"/>
        <v>32 Health and social care associate professionals</v>
      </c>
      <c r="B89" s="17">
        <f t="shared" si="96"/>
        <v>2.8280917183757692</v>
      </c>
      <c r="C89" s="17">
        <f t="shared" si="96"/>
        <v>2.8844327978024831</v>
      </c>
      <c r="D89" s="17">
        <f t="shared" si="96"/>
        <v>0.35456790543306749</v>
      </c>
      <c r="E89" s="17">
        <f t="shared" si="96"/>
        <v>0.95504469384506407</v>
      </c>
      <c r="F89" s="17">
        <f t="shared" si="97"/>
        <v>0.75448760189016362</v>
      </c>
      <c r="H89" s="17">
        <f t="shared" si="98"/>
        <v>0.75448760189016362</v>
      </c>
      <c r="I89" s="17">
        <f t="shared" si="99"/>
        <v>3.184068047600408</v>
      </c>
      <c r="J89" s="17">
        <f t="shared" si="100"/>
        <v>3.6800697755665635</v>
      </c>
      <c r="K89" s="39"/>
      <c r="L89" t="str">
        <f t="shared" si="101"/>
        <v>32 Health and social care associate professionals</v>
      </c>
      <c r="M89" s="17">
        <f t="shared" si="102"/>
        <v>0.7032889715488766</v>
      </c>
      <c r="N89" s="17">
        <f t="shared" si="102"/>
        <v>10.389663292595653</v>
      </c>
      <c r="O89" s="17">
        <f t="shared" si="102"/>
        <v>-1.6815665420242931</v>
      </c>
      <c r="P89" s="17">
        <f t="shared" si="102"/>
        <v>0.64462241509934959</v>
      </c>
      <c r="Q89" s="17">
        <f t="shared" si="103"/>
        <v>-0.1368256994833672</v>
      </c>
      <c r="S89" s="17">
        <f t="shared" si="104"/>
        <v>-0.1368256994833672</v>
      </c>
      <c r="T89" s="17">
        <f t="shared" si="105"/>
        <v>2.5072489272804477</v>
      </c>
      <c r="U89" s="17">
        <f t="shared" si="106"/>
        <v>2.4107978783032724</v>
      </c>
      <c r="W89" t="str">
        <f t="shared" si="107"/>
        <v>32 Health and social care associate professionals</v>
      </c>
      <c r="X89" s="17">
        <f t="shared" si="108"/>
        <v>3.4461751357185655</v>
      </c>
      <c r="Y89" s="17">
        <f t="shared" si="108"/>
        <v>0.84360215428422869</v>
      </c>
      <c r="Z89" s="17">
        <f t="shared" si="108"/>
        <v>0.92991221119602674</v>
      </c>
      <c r="AA89" s="17">
        <f t="shared" si="108"/>
        <v>1.0346986100158384</v>
      </c>
      <c r="AB89" s="17">
        <f t="shared" si="109"/>
        <v>0.99975772817904041</v>
      </c>
      <c r="AD89" s="17">
        <f t="shared" si="110"/>
        <v>0.99975772817904041</v>
      </c>
      <c r="AE89" s="17">
        <f t="shared" si="111"/>
        <v>3.3740700434042203</v>
      </c>
      <c r="AF89" s="17">
        <f t="shared" si="112"/>
        <v>4.0192827918044571</v>
      </c>
    </row>
    <row r="90" spans="1:32" x14ac:dyDescent="0.3">
      <c r="A90" t="str">
        <f t="shared" si="95"/>
        <v>33 Protective service occupations</v>
      </c>
      <c r="B90" s="17">
        <f t="shared" si="96"/>
        <v>0.75536777330638127</v>
      </c>
      <c r="C90" s="17">
        <f t="shared" si="96"/>
        <v>6.0094082307210694</v>
      </c>
      <c r="D90" s="17">
        <f t="shared" si="96"/>
        <v>3.4875923942541576</v>
      </c>
      <c r="E90" s="17">
        <f t="shared" si="96"/>
        <v>1.3866856932667426</v>
      </c>
      <c r="F90" s="17">
        <f t="shared" si="97"/>
        <v>2.0822056987987558</v>
      </c>
      <c r="H90" s="17">
        <f t="shared" si="98"/>
        <v>2.0822056987987558</v>
      </c>
      <c r="I90" s="17">
        <f t="shared" si="99"/>
        <v>2.3902457681496569</v>
      </c>
      <c r="J90" s="17">
        <f t="shared" si="100"/>
        <v>3.9478328607280622</v>
      </c>
      <c r="K90" s="39"/>
      <c r="L90" t="str">
        <f t="shared" si="101"/>
        <v>33 Protective service occupations</v>
      </c>
      <c r="M90" s="17">
        <f t="shared" si="102"/>
        <v>9.9364835930471074E-2</v>
      </c>
      <c r="N90" s="17">
        <f t="shared" si="102"/>
        <v>3.923566061031547</v>
      </c>
      <c r="O90" s="17">
        <f t="shared" si="102"/>
        <v>2.5909528822137817</v>
      </c>
      <c r="P90" s="17">
        <f t="shared" si="102"/>
        <v>0.73927731337570801</v>
      </c>
      <c r="Q90" s="17">
        <f t="shared" si="103"/>
        <v>1.3527589413654839</v>
      </c>
      <c r="S90" s="17">
        <f t="shared" si="104"/>
        <v>1.3527589413654839</v>
      </c>
      <c r="T90" s="17">
        <f t="shared" si="105"/>
        <v>1.8961645569273822</v>
      </c>
      <c r="U90" s="17">
        <f t="shared" si="106"/>
        <v>2.959327144548074</v>
      </c>
      <c r="W90" t="str">
        <f t="shared" si="107"/>
        <v>33 Protective service occupations</v>
      </c>
      <c r="X90" s="17">
        <f t="shared" si="108"/>
        <v>2.8801822921563636</v>
      </c>
      <c r="Y90" s="17">
        <f t="shared" si="108"/>
        <v>12.319741656774784</v>
      </c>
      <c r="Z90" s="17">
        <f t="shared" si="108"/>
        <v>5.8444913360305994</v>
      </c>
      <c r="AA90" s="17">
        <f t="shared" si="108"/>
        <v>2.8010051530658497</v>
      </c>
      <c r="AB90" s="17">
        <f t="shared" si="109"/>
        <v>3.8056504483941822</v>
      </c>
      <c r="AD90" s="17">
        <f t="shared" si="110"/>
        <v>3.8056504483941822</v>
      </c>
      <c r="AE90" s="17">
        <f t="shared" si="111"/>
        <v>3.6187638202652028</v>
      </c>
      <c r="AF90" s="17">
        <f t="shared" si="112"/>
        <v>6.1719342482178252</v>
      </c>
    </row>
    <row r="91" spans="1:32" x14ac:dyDescent="0.3">
      <c r="A91" t="str">
        <f t="shared" si="95"/>
        <v>34 Culture, media and sports occupations</v>
      </c>
      <c r="B91" s="17">
        <f t="shared" si="96"/>
        <v>0.5487900366243581</v>
      </c>
      <c r="C91" s="17">
        <f t="shared" si="96"/>
        <v>6.5708763059698194</v>
      </c>
      <c r="D91" s="17">
        <f t="shared" si="96"/>
        <v>-0.12346884112900414</v>
      </c>
      <c r="E91" s="17">
        <f t="shared" si="96"/>
        <v>1.0598795627649871</v>
      </c>
      <c r="F91" s="17">
        <f t="shared" si="97"/>
        <v>0.66388041453961932</v>
      </c>
      <c r="H91" s="17">
        <f t="shared" si="98"/>
        <v>0.66388041453961932</v>
      </c>
      <c r="I91" s="17">
        <f t="shared" si="99"/>
        <v>2.6592839895411391</v>
      </c>
      <c r="J91" s="17">
        <f t="shared" si="100"/>
        <v>3.1258772133063051</v>
      </c>
      <c r="K91" s="39"/>
      <c r="L91" t="str">
        <f t="shared" si="101"/>
        <v>34 Culture, media and sports occupations</v>
      </c>
      <c r="M91" s="17">
        <f t="shared" si="102"/>
        <v>-0.10273378275016398</v>
      </c>
      <c r="N91" s="17">
        <f t="shared" si="102"/>
        <v>1.6014406884011567</v>
      </c>
      <c r="O91" s="17">
        <f t="shared" si="102"/>
        <v>-8.0543521811193841E-3</v>
      </c>
      <c r="P91" s="17">
        <f t="shared" si="102"/>
        <v>1.0151614904031492</v>
      </c>
      <c r="Q91" s="17">
        <f t="shared" si="103"/>
        <v>0.67293140817616948</v>
      </c>
      <c r="S91" s="17">
        <f t="shared" si="104"/>
        <v>0.67293140817616948</v>
      </c>
      <c r="T91" s="17">
        <f t="shared" si="105"/>
        <v>2.3470392092647341</v>
      </c>
      <c r="U91" s="17">
        <f t="shared" si="106"/>
        <v>2.8399722189470955</v>
      </c>
      <c r="W91" t="str">
        <f t="shared" si="107"/>
        <v>34 Culture, media and sports occupations</v>
      </c>
      <c r="X91" s="17">
        <f t="shared" si="108"/>
        <v>1.3191709280678809</v>
      </c>
      <c r="Y91" s="17">
        <f t="shared" si="108"/>
        <v>12.242945948702232</v>
      </c>
      <c r="Z91" s="17">
        <f t="shared" si="108"/>
        <v>-0.24327558345439426</v>
      </c>
      <c r="AA91" s="17">
        <f t="shared" si="108"/>
        <v>1.1064389654274365</v>
      </c>
      <c r="AB91" s="17">
        <f t="shared" si="109"/>
        <v>0.65451714195476907</v>
      </c>
      <c r="AD91" s="17">
        <f t="shared" si="110"/>
        <v>0.65451714195476907</v>
      </c>
      <c r="AE91" s="17">
        <f t="shared" si="111"/>
        <v>2.9685040022365161</v>
      </c>
      <c r="AF91" s="17">
        <f t="shared" si="112"/>
        <v>3.4100561087998305</v>
      </c>
    </row>
    <row r="92" spans="1:32" x14ac:dyDescent="0.3">
      <c r="A92" t="str">
        <f t="shared" si="95"/>
        <v>35 Business and public service associate professionals</v>
      </c>
      <c r="B92" s="17">
        <f t="shared" si="96"/>
        <v>1.8930948261273395</v>
      </c>
      <c r="C92" s="17">
        <f t="shared" si="96"/>
        <v>3.1492970001906873</v>
      </c>
      <c r="D92" s="17">
        <f t="shared" si="96"/>
        <v>-0.67124649555362348</v>
      </c>
      <c r="E92" s="17">
        <f t="shared" si="96"/>
        <v>0.45420728934773003</v>
      </c>
      <c r="F92" s="17">
        <f t="shared" si="97"/>
        <v>7.7646220584459691E-2</v>
      </c>
      <c r="H92" s="17">
        <f t="shared" si="98"/>
        <v>7.7646220584459691E-2</v>
      </c>
      <c r="I92" s="17">
        <f t="shared" si="99"/>
        <v>2.5305146622362162</v>
      </c>
      <c r="J92" s="17">
        <f t="shared" si="100"/>
        <v>2.585331296099147</v>
      </c>
      <c r="K92" s="39"/>
      <c r="L92" t="str">
        <f t="shared" si="101"/>
        <v>35 Business and public service associate professionals</v>
      </c>
      <c r="M92" s="17">
        <f t="shared" si="102"/>
        <v>1.3133961606970557</v>
      </c>
      <c r="N92" s="17">
        <f t="shared" si="102"/>
        <v>3.4254259614352689</v>
      </c>
      <c r="O92" s="17">
        <f t="shared" si="102"/>
        <v>-1.3230650601393834</v>
      </c>
      <c r="P92" s="17">
        <f t="shared" si="102"/>
        <v>2.76011335584192E-2</v>
      </c>
      <c r="Q92" s="17">
        <f t="shared" si="103"/>
        <v>-0.42466271057735039</v>
      </c>
      <c r="S92" s="17">
        <f t="shared" si="104"/>
        <v>-0.42466271057735039</v>
      </c>
      <c r="T92" s="17">
        <f t="shared" si="105"/>
        <v>2.0945200989881174</v>
      </c>
      <c r="U92" s="17">
        <f t="shared" si="106"/>
        <v>1.7793785167568466</v>
      </c>
      <c r="W92" t="str">
        <f t="shared" si="107"/>
        <v>35 Business and public service associate professionals</v>
      </c>
      <c r="X92" s="17">
        <f t="shared" si="108"/>
        <v>2.5512665215294383</v>
      </c>
      <c r="Y92" s="17">
        <f t="shared" si="108"/>
        <v>2.8451623584065944</v>
      </c>
      <c r="Z92" s="17">
        <f t="shared" si="108"/>
        <v>3.1309193484840847E-2</v>
      </c>
      <c r="AA92" s="17">
        <f t="shared" si="108"/>
        <v>0.87907906079469633</v>
      </c>
      <c r="AB92" s="17">
        <f t="shared" si="109"/>
        <v>0.59569377638366561</v>
      </c>
      <c r="AD92" s="17">
        <f t="shared" si="110"/>
        <v>0.59569377638366561</v>
      </c>
      <c r="AE92" s="17">
        <f t="shared" si="111"/>
        <v>2.9849514001708988</v>
      </c>
      <c r="AF92" s="17">
        <f t="shared" si="112"/>
        <v>3.385384811028036</v>
      </c>
    </row>
    <row r="93" spans="1:32" x14ac:dyDescent="0.3">
      <c r="A93" t="str">
        <f t="shared" si="95"/>
        <v>41 Administrative occupations</v>
      </c>
      <c r="B93" s="17">
        <f t="shared" si="96"/>
        <v>-0.39740602975336659</v>
      </c>
      <c r="C93" s="17">
        <f t="shared" si="96"/>
        <v>4.4169579570388695</v>
      </c>
      <c r="D93" s="17">
        <f t="shared" si="96"/>
        <v>-1.6140665804322496</v>
      </c>
      <c r="E93" s="17">
        <f t="shared" si="96"/>
        <v>-0.51331771558201789</v>
      </c>
      <c r="F93" s="17">
        <f t="shared" si="97"/>
        <v>-0.88159560569440742</v>
      </c>
      <c r="H93" s="17">
        <f t="shared" si="98"/>
        <v>-0.88159560569440742</v>
      </c>
      <c r="I93" s="17">
        <f t="shared" si="99"/>
        <v>2.5237173992044504</v>
      </c>
      <c r="J93" s="17">
        <f t="shared" si="100"/>
        <v>1.9140187744288051</v>
      </c>
      <c r="K93" s="39"/>
      <c r="L93" t="str">
        <f t="shared" si="101"/>
        <v>41 Administrative occupations</v>
      </c>
      <c r="M93" s="17">
        <f t="shared" si="102"/>
        <v>-1.1325182710906656</v>
      </c>
      <c r="N93" s="17">
        <f t="shared" si="102"/>
        <v>17.694171205179753</v>
      </c>
      <c r="O93" s="17">
        <f t="shared" si="102"/>
        <v>-0.92400535866812294</v>
      </c>
      <c r="P93" s="17">
        <f t="shared" si="102"/>
        <v>0.78487515483318671</v>
      </c>
      <c r="Q93" s="17">
        <f t="shared" si="103"/>
        <v>0.21199816441863639</v>
      </c>
      <c r="S93" s="17">
        <f t="shared" si="104"/>
        <v>0.21199816441863639</v>
      </c>
      <c r="T93" s="17">
        <f t="shared" si="105"/>
        <v>2.1113914162764758</v>
      </c>
      <c r="U93" s="17">
        <f t="shared" si="106"/>
        <v>2.2702511825168692</v>
      </c>
      <c r="W93" t="str">
        <f t="shared" si="107"/>
        <v>41 Administrative occupations</v>
      </c>
      <c r="X93" s="17">
        <f t="shared" si="108"/>
        <v>-8.7933529106276609E-2</v>
      </c>
      <c r="Y93" s="17">
        <f t="shared" si="108"/>
        <v>-1.0274653453557381</v>
      </c>
      <c r="Z93" s="17">
        <f t="shared" si="108"/>
        <v>-1.9577025847337781</v>
      </c>
      <c r="AA93" s="17">
        <f t="shared" si="108"/>
        <v>-1.2447271839639007</v>
      </c>
      <c r="AB93" s="17">
        <f t="shared" si="109"/>
        <v>-1.4829598904517627</v>
      </c>
      <c r="AD93" s="17">
        <f t="shared" si="110"/>
        <v>-1.4829598904517627</v>
      </c>
      <c r="AE93" s="17">
        <f t="shared" si="111"/>
        <v>2.7166522924201297</v>
      </c>
      <c r="AF93" s="17">
        <f t="shared" si="112"/>
        <v>1.7337816571972864</v>
      </c>
    </row>
    <row r="94" spans="1:32" x14ac:dyDescent="0.3">
      <c r="A94" t="str">
        <f t="shared" si="95"/>
        <v>42 Secretarial and related occupations</v>
      </c>
      <c r="B94" s="17">
        <f t="shared" si="96"/>
        <v>-2.0899148037893167</v>
      </c>
      <c r="C94" s="17">
        <f t="shared" si="96"/>
        <v>-2.2375999217707609</v>
      </c>
      <c r="D94" s="17">
        <f t="shared" si="96"/>
        <v>0.91528774889604314</v>
      </c>
      <c r="E94" s="17">
        <f t="shared" si="96"/>
        <v>-2.128668329260397</v>
      </c>
      <c r="F94" s="17">
        <f t="shared" si="97"/>
        <v>-1.1243573359091985</v>
      </c>
      <c r="H94" s="17">
        <f t="shared" si="98"/>
        <v>-1.1243573359091985</v>
      </c>
      <c r="I94" s="17">
        <f t="shared" si="99"/>
        <v>2.8135345012593627</v>
      </c>
      <c r="J94" s="17">
        <f t="shared" si="100"/>
        <v>2.0719899544475284</v>
      </c>
      <c r="K94" s="39"/>
      <c r="L94" t="str">
        <f t="shared" si="101"/>
        <v>42 Secretarial and related occupations</v>
      </c>
      <c r="M94" s="17">
        <f t="shared" si="102"/>
        <v>-5.8137238346268827</v>
      </c>
      <c r="N94" s="17">
        <f t="shared" si="102"/>
        <v>-4.0073198596955901</v>
      </c>
      <c r="O94" s="17">
        <f t="shared" si="102"/>
        <v>5.7227857358213008</v>
      </c>
      <c r="P94" s="17">
        <f t="shared" si="102"/>
        <v>1.9819870473545054</v>
      </c>
      <c r="Q94" s="17">
        <f t="shared" si="103"/>
        <v>3.2139769992395761</v>
      </c>
      <c r="S94" s="17">
        <f t="shared" si="104"/>
        <v>3.2139769992395761</v>
      </c>
      <c r="T94" s="17">
        <f t="shared" si="105"/>
        <v>2.5466325027638126</v>
      </c>
      <c r="U94" s="17">
        <f t="shared" si="106"/>
        <v>4.9544524017659519</v>
      </c>
      <c r="W94" t="str">
        <f t="shared" si="107"/>
        <v>42 Secretarial and related occupations</v>
      </c>
      <c r="X94" s="17">
        <f t="shared" si="108"/>
        <v>-1.8012177809976326</v>
      </c>
      <c r="Y94" s="17">
        <f t="shared" si="108"/>
        <v>-2.1141025837824623</v>
      </c>
      <c r="Z94" s="17">
        <f t="shared" si="108"/>
        <v>0.55079335795928941</v>
      </c>
      <c r="AA94" s="17">
        <f t="shared" si="108"/>
        <v>-2.575807896727389</v>
      </c>
      <c r="AB94" s="17">
        <f t="shared" si="109"/>
        <v>-1.5445618492594959</v>
      </c>
      <c r="AD94" s="17">
        <f t="shared" si="110"/>
        <v>-1.5445618492594959</v>
      </c>
      <c r="AE94" s="17">
        <f t="shared" si="111"/>
        <v>2.8314495605984202</v>
      </c>
      <c r="AF94" s="17">
        <f t="shared" si="112"/>
        <v>1.8264443745338976</v>
      </c>
    </row>
    <row r="95" spans="1:32" x14ac:dyDescent="0.3">
      <c r="A95" t="str">
        <f t="shared" si="95"/>
        <v>51 Skilled agricultural and related trades</v>
      </c>
      <c r="B95" s="17">
        <f t="shared" si="96"/>
        <v>0.22837043121850531</v>
      </c>
      <c r="C95" s="17">
        <f t="shared" si="96"/>
        <v>-7.8330394546801907</v>
      </c>
      <c r="D95" s="17">
        <f t="shared" si="96"/>
        <v>0.51283018822874116</v>
      </c>
      <c r="E95" s="17">
        <f t="shared" si="96"/>
        <v>0.9254667338987943</v>
      </c>
      <c r="F95" s="17">
        <f t="shared" si="97"/>
        <v>0.7877333388565777</v>
      </c>
      <c r="H95" s="17">
        <f t="shared" si="98"/>
        <v>0.7877333388565777</v>
      </c>
      <c r="I95" s="17">
        <f t="shared" si="99"/>
        <v>3.101765215528518</v>
      </c>
      <c r="J95" s="17">
        <f t="shared" si="100"/>
        <v>3.6256604990118957</v>
      </c>
      <c r="K95" s="39"/>
      <c r="L95" t="str">
        <f t="shared" si="101"/>
        <v>51 Skilled agricultural and related trades</v>
      </c>
      <c r="M95" s="17">
        <f t="shared" si="102"/>
        <v>0.30698808666111965</v>
      </c>
      <c r="N95" s="17">
        <f t="shared" si="102"/>
        <v>-12.190500374905188</v>
      </c>
      <c r="O95" s="17">
        <f t="shared" si="102"/>
        <v>-1.2873597813123361E-2</v>
      </c>
      <c r="P95" s="17">
        <f t="shared" si="102"/>
        <v>0.63851948653148582</v>
      </c>
      <c r="Q95" s="17">
        <f t="shared" si="103"/>
        <v>0.4209182989781457</v>
      </c>
      <c r="S95" s="17">
        <f t="shared" si="104"/>
        <v>0.4209182989781457</v>
      </c>
      <c r="T95" s="17">
        <f t="shared" si="105"/>
        <v>2.854152350130601</v>
      </c>
      <c r="U95" s="17">
        <f t="shared" si="106"/>
        <v>3.1408599385251978</v>
      </c>
      <c r="W95" t="str">
        <f t="shared" si="107"/>
        <v>51 Skilled agricultural and related trades</v>
      </c>
      <c r="X95" s="17">
        <f t="shared" si="108"/>
        <v>-0.20300974010661887</v>
      </c>
      <c r="Y95" s="17">
        <f t="shared" si="108"/>
        <v>16.383542243263594</v>
      </c>
      <c r="Z95" s="17">
        <f t="shared" si="108"/>
        <v>2.6052414702966153</v>
      </c>
      <c r="AA95" s="17">
        <f t="shared" si="108"/>
        <v>1.9237302652914456</v>
      </c>
      <c r="AB95" s="17">
        <f t="shared" si="109"/>
        <v>2.1503962158497814</v>
      </c>
      <c r="AD95" s="17">
        <f t="shared" si="110"/>
        <v>2.1503962158497814</v>
      </c>
      <c r="AE95" s="17">
        <f t="shared" si="111"/>
        <v>4.0580835549434813</v>
      </c>
      <c r="AF95" s="17">
        <f t="shared" si="112"/>
        <v>5.3714980604591567</v>
      </c>
    </row>
    <row r="96" spans="1:32" x14ac:dyDescent="0.3">
      <c r="A96" t="str">
        <f t="shared" si="95"/>
        <v>52 Skilled metal, electrical and electronic trades</v>
      </c>
      <c r="B96" s="17">
        <f t="shared" si="96"/>
        <v>0.38670826243929479</v>
      </c>
      <c r="C96" s="17">
        <f t="shared" si="96"/>
        <v>-12.703792820685333</v>
      </c>
      <c r="D96" s="17">
        <f t="shared" si="96"/>
        <v>-0.19946939034517497</v>
      </c>
      <c r="E96" s="17">
        <f t="shared" si="96"/>
        <v>-0.57241821422276962</v>
      </c>
      <c r="F96" s="17">
        <f t="shared" si="97"/>
        <v>-0.44825705159887708</v>
      </c>
      <c r="H96" s="17">
        <f t="shared" si="98"/>
        <v>-0.44825705159887708</v>
      </c>
      <c r="I96" s="17">
        <f t="shared" si="99"/>
        <v>2.1296593610457659</v>
      </c>
      <c r="J96" s="17">
        <f t="shared" si="100"/>
        <v>1.7987975693528835</v>
      </c>
      <c r="K96" s="39"/>
      <c r="L96" t="str">
        <f t="shared" si="101"/>
        <v>52 Skilled metal, electrical and electronic trades</v>
      </c>
      <c r="M96" s="17">
        <f t="shared" si="102"/>
        <v>0.10481349138287133</v>
      </c>
      <c r="N96" s="17">
        <f t="shared" si="102"/>
        <v>-12.415146551797863</v>
      </c>
      <c r="O96" s="17">
        <f t="shared" si="102"/>
        <v>-0.85948429043326557</v>
      </c>
      <c r="P96" s="17">
        <f t="shared" si="102"/>
        <v>-0.77867794549166813</v>
      </c>
      <c r="Q96" s="17">
        <f t="shared" si="103"/>
        <v>-0.80562070923732021</v>
      </c>
      <c r="S96" s="17">
        <f t="shared" si="104"/>
        <v>-0.80562070923732021</v>
      </c>
      <c r="T96" s="17">
        <f t="shared" si="105"/>
        <v>2.0086893982477871</v>
      </c>
      <c r="U96" s="17">
        <f t="shared" si="106"/>
        <v>1.4079304808626514</v>
      </c>
      <c r="W96" t="str">
        <f t="shared" si="107"/>
        <v>52 Skilled metal, electrical and electronic trades</v>
      </c>
      <c r="X96" s="17">
        <f t="shared" si="108"/>
        <v>13.79588836596839</v>
      </c>
      <c r="Y96" s="17">
        <f t="shared" si="108"/>
        <v>-22.767483210333637</v>
      </c>
      <c r="Z96" s="17">
        <f t="shared" si="108"/>
        <v>17.790057125050417</v>
      </c>
      <c r="AA96" s="17">
        <f t="shared" si="108"/>
        <v>2.4052047227253626</v>
      </c>
      <c r="AB96" s="17">
        <f t="shared" si="109"/>
        <v>7.2961727274221344</v>
      </c>
      <c r="AD96" s="17">
        <f t="shared" si="110"/>
        <v>7.2961727274221344</v>
      </c>
      <c r="AE96" s="17">
        <f t="shared" si="111"/>
        <v>5.7934357149984184</v>
      </c>
      <c r="AF96" s="17">
        <f t="shared" si="112"/>
        <v>10.04557482972066</v>
      </c>
    </row>
    <row r="97" spans="1:32" x14ac:dyDescent="0.3">
      <c r="A97" t="str">
        <f t="shared" si="95"/>
        <v>53 Skilled construction and building trades</v>
      </c>
      <c r="B97" s="17">
        <f t="shared" si="96"/>
        <v>-0.26540248383000176</v>
      </c>
      <c r="C97" s="17">
        <f t="shared" si="96"/>
        <v>-15.9833949487717</v>
      </c>
      <c r="D97" s="17">
        <f t="shared" si="96"/>
        <v>0.95746955706879078</v>
      </c>
      <c r="E97" s="17">
        <f t="shared" si="96"/>
        <v>-0.62874002274370122</v>
      </c>
      <c r="F97" s="17">
        <f t="shared" si="97"/>
        <v>-0.10279212158672557</v>
      </c>
      <c r="H97" s="17">
        <f t="shared" si="98"/>
        <v>-0.10279212158672557</v>
      </c>
      <c r="I97" s="17">
        <f t="shared" si="99"/>
        <v>2.4108463653822909</v>
      </c>
      <c r="J97" s="17">
        <f t="shared" si="100"/>
        <v>2.3373655169979246</v>
      </c>
      <c r="K97" s="39"/>
      <c r="L97" t="str">
        <f t="shared" si="101"/>
        <v>53 Skilled construction and building trades</v>
      </c>
      <c r="M97" s="17">
        <f t="shared" si="102"/>
        <v>-0.36058675239475368</v>
      </c>
      <c r="N97" s="17">
        <f t="shared" si="102"/>
        <v>-16.332844900468469</v>
      </c>
      <c r="O97" s="17">
        <f t="shared" si="102"/>
        <v>0.92601603744406624</v>
      </c>
      <c r="P97" s="17">
        <f t="shared" si="102"/>
        <v>-0.70455303469982855</v>
      </c>
      <c r="Q97" s="17">
        <f t="shared" si="103"/>
        <v>-0.16397829630504512</v>
      </c>
      <c r="S97" s="17">
        <f t="shared" si="104"/>
        <v>-0.16397829630504512</v>
      </c>
      <c r="T97" s="17">
        <f t="shared" si="105"/>
        <v>2.3861243055997461</v>
      </c>
      <c r="U97" s="17">
        <f t="shared" si="106"/>
        <v>2.268656942631786</v>
      </c>
      <c r="W97" t="str">
        <f t="shared" si="107"/>
        <v>53 Skilled construction and building trades</v>
      </c>
      <c r="X97" s="17">
        <f t="shared" si="108"/>
        <v>5.141315463266305</v>
      </c>
      <c r="Y97" s="17">
        <f t="shared" si="108"/>
        <v>1.4007713791045262</v>
      </c>
      <c r="Z97" s="17">
        <f t="shared" si="108"/>
        <v>2.2159718262491523</v>
      </c>
      <c r="AA97" s="17">
        <f t="shared" si="108"/>
        <v>1.9569371977067984</v>
      </c>
      <c r="AB97" s="17">
        <f t="shared" si="109"/>
        <v>2.0432090535263736</v>
      </c>
      <c r="AD97" s="17">
        <f t="shared" si="110"/>
        <v>2.0432090535263736</v>
      </c>
      <c r="AE97" s="17">
        <f t="shared" si="111"/>
        <v>3.3598078857774771</v>
      </c>
      <c r="AF97" s="17">
        <f t="shared" si="112"/>
        <v>4.7157018782843618</v>
      </c>
    </row>
    <row r="98" spans="1:32" x14ac:dyDescent="0.3">
      <c r="A98" t="str">
        <f t="shared" si="95"/>
        <v>54 Textiles, printing and other skilled trades</v>
      </c>
      <c r="B98" s="17">
        <f t="shared" si="96"/>
        <v>-2.2664275513312515</v>
      </c>
      <c r="C98" s="17">
        <f t="shared" si="96"/>
        <v>-6.0137695954170622</v>
      </c>
      <c r="D98" s="17">
        <f t="shared" si="96"/>
        <v>-4.9476326191100206E-2</v>
      </c>
      <c r="E98" s="17">
        <f t="shared" si="96"/>
        <v>2.0649960748087004E-2</v>
      </c>
      <c r="F98" s="17">
        <f t="shared" si="97"/>
        <v>-2.7309333392233626E-3</v>
      </c>
      <c r="H98" s="17">
        <f t="shared" si="98"/>
        <v>-2.7309333392233626E-3</v>
      </c>
      <c r="I98" s="17">
        <f t="shared" si="99"/>
        <v>2.3983560769097467</v>
      </c>
      <c r="J98" s="17">
        <f t="shared" si="100"/>
        <v>2.3963963999977134</v>
      </c>
      <c r="K98" s="39"/>
      <c r="L98" t="str">
        <f t="shared" si="101"/>
        <v>54 Textiles, printing and other skilled trades</v>
      </c>
      <c r="M98" s="17">
        <f t="shared" si="102"/>
        <v>-2.4981040930656895</v>
      </c>
      <c r="N98" s="17">
        <f t="shared" si="102"/>
        <v>-12.796026399323502</v>
      </c>
      <c r="O98" s="17">
        <f t="shared" si="102"/>
        <v>-8.3648012795634052E-2</v>
      </c>
      <c r="P98" s="17">
        <f t="shared" si="102"/>
        <v>-7.7601456921783107E-2</v>
      </c>
      <c r="Q98" s="17">
        <f t="shared" si="103"/>
        <v>-7.9617016202471191E-2</v>
      </c>
      <c r="S98" s="17">
        <f t="shared" si="104"/>
        <v>-7.9617016202471191E-2</v>
      </c>
      <c r="T98" s="17">
        <f t="shared" si="105"/>
        <v>1.8796070577016044</v>
      </c>
      <c r="U98" s="17">
        <f t="shared" si="106"/>
        <v>1.8183448599485175</v>
      </c>
      <c r="W98" t="str">
        <f t="shared" si="107"/>
        <v>54 Textiles, printing and other skilled trades</v>
      </c>
      <c r="X98" s="17">
        <f t="shared" si="108"/>
        <v>-1.8459697631110106</v>
      </c>
      <c r="Y98" s="17">
        <f t="shared" si="108"/>
        <v>6.0916640842860081</v>
      </c>
      <c r="Z98" s="17">
        <f t="shared" si="108"/>
        <v>5.7270288866817509E-4</v>
      </c>
      <c r="AA98" s="17">
        <f t="shared" si="108"/>
        <v>0.16264568910844268</v>
      </c>
      <c r="AB98" s="17">
        <f t="shared" si="109"/>
        <v>0.10859219525820585</v>
      </c>
      <c r="AD98" s="17">
        <f t="shared" si="110"/>
        <v>0.10859219525820585</v>
      </c>
      <c r="AE98" s="17">
        <f t="shared" si="111"/>
        <v>3.0984874815437546</v>
      </c>
      <c r="AF98" s="17">
        <f t="shared" si="112"/>
        <v>3.1695228978111389</v>
      </c>
    </row>
    <row r="99" spans="1:32" x14ac:dyDescent="0.3">
      <c r="A99" t="str">
        <f t="shared" si="95"/>
        <v>61 Caring personal service occupations</v>
      </c>
      <c r="B99" s="17">
        <f t="shared" si="96"/>
        <v>0.49496650702660627</v>
      </c>
      <c r="C99" s="17">
        <f t="shared" si="96"/>
        <v>-2.4672458157894095</v>
      </c>
      <c r="D99" s="17">
        <f t="shared" si="96"/>
        <v>1.7753153708145231</v>
      </c>
      <c r="E99" s="17">
        <f t="shared" si="96"/>
        <v>0.92122814188135838</v>
      </c>
      <c r="F99" s="17">
        <f t="shared" si="97"/>
        <v>1.2051245215293882</v>
      </c>
      <c r="H99" s="17">
        <f t="shared" si="98"/>
        <v>1.2051245215293882</v>
      </c>
      <c r="I99" s="17">
        <f t="shared" si="99"/>
        <v>3.2806171337909751</v>
      </c>
      <c r="J99" s="17">
        <f t="shared" si="100"/>
        <v>4.0718947352503143</v>
      </c>
      <c r="K99" s="39"/>
      <c r="L99" t="str">
        <f t="shared" si="101"/>
        <v>61 Caring personal service occupations</v>
      </c>
      <c r="M99" s="17">
        <f t="shared" si="102"/>
        <v>0.62158110105239306</v>
      </c>
      <c r="N99" s="17">
        <f t="shared" si="102"/>
        <v>-1.9731621492202311</v>
      </c>
      <c r="O99" s="17">
        <f t="shared" si="102"/>
        <v>4.2909371144621122</v>
      </c>
      <c r="P99" s="17">
        <f t="shared" si="102"/>
        <v>1.563883444830716</v>
      </c>
      <c r="Q99" s="17">
        <f t="shared" si="103"/>
        <v>2.4648846682154169</v>
      </c>
      <c r="S99" s="17">
        <f t="shared" si="104"/>
        <v>2.4648846682154169</v>
      </c>
      <c r="T99" s="17">
        <f t="shared" si="105"/>
        <v>3.0441892723820807</v>
      </c>
      <c r="U99" s="17">
        <f t="shared" si="106"/>
        <v>4.7604074141085473</v>
      </c>
      <c r="W99" t="str">
        <f t="shared" si="107"/>
        <v>61 Caring personal service occupations</v>
      </c>
      <c r="X99" s="17">
        <f t="shared" si="108"/>
        <v>0.47173416694019643</v>
      </c>
      <c r="Y99" s="17">
        <f t="shared" si="108"/>
        <v>-2.5582428773158528</v>
      </c>
      <c r="Z99" s="17">
        <f t="shared" si="108"/>
        <v>1.2808232507322215</v>
      </c>
      <c r="AA99" s="17">
        <f t="shared" si="108"/>
        <v>0.77845636524438433</v>
      </c>
      <c r="AB99" s="17">
        <f t="shared" si="109"/>
        <v>0.94563451392257747</v>
      </c>
      <c r="AD99" s="17">
        <f t="shared" si="110"/>
        <v>0.94563451392257747</v>
      </c>
      <c r="AE99" s="17">
        <f t="shared" si="111"/>
        <v>3.3236018225451858</v>
      </c>
      <c r="AF99" s="17">
        <f t="shared" si="112"/>
        <v>3.9370306765464047</v>
      </c>
    </row>
    <row r="100" spans="1:32" x14ac:dyDescent="0.3">
      <c r="A100" t="str">
        <f t="shared" si="95"/>
        <v>62 Leisure, travel and related personal service occupations</v>
      </c>
      <c r="B100" s="17">
        <f t="shared" si="96"/>
        <v>1.9749472159406256</v>
      </c>
      <c r="C100" s="17">
        <f t="shared" si="96"/>
        <v>-8.270608976699755</v>
      </c>
      <c r="D100" s="17">
        <f t="shared" si="96"/>
        <v>0.38735921985144639</v>
      </c>
      <c r="E100" s="17">
        <f t="shared" si="96"/>
        <v>0.35211560908401385</v>
      </c>
      <c r="F100" s="17">
        <f t="shared" si="97"/>
        <v>0.3638621043261292</v>
      </c>
      <c r="H100" s="17">
        <f t="shared" si="98"/>
        <v>0.3638621043261292</v>
      </c>
      <c r="I100" s="17">
        <f t="shared" si="99"/>
        <v>2.8373846940400904</v>
      </c>
      <c r="J100" s="17">
        <f t="shared" si="100"/>
        <v>3.0854519843849237</v>
      </c>
      <c r="K100" s="39"/>
      <c r="L100" t="str">
        <f t="shared" si="101"/>
        <v>62 Leisure, travel and related personal service occupations</v>
      </c>
      <c r="M100" s="17">
        <f t="shared" si="102"/>
        <v>2.9602967952539583</v>
      </c>
      <c r="N100" s="17">
        <f t="shared" si="102"/>
        <v>-5.0311177247824972</v>
      </c>
      <c r="O100" s="17">
        <f t="shared" si="102"/>
        <v>0.70320022865901777</v>
      </c>
      <c r="P100" s="17">
        <f t="shared" si="102"/>
        <v>0.90575920111986008</v>
      </c>
      <c r="Q100" s="17">
        <f t="shared" si="103"/>
        <v>0.83819431335858674</v>
      </c>
      <c r="S100" s="17">
        <f t="shared" si="104"/>
        <v>0.83819431335858674</v>
      </c>
      <c r="T100" s="17">
        <f t="shared" si="105"/>
        <v>2.5620849500815002</v>
      </c>
      <c r="U100" s="17">
        <f t="shared" si="106"/>
        <v>3.1609777240103831</v>
      </c>
      <c r="W100" t="str">
        <f t="shared" si="107"/>
        <v>62 Leisure, travel and related personal service occupations</v>
      </c>
      <c r="X100" s="17">
        <f t="shared" si="108"/>
        <v>1.5335538096097112</v>
      </c>
      <c r="Y100" s="17">
        <f t="shared" si="108"/>
        <v>-9.7732070270546085</v>
      </c>
      <c r="Z100" s="17">
        <f t="shared" si="108"/>
        <v>0.23170536594618873</v>
      </c>
      <c r="AA100" s="17">
        <f t="shared" si="108"/>
        <v>6.4753796259520158E-2</v>
      </c>
      <c r="AB100" s="17">
        <f t="shared" si="109"/>
        <v>0.12037339837793759</v>
      </c>
      <c r="AD100" s="17">
        <f t="shared" si="110"/>
        <v>0.12037339837793759</v>
      </c>
      <c r="AE100" s="17">
        <f t="shared" si="111"/>
        <v>2.9681306584811828</v>
      </c>
      <c r="AF100" s="17">
        <f t="shared" si="112"/>
        <v>3.0482958179995245</v>
      </c>
    </row>
    <row r="101" spans="1:32" x14ac:dyDescent="0.3">
      <c r="A101" t="str">
        <f t="shared" si="95"/>
        <v>63 Community and civil enforcement occupations</v>
      </c>
      <c r="B101" s="17">
        <f t="shared" si="96"/>
        <v>-3.4995550101571515</v>
      </c>
      <c r="C101" s="17">
        <f t="shared" si="96"/>
        <v>26.065740556617499</v>
      </c>
      <c r="D101" s="17">
        <f t="shared" si="96"/>
        <v>-3.9690065749422798</v>
      </c>
      <c r="E101" s="17">
        <f t="shared" si="96"/>
        <v>0.69158138957496895</v>
      </c>
      <c r="F101" s="17">
        <f t="shared" si="97"/>
        <v>-0.88655273075052277</v>
      </c>
      <c r="H101" s="17">
        <f t="shared" si="98"/>
        <v>-0.88655273075052277</v>
      </c>
      <c r="I101" s="17">
        <f t="shared" si="99"/>
        <v>2.3452980598266615</v>
      </c>
      <c r="J101" s="17">
        <f t="shared" si="100"/>
        <v>1.7163884228930337</v>
      </c>
      <c r="K101" s="39"/>
      <c r="L101" t="str">
        <f t="shared" si="101"/>
        <v>63 Community and civil enforcement occupations</v>
      </c>
      <c r="M101" s="17">
        <f t="shared" si="102"/>
        <v>-6.7629555560661299</v>
      </c>
      <c r="N101" s="17">
        <f t="shared" si="102"/>
        <v>45.96803544624337</v>
      </c>
      <c r="O101" s="17">
        <f t="shared" si="102"/>
        <v>-7.9134343242554195</v>
      </c>
      <c r="P101" s="17">
        <f t="shared" si="102"/>
        <v>1.2068861268485831</v>
      </c>
      <c r="Q101" s="17">
        <f t="shared" si="103"/>
        <v>-1.9294071246404809</v>
      </c>
      <c r="S101" s="17">
        <f t="shared" si="104"/>
        <v>-1.9294071246404809</v>
      </c>
      <c r="T101" s="17">
        <f t="shared" si="105"/>
        <v>1.7377428189352617</v>
      </c>
      <c r="U101" s="17">
        <f t="shared" si="106"/>
        <v>0.27129061520327902</v>
      </c>
      <c r="W101" t="str">
        <f t="shared" si="107"/>
        <v>63 Community and civil enforcement occupations</v>
      </c>
      <c r="X101" s="17">
        <f t="shared" si="108"/>
        <v>5.2125527701012198</v>
      </c>
      <c r="Y101" s="17">
        <f t="shared" si="108"/>
        <v>-13.367540289094359</v>
      </c>
      <c r="Z101" s="17">
        <f t="shared" si="108"/>
        <v>5.9087629501611172</v>
      </c>
      <c r="AA101" s="17">
        <f t="shared" si="108"/>
        <v>-0.2195091002006877</v>
      </c>
      <c r="AB101" s="17">
        <f t="shared" si="109"/>
        <v>1.7827989067690675</v>
      </c>
      <c r="AD101" s="17">
        <f t="shared" si="110"/>
        <v>1.7827989067690675</v>
      </c>
      <c r="AE101" s="17">
        <f t="shared" si="111"/>
        <v>4.0718309774870454</v>
      </c>
      <c r="AF101" s="17">
        <f t="shared" si="112"/>
        <v>5.1476289136181963</v>
      </c>
    </row>
    <row r="102" spans="1:32" x14ac:dyDescent="0.3">
      <c r="A102" t="str">
        <f t="shared" si="95"/>
        <v>71 Sales occupations</v>
      </c>
      <c r="B102" s="17">
        <f t="shared" si="96"/>
        <v>-1.2477325770688497</v>
      </c>
      <c r="C102" s="17">
        <f t="shared" si="96"/>
        <v>-2.0251513218140227</v>
      </c>
      <c r="D102" s="17">
        <f t="shared" si="96"/>
        <v>-1.4745821647726642</v>
      </c>
      <c r="E102" s="17">
        <f t="shared" si="96"/>
        <v>-0.50010196084490088</v>
      </c>
      <c r="F102" s="17">
        <f t="shared" si="97"/>
        <v>-0.8259949304987968</v>
      </c>
      <c r="H102" s="17">
        <f t="shared" si="98"/>
        <v>-0.8259949304987968</v>
      </c>
      <c r="I102" s="17">
        <f t="shared" si="99"/>
        <v>2.3869711883188982</v>
      </c>
      <c r="J102" s="17">
        <f t="shared" si="100"/>
        <v>1.8037272064468368</v>
      </c>
      <c r="K102" s="39"/>
      <c r="L102" t="str">
        <f t="shared" si="101"/>
        <v>71 Sales occupations</v>
      </c>
      <c r="M102" s="17">
        <f t="shared" si="102"/>
        <v>-6.4433531814855893E-2</v>
      </c>
      <c r="N102" s="17">
        <f t="shared" si="102"/>
        <v>-2.4317879404075593</v>
      </c>
      <c r="O102" s="17">
        <f t="shared" si="102"/>
        <v>-1.2060843272767574</v>
      </c>
      <c r="P102" s="17">
        <f t="shared" si="102"/>
        <v>-0.19897218707719544</v>
      </c>
      <c r="Q102" s="17">
        <f t="shared" si="103"/>
        <v>-0.53581182627092661</v>
      </c>
      <c r="S102" s="17">
        <f t="shared" si="104"/>
        <v>-0.53581182627092661</v>
      </c>
      <c r="T102" s="17">
        <f t="shared" si="105"/>
        <v>1.8457290413481653</v>
      </c>
      <c r="U102" s="17">
        <f t="shared" si="106"/>
        <v>1.4347466446839485</v>
      </c>
      <c r="W102" t="str">
        <f t="shared" si="107"/>
        <v>71 Sales occupations</v>
      </c>
      <c r="X102" s="17">
        <f t="shared" si="108"/>
        <v>-2.0330508836957195</v>
      </c>
      <c r="Y102" s="17">
        <f t="shared" si="108"/>
        <v>-1.7415307531379098</v>
      </c>
      <c r="Z102" s="17">
        <f t="shared" si="108"/>
        <v>-1.6622682366027819</v>
      </c>
      <c r="AA102" s="17">
        <f t="shared" si="108"/>
        <v>-0.7186180657777097</v>
      </c>
      <c r="AB102" s="17">
        <f t="shared" si="109"/>
        <v>-1.0341699976613272</v>
      </c>
      <c r="AD102" s="17">
        <f t="shared" si="110"/>
        <v>-1.0341699976613272</v>
      </c>
      <c r="AE102" s="17">
        <f t="shared" si="111"/>
        <v>2.7396348918403701</v>
      </c>
      <c r="AF102" s="17">
        <f t="shared" si="112"/>
        <v>2.048722274464021</v>
      </c>
    </row>
    <row r="103" spans="1:32" x14ac:dyDescent="0.3">
      <c r="A103" t="str">
        <f t="shared" si="95"/>
        <v>72 Customer service occupations</v>
      </c>
      <c r="B103" s="17">
        <f t="shared" si="96"/>
        <v>1.9914258323246115</v>
      </c>
      <c r="C103" s="17">
        <f t="shared" si="96"/>
        <v>2.5308929697787308</v>
      </c>
      <c r="D103" s="17">
        <f t="shared" si="96"/>
        <v>5.1728890361096846</v>
      </c>
      <c r="E103" s="17">
        <f t="shared" si="96"/>
        <v>1.3444257180055041</v>
      </c>
      <c r="F103" s="17">
        <f t="shared" si="97"/>
        <v>2.6048394906809325</v>
      </c>
      <c r="H103" s="17">
        <f t="shared" si="98"/>
        <v>2.6048394906809325</v>
      </c>
      <c r="I103" s="17">
        <f t="shared" si="99"/>
        <v>3.1832059993149642</v>
      </c>
      <c r="J103" s="17">
        <f t="shared" si="100"/>
        <v>4.9723603276444317</v>
      </c>
      <c r="K103" s="39"/>
      <c r="L103" t="str">
        <f t="shared" si="101"/>
        <v>72 Customer service occupations</v>
      </c>
      <c r="M103" s="17">
        <f t="shared" si="102"/>
        <v>-1.4095470441317648</v>
      </c>
      <c r="N103" s="17">
        <f t="shared" si="102"/>
        <v>15.111294592277801</v>
      </c>
      <c r="O103" s="17">
        <f t="shared" si="102"/>
        <v>6.6937925269042076</v>
      </c>
      <c r="P103" s="17">
        <f t="shared" si="102"/>
        <v>1.6724069236831118</v>
      </c>
      <c r="Q103" s="17">
        <f t="shared" si="103"/>
        <v>3.3193790773238696</v>
      </c>
      <c r="S103" s="17">
        <f t="shared" si="104"/>
        <v>3.3193790773238696</v>
      </c>
      <c r="T103" s="17">
        <f t="shared" si="105"/>
        <v>2.6892107183178249</v>
      </c>
      <c r="U103" s="17">
        <f t="shared" si="106"/>
        <v>5.1401684012877924</v>
      </c>
      <c r="W103" t="str">
        <f t="shared" si="107"/>
        <v>72 Customer service occupations</v>
      </c>
      <c r="X103" s="17">
        <f t="shared" si="108"/>
        <v>4.0872022310660672</v>
      </c>
      <c r="Y103" s="17">
        <f t="shared" si="108"/>
        <v>-4.2350797927294686</v>
      </c>
      <c r="Z103" s="17">
        <f t="shared" si="108"/>
        <v>4.1407624543908783</v>
      </c>
      <c r="AA103" s="17">
        <f t="shared" si="108"/>
        <v>1.0989260668368139</v>
      </c>
      <c r="AB103" s="17">
        <f t="shared" si="109"/>
        <v>2.1028690708645215</v>
      </c>
      <c r="AD103" s="17">
        <f t="shared" si="110"/>
        <v>2.1028690708645215</v>
      </c>
      <c r="AE103" s="17">
        <f t="shared" si="111"/>
        <v>3.4857840855248678</v>
      </c>
      <c r="AF103" s="17">
        <f t="shared" si="112"/>
        <v>4.8618445841122515</v>
      </c>
    </row>
    <row r="104" spans="1:32" x14ac:dyDescent="0.3">
      <c r="A104" t="str">
        <f t="shared" si="95"/>
        <v>81 Process, plant and machine operatives</v>
      </c>
      <c r="B104" s="17">
        <f t="shared" si="96"/>
        <v>-0.94012950561397357</v>
      </c>
      <c r="C104" s="17">
        <f t="shared" si="96"/>
        <v>-12.161432587589715</v>
      </c>
      <c r="D104" s="17">
        <f t="shared" si="96"/>
        <v>3.7851317145956687</v>
      </c>
      <c r="E104" s="17">
        <f t="shared" si="96"/>
        <v>-0.15765112549621652</v>
      </c>
      <c r="F104" s="17">
        <f t="shared" si="97"/>
        <v>1.1396795632297341</v>
      </c>
      <c r="H104" s="17">
        <f t="shared" si="98"/>
        <v>1.1396795632297341</v>
      </c>
      <c r="I104" s="17">
        <f t="shared" si="99"/>
        <v>2.566107491478653</v>
      </c>
      <c r="J104" s="17">
        <f t="shared" si="100"/>
        <v>3.3850734360040269</v>
      </c>
      <c r="K104" s="39"/>
      <c r="L104" t="str">
        <f t="shared" si="101"/>
        <v>81 Process, plant and machine operatives</v>
      </c>
      <c r="M104" s="17">
        <f t="shared" si="102"/>
        <v>-1.4525160933804848</v>
      </c>
      <c r="N104" s="17">
        <f t="shared" si="102"/>
        <v>-11.719189096765337</v>
      </c>
      <c r="O104" s="17">
        <f t="shared" si="102"/>
        <v>3.5259371759467362</v>
      </c>
      <c r="P104" s="17">
        <f t="shared" si="102"/>
        <v>-0.26814246745104908</v>
      </c>
      <c r="Q104" s="17">
        <f t="shared" si="103"/>
        <v>0.98084384160737059</v>
      </c>
      <c r="S104" s="17">
        <f t="shared" si="104"/>
        <v>0.98084384160737059</v>
      </c>
      <c r="T104" s="17">
        <f t="shared" si="105"/>
        <v>2.3608165043835561</v>
      </c>
      <c r="U104" s="17">
        <f t="shared" si="106"/>
        <v>3.0823121849831381</v>
      </c>
      <c r="W104" t="str">
        <f t="shared" si="107"/>
        <v>81 Process, plant and machine operatives</v>
      </c>
      <c r="X104" s="17">
        <f t="shared" si="108"/>
        <v>0.86899543307494831</v>
      </c>
      <c r="Y104" s="17">
        <f t="shared" si="108"/>
        <v>-13.634876033629562</v>
      </c>
      <c r="Z104" s="17">
        <f t="shared" si="108"/>
        <v>4.6489595048896382</v>
      </c>
      <c r="AA104" s="17">
        <f t="shared" si="108"/>
        <v>0.19156333343917087</v>
      </c>
      <c r="AB104" s="17">
        <f t="shared" si="109"/>
        <v>1.6558572306938135</v>
      </c>
      <c r="AD104" s="17">
        <f t="shared" si="110"/>
        <v>1.6558572306938135</v>
      </c>
      <c r="AE104" s="17">
        <f t="shared" si="111"/>
        <v>3.2250686027589959</v>
      </c>
      <c r="AF104" s="17">
        <f t="shared" si="112"/>
        <v>4.332098710042076</v>
      </c>
    </row>
    <row r="105" spans="1:32" x14ac:dyDescent="0.3">
      <c r="A105" t="str">
        <f t="shared" si="95"/>
        <v>82 Transport and mobile machine drivers and operatives</v>
      </c>
      <c r="B105" s="17">
        <f t="shared" si="96"/>
        <v>2.5745600839970795</v>
      </c>
      <c r="C105" s="17">
        <f t="shared" si="96"/>
        <v>-10.885012683908712</v>
      </c>
      <c r="D105" s="17">
        <f t="shared" si="96"/>
        <v>1.4187857542961479</v>
      </c>
      <c r="E105" s="17">
        <f t="shared" si="96"/>
        <v>-5.5853755931944971E-2</v>
      </c>
      <c r="F105" s="17">
        <f t="shared" si="97"/>
        <v>0.4332948412486326</v>
      </c>
      <c r="H105" s="17">
        <f t="shared" si="98"/>
        <v>0.4332948412486326</v>
      </c>
      <c r="I105" s="17">
        <f t="shared" si="99"/>
        <v>3.009054310625614</v>
      </c>
      <c r="J105" s="17">
        <f t="shared" si="100"/>
        <v>3.2982506778790555</v>
      </c>
      <c r="K105" s="39"/>
      <c r="L105" t="str">
        <f t="shared" si="101"/>
        <v>82 Transport and mobile machine drivers and operatives</v>
      </c>
      <c r="M105" s="17">
        <f t="shared" si="102"/>
        <v>2.7236560212555272</v>
      </c>
      <c r="N105" s="17">
        <f t="shared" si="102"/>
        <v>-11.196360099221437</v>
      </c>
      <c r="O105" s="17">
        <f t="shared" si="102"/>
        <v>0.93493145210332695</v>
      </c>
      <c r="P105" s="17">
        <f t="shared" si="102"/>
        <v>-0.18814067166658122</v>
      </c>
      <c r="Q105" s="17">
        <f t="shared" si="103"/>
        <v>0.18482133849673232</v>
      </c>
      <c r="S105" s="17">
        <f t="shared" si="104"/>
        <v>0.18482133849673232</v>
      </c>
      <c r="T105" s="17">
        <f t="shared" si="105"/>
        <v>2.9091018119174583</v>
      </c>
      <c r="U105" s="17">
        <f t="shared" si="106"/>
        <v>3.0333676478627059</v>
      </c>
      <c r="W105" t="str">
        <f t="shared" si="107"/>
        <v>82 Transport and mobile machine drivers and operatives</v>
      </c>
      <c r="X105" s="17">
        <f t="shared" si="108"/>
        <v>0.20113802292831551</v>
      </c>
      <c r="Y105" s="17">
        <f t="shared" si="108"/>
        <v>-5.6091055894590518</v>
      </c>
      <c r="Z105" s="17">
        <f t="shared" si="108"/>
        <v>8.1147958046868816</v>
      </c>
      <c r="AA105" s="17">
        <f t="shared" si="108"/>
        <v>1.3399259477121062</v>
      </c>
      <c r="AB105" s="17">
        <f t="shared" si="109"/>
        <v>3.5496811302046183</v>
      </c>
      <c r="AD105" s="17">
        <f t="shared" si="110"/>
        <v>3.5496811302046183</v>
      </c>
      <c r="AE105" s="17">
        <f t="shared" si="111"/>
        <v>4.4431923449917532</v>
      </c>
      <c r="AF105" s="17">
        <f t="shared" si="112"/>
        <v>6.5964863510453942</v>
      </c>
    </row>
    <row r="106" spans="1:32" x14ac:dyDescent="0.3">
      <c r="A106" t="str">
        <f t="shared" si="95"/>
        <v>91 Elementary trades and related occupations</v>
      </c>
      <c r="B106" s="17">
        <f t="shared" si="96"/>
        <v>-2.8087273146178204</v>
      </c>
      <c r="C106" s="17">
        <f t="shared" si="96"/>
        <v>-11.15656154117648</v>
      </c>
      <c r="D106" s="17">
        <f t="shared" si="96"/>
        <v>-3.4549830651892544</v>
      </c>
      <c r="E106" s="17">
        <f t="shared" si="96"/>
        <v>-0.56886124088884049</v>
      </c>
      <c r="F106" s="17">
        <f t="shared" si="97"/>
        <v>-1.5403630899259446</v>
      </c>
      <c r="H106" s="17">
        <f t="shared" si="98"/>
        <v>-1.5403630899259446</v>
      </c>
      <c r="I106" s="17">
        <f t="shared" si="99"/>
        <v>1.9130390749522608</v>
      </c>
      <c r="J106" s="17">
        <f t="shared" si="100"/>
        <v>0.76455852644521372</v>
      </c>
      <c r="K106" s="39"/>
      <c r="L106" t="str">
        <f t="shared" si="101"/>
        <v>91 Elementary trades and related occupations</v>
      </c>
      <c r="M106" s="17">
        <f t="shared" si="102"/>
        <v>-2.7482360760468283</v>
      </c>
      <c r="N106" s="17">
        <f t="shared" si="102"/>
        <v>-9.365327900613984</v>
      </c>
      <c r="O106" s="17">
        <f t="shared" si="102"/>
        <v>-3.6668392484690338</v>
      </c>
      <c r="P106" s="17">
        <f t="shared" si="102"/>
        <v>-0.60734407708510352</v>
      </c>
      <c r="Q106" s="17">
        <f t="shared" si="103"/>
        <v>-1.6378226262367956</v>
      </c>
      <c r="S106" s="17">
        <f t="shared" si="104"/>
        <v>-1.6378226262367956</v>
      </c>
      <c r="T106" s="17">
        <f t="shared" si="105"/>
        <v>1.6227526985640228</v>
      </c>
      <c r="U106" s="17">
        <f t="shared" si="106"/>
        <v>0.34928616857996531</v>
      </c>
      <c r="W106" t="str">
        <f t="shared" si="107"/>
        <v>91 Elementary trades and related occupations</v>
      </c>
      <c r="X106" s="17">
        <f t="shared" si="108"/>
        <v>-3.0128715899401803</v>
      </c>
      <c r="Y106" s="17">
        <f t="shared" si="108"/>
        <v>-17.242905981421973</v>
      </c>
      <c r="Z106" s="17">
        <f t="shared" si="108"/>
        <v>-2.6825177735801731</v>
      </c>
      <c r="AA106" s="17">
        <f t="shared" si="108"/>
        <v>-0.43381789796017589</v>
      </c>
      <c r="AB106" s="17">
        <f t="shared" si="109"/>
        <v>-1.1890993923947102</v>
      </c>
      <c r="AD106" s="17">
        <f t="shared" si="110"/>
        <v>-1.1890993923947102</v>
      </c>
      <c r="AE106" s="17">
        <f t="shared" si="111"/>
        <v>2.9019274454619604</v>
      </c>
      <c r="AF106" s="17">
        <f t="shared" si="112"/>
        <v>2.1288971591195471</v>
      </c>
    </row>
    <row r="107" spans="1:32" x14ac:dyDescent="0.3">
      <c r="A107" t="str">
        <f t="shared" si="95"/>
        <v>92 Elementary administration and service occupations</v>
      </c>
      <c r="B107" s="17">
        <f t="shared" si="96"/>
        <v>0.23471602999776131</v>
      </c>
      <c r="C107" s="17">
        <f t="shared" si="96"/>
        <v>-8.3120641017658485</v>
      </c>
      <c r="D107" s="17">
        <f t="shared" si="96"/>
        <v>0.44525863549873534</v>
      </c>
      <c r="E107" s="17">
        <f t="shared" si="96"/>
        <v>-0.37561164368371536</v>
      </c>
      <c r="F107" s="17">
        <f t="shared" si="97"/>
        <v>-0.10273631651783743</v>
      </c>
      <c r="H107" s="17">
        <f t="shared" si="98"/>
        <v>-0.10273631651783743</v>
      </c>
      <c r="I107" s="17">
        <f t="shared" si="99"/>
        <v>2.6943300846090645</v>
      </c>
      <c r="J107" s="17">
        <f t="shared" si="100"/>
        <v>2.6236913658639782</v>
      </c>
      <c r="K107" s="39"/>
      <c r="L107" t="str">
        <f t="shared" si="101"/>
        <v>92 Elementary administration and service occupations</v>
      </c>
      <c r="M107" s="17">
        <f t="shared" si="102"/>
        <v>-0.5652820235277134</v>
      </c>
      <c r="N107" s="17">
        <f t="shared" si="102"/>
        <v>-5.923532737239956</v>
      </c>
      <c r="O107" s="17">
        <f t="shared" si="102"/>
        <v>1.2678230363545762</v>
      </c>
      <c r="P107" s="17">
        <f t="shared" si="102"/>
        <v>-0.41503892983718593</v>
      </c>
      <c r="Q107" s="17">
        <f t="shared" si="103"/>
        <v>0.1427845854768961</v>
      </c>
      <c r="S107" s="17">
        <f t="shared" si="104"/>
        <v>0.1427845854768961</v>
      </c>
      <c r="T107" s="17">
        <f t="shared" si="105"/>
        <v>2.3575067674916239</v>
      </c>
      <c r="U107" s="17">
        <f t="shared" si="106"/>
        <v>2.4608494042027695</v>
      </c>
      <c r="W107" t="str">
        <f t="shared" si="107"/>
        <v>92 Elementary administration and service occupations</v>
      </c>
      <c r="X107" s="17">
        <f t="shared" si="108"/>
        <v>0.99228931329540249</v>
      </c>
      <c r="Y107" s="17">
        <f t="shared" si="108"/>
        <v>-10.487714954367021</v>
      </c>
      <c r="Z107" s="17">
        <f t="shared" si="108"/>
        <v>-0.36827275605390009</v>
      </c>
      <c r="AA107" s="17">
        <f t="shared" si="108"/>
        <v>-0.3348127143892099</v>
      </c>
      <c r="AB107" s="17">
        <f t="shared" si="109"/>
        <v>-0.34596730999413294</v>
      </c>
      <c r="AD107" s="17">
        <f t="shared" si="110"/>
        <v>-0.34596730999413294</v>
      </c>
      <c r="AE107" s="17">
        <f t="shared" si="111"/>
        <v>3.002902897010773</v>
      </c>
      <c r="AF107" s="17">
        <f t="shared" si="112"/>
        <v>2.7762651971039887</v>
      </c>
    </row>
    <row r="108" spans="1:32" x14ac:dyDescent="0.3">
      <c r="C108" s="17"/>
      <c r="F108" s="17"/>
      <c r="H108" s="17"/>
      <c r="I108" s="17"/>
      <c r="J108" s="17"/>
      <c r="N108" s="17"/>
      <c r="Q108" s="17"/>
      <c r="S108" s="17"/>
      <c r="T108" s="17"/>
      <c r="U108" s="17"/>
      <c r="Y108" s="17"/>
      <c r="AB108" s="17"/>
      <c r="AD108" s="17"/>
      <c r="AE108" s="17"/>
      <c r="AF108" s="17"/>
    </row>
    <row r="109" spans="1:32" x14ac:dyDescent="0.3">
      <c r="A109" s="23" t="str">
        <f>A35</f>
        <v>All occupations</v>
      </c>
      <c r="B109" s="25">
        <f>IF(AND(C$6-B$6 &lt;&gt; 0,B35&lt;&gt;0,C35&lt;&gt;0),(EXP(LN(C35/B35)/(C$6-B$6))-1)*100,0)</f>
        <v>1.2459947050990294</v>
      </c>
      <c r="C109" s="25">
        <f>IF(AND(D$6-C$6 &lt;&gt; 0,C35&lt;&gt;0,D35&lt;&gt;0),(EXP(LN(D35/C35)/(D$6-C$6))-1)*100,0)</f>
        <v>-1.1028869104619754</v>
      </c>
      <c r="D109" s="25">
        <f>IF(AND(E$6-D$6 &lt;&gt; 0,D35&lt;&gt;0,E35&lt;&gt;0),(EXP(LN(E35/D35)/(E$6-D$6))-1)*100,0)</f>
        <v>0.59186970332352207</v>
      </c>
      <c r="E109" s="25">
        <f>IF(AND(F$6-E$6 &lt;&gt; 0,E35&lt;&gt;0,F35&lt;&gt;0),(EXP(LN(F35/E35)/(F$6-E$6))-1)*100,0)</f>
        <v>0.42098726884287618</v>
      </c>
      <c r="F109" s="25">
        <f t="shared" ref="F109" si="113">IF(AND(F$6-D$6 &lt;&gt; 0,D35&lt;&gt;0,F35&lt;&gt;0),(EXP(LN(F35/D35)/(F$6-D$6))-1)*100,0)</f>
        <v>0.47791580152365398</v>
      </c>
      <c r="H109" s="25">
        <f>IF($F$6-$D$6 &lt;&gt; 0,(EXP(LN(1+(H72/100))/($F$6-$D$6))-1)*100,0)</f>
        <v>0.47791580152365398</v>
      </c>
      <c r="I109" s="25">
        <f>IF(D35&gt;0,((1+(I35/D35))^(1/($F$6-$D$6))-1)*100,0)</f>
        <v>2.7460827719290926</v>
      </c>
      <c r="J109" s="25">
        <f t="shared" ref="J109" si="114">IF($F$6-$D$6 &lt;&gt; 0,(EXP(LN(1+(J72/100))/($F$6-$D$6))-1)*100,0)</f>
        <v>3.0767670650760692</v>
      </c>
      <c r="L109" s="23" t="str">
        <f>L35</f>
        <v>All occupations</v>
      </c>
      <c r="M109" s="25">
        <f>IF(AND(N$6-M$6 &lt;&gt; 0,M35&lt;&gt;0,N35&lt;&gt;0),(EXP(LN(N35/M35)/(N$6-M$6))-1)*100,0)</f>
        <v>1.0409584683032547</v>
      </c>
      <c r="N109" s="25">
        <f>IF(AND(O$6-N$6 &lt;&gt; 0,N35&lt;&gt;0,O35&lt;&gt;0),(EXP(LN(O35/N35)/(O$6-N$6))-1)*100,0)</f>
        <v>-2.0682461793294027</v>
      </c>
      <c r="O109" s="25">
        <f>IF(AND(P$6-O$6 &lt;&gt; 0,O35&lt;&gt;0,P35&lt;&gt;0),(EXP(LN(P35/O35)/(P$6-O$6))-1)*100,0)</f>
        <v>0.52983248925964066</v>
      </c>
      <c r="P109" s="25">
        <f>IF(AND(Q$6-P$6 &lt;&gt; 0,P35&lt;&gt;0,Q35&lt;&gt;0),(EXP(LN(Q35/P35)/(Q$6-P$6))-1)*100,0)</f>
        <v>0.34854343288395206</v>
      </c>
      <c r="Q109" s="25">
        <f t="shared" ref="Q109" si="115">IF(AND(Q$6-O$6 &lt;&gt; 0,O35&lt;&gt;0,Q35&lt;&gt;0),(EXP(LN(Q35/O35)/(Q$6-O$6))-1)*100,0)</f>
        <v>0.40893676419082592</v>
      </c>
      <c r="S109" s="25">
        <f t="shared" ref="S109" si="116">IF($F$6-$D$6 &lt;&gt; 0,(EXP(LN(1+(S72/100))/($F$6-$D$6))-1)*100,0)</f>
        <v>0.40893676419082592</v>
      </c>
      <c r="T109" s="25">
        <f t="shared" ref="T109" si="117">IF(O35&gt;0,((1+(T35/O35))^(1/($F$6-$D$6))-1)*100,0)</f>
        <v>2.3565990307462092</v>
      </c>
      <c r="U109" s="25">
        <f t="shared" ref="U109" si="118">IF($F$6-$D$6 &lt;&gt; 0,(EXP(LN(1+(U72/100))/($F$6-$D$6))-1)*100,0)</f>
        <v>2.6542092291091723</v>
      </c>
      <c r="W109" s="23" t="str">
        <f>W35</f>
        <v>All occupations</v>
      </c>
      <c r="X109" s="25">
        <f>IF(AND(Y$6-X$6 &lt;&gt; 0,X35&lt;&gt;0,Y35&lt;&gt;0),(EXP(LN(Y35/X35)/(Y$6-X$6))-1)*100,0)</f>
        <v>1.4721269646963187</v>
      </c>
      <c r="Y109" s="25">
        <f>IF(AND(Z$6-Y$6 &lt;&gt; 0,Y35&lt;&gt;0,Z35&lt;&gt;0),(EXP(LN(Z35/Y35)/(Z$6-Y$6))-1)*100,0)</f>
        <v>-4.9475931794606964E-2</v>
      </c>
      <c r="Z109" s="25">
        <f>IF(AND(AA$6-Z$6 &lt;&gt; 0,Z35&lt;&gt;0,AA35&lt;&gt;0),(EXP(LN(AA35/Z35)/(AA$6-Z$6))-1)*100,0)</f>
        <v>0.65802927139826384</v>
      </c>
      <c r="AA109" s="25">
        <f>IF(AND(AB$6-AA$6 &lt;&gt; 0,AA35&lt;&gt;0,AB35&lt;&gt;0),(EXP(LN(AB35/AA35)/(AB$6-AA$6))-1)*100,0)</f>
        <v>0.4974383625826917</v>
      </c>
      <c r="AB109" s="25">
        <f t="shared" ref="AB109" si="119">IF(AND(AB$6-Z$6 &lt;&gt; 0,Z35&lt;&gt;0,AB35&lt;&gt;0),(EXP(LN(AB35/Z35)/(AB$6-Z$6))-1)*100,0)</f>
        <v>0.55094017770871417</v>
      </c>
      <c r="AD109" s="25">
        <f t="shared" ref="AD109" si="120">IF($F$6-$D$6 &lt;&gt; 0,(EXP(LN(1+(AD72/100))/($F$6-$D$6))-1)*100,0)</f>
        <v>0.55094017770871417</v>
      </c>
      <c r="AE109" s="25">
        <f t="shared" ref="AE109" si="121">IF(Z35&gt;0,((1+(AE35/Z35))^(1/($F$6-$D$6))-1)*100,0)</f>
        <v>3.1408415165634862</v>
      </c>
      <c r="AF109" s="25">
        <f t="shared" ref="AF109" si="122">IF($F$6-$D$6 &lt;&gt; 0,(EXP(LN(1+(AF72/100))/($F$6-$D$6))-1)*100,0)</f>
        <v>3.5032409808263054</v>
      </c>
    </row>
    <row r="112" spans="1:32" ht="15.45" x14ac:dyDescent="0.4">
      <c r="A112" s="18" t="str">
        <f>CONCATENATE(A$1," (Continued)")</f>
        <v>Occupation Table 2  Employment Change by Occupation (SOC 2020) and Replacement Demand, 2015-2035, United Kingdom (Continued)</v>
      </c>
      <c r="L112" s="18" t="str">
        <f>CONCATENATE(L$1," (Continued)")</f>
        <v>Occupation Table 2.1  Males: Employment Change by Occupation (SOC 2020) and Replacement Demand, 2015-2035, United Kingdom (Continued)</v>
      </c>
      <c r="W112" s="18" t="str">
        <f>CONCATENATE(W$1," (Continued)")</f>
        <v>Occupation Table 2.2  Females: Employment Change by Occupation (SOC 2020) and Replacement Demand, 2015-2035, United Kingdom (Continued)</v>
      </c>
    </row>
    <row r="114" spans="1:28" x14ac:dyDescent="0.3">
      <c r="F114" s="15" t="s">
        <v>35</v>
      </c>
      <c r="Q114" s="15" t="s">
        <v>35</v>
      </c>
      <c r="AB114" s="15" t="s">
        <v>35</v>
      </c>
    </row>
    <row r="115" spans="1:28" x14ac:dyDescent="0.3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</row>
    <row r="117" spans="1:28" x14ac:dyDescent="0.3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</row>
    <row r="118" spans="1:28" x14ac:dyDescent="0.3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3">
      <c r="A119" t="str">
        <f t="shared" ref="A119:A144" si="123">A8</f>
        <v>11 Corporate managers and directors</v>
      </c>
      <c r="B119" s="26">
        <f t="shared" ref="B119:E144" si="124">C8-B8</f>
        <v>396.43593768325536</v>
      </c>
      <c r="C119" s="26">
        <f t="shared" si="124"/>
        <v>59.207702060157317</v>
      </c>
      <c r="D119" s="26">
        <f t="shared" si="124"/>
        <v>-157.04180323917808</v>
      </c>
      <c r="E119" s="26">
        <f t="shared" si="124"/>
        <v>234.7043743682425</v>
      </c>
      <c r="F119" s="26">
        <f t="shared" ref="F119:F144" si="125">F8-D8</f>
        <v>77.662571129064418</v>
      </c>
      <c r="L119" t="str">
        <f t="shared" ref="L119:L144" si="126">L8</f>
        <v>11 Corporate managers and directors</v>
      </c>
      <c r="M119" s="26">
        <f t="shared" ref="M119:P144" si="127">N8-M8</f>
        <v>207.00394308363434</v>
      </c>
      <c r="N119" s="26">
        <f t="shared" si="127"/>
        <v>25.291577320735541</v>
      </c>
      <c r="O119" s="26">
        <f t="shared" si="127"/>
        <v>-157.79181337227465</v>
      </c>
      <c r="P119" s="26">
        <f t="shared" si="127"/>
        <v>81.66116921119783</v>
      </c>
      <c r="Q119" s="26">
        <f t="shared" ref="Q119:Q144" si="128">Q8-O8</f>
        <v>-76.130644161076816</v>
      </c>
      <c r="W119" t="str">
        <f t="shared" ref="W119:W144" si="129">W8</f>
        <v>11 Corporate managers and directors</v>
      </c>
      <c r="X119" s="26">
        <f t="shared" ref="X119:AA144" si="130">Y8-X8</f>
        <v>189.43199459961784</v>
      </c>
      <c r="Y119" s="26">
        <f t="shared" si="130"/>
        <v>33.916124739430416</v>
      </c>
      <c r="Z119" s="26">
        <f t="shared" si="130"/>
        <v>0.7500101330972484</v>
      </c>
      <c r="AA119" s="26">
        <f t="shared" si="130"/>
        <v>153.04320515704046</v>
      </c>
      <c r="AB119" s="26">
        <f t="shared" ref="AB119:AB144" si="131">AB8-Z8</f>
        <v>153.79321529013771</v>
      </c>
    </row>
    <row r="120" spans="1:28" x14ac:dyDescent="0.3">
      <c r="A120" t="str">
        <f t="shared" si="123"/>
        <v>12 Other managers and proprietors</v>
      </c>
      <c r="B120" s="26">
        <f t="shared" si="124"/>
        <v>75.864459971722681</v>
      </c>
      <c r="C120" s="26">
        <f t="shared" si="124"/>
        <v>9.6259640034181757</v>
      </c>
      <c r="D120" s="26">
        <f t="shared" si="124"/>
        <v>273.12686372733947</v>
      </c>
      <c r="E120" s="26">
        <f t="shared" si="124"/>
        <v>220.90023344264819</v>
      </c>
      <c r="F120" s="26">
        <f t="shared" si="125"/>
        <v>494.02709716998766</v>
      </c>
      <c r="L120" t="str">
        <f t="shared" si="126"/>
        <v>12 Other managers and proprietors</v>
      </c>
      <c r="M120" s="26">
        <f t="shared" si="127"/>
        <v>37.804737795474466</v>
      </c>
      <c r="N120" s="26">
        <f t="shared" si="127"/>
        <v>-12.506125290969408</v>
      </c>
      <c r="O120" s="26">
        <f t="shared" si="127"/>
        <v>181.6391514279394</v>
      </c>
      <c r="P120" s="26">
        <f t="shared" si="127"/>
        <v>126.30347687112624</v>
      </c>
      <c r="Q120" s="26">
        <f t="shared" si="128"/>
        <v>307.94262829906563</v>
      </c>
      <c r="W120" t="str">
        <f t="shared" si="129"/>
        <v>12 Other managers and proprietors</v>
      </c>
      <c r="X120" s="26">
        <f t="shared" si="130"/>
        <v>38.059722176246567</v>
      </c>
      <c r="Y120" s="26">
        <f t="shared" si="130"/>
        <v>22.132089294385992</v>
      </c>
      <c r="Z120" s="26">
        <f t="shared" si="130"/>
        <v>91.487712299398481</v>
      </c>
      <c r="AA120" s="26">
        <f t="shared" si="130"/>
        <v>94.596756571523429</v>
      </c>
      <c r="AB120" s="26">
        <f t="shared" si="131"/>
        <v>186.08446887092191</v>
      </c>
    </row>
    <row r="121" spans="1:28" x14ac:dyDescent="0.3">
      <c r="A121" t="str">
        <f t="shared" si="123"/>
        <v>21 Science, research, engineering and technology professionals</v>
      </c>
      <c r="B121" s="26">
        <f t="shared" si="124"/>
        <v>274.15911308151362</v>
      </c>
      <c r="C121" s="26">
        <f t="shared" si="124"/>
        <v>89.88585203806997</v>
      </c>
      <c r="D121" s="26">
        <f t="shared" si="124"/>
        <v>138.24067939821362</v>
      </c>
      <c r="E121" s="26">
        <f t="shared" si="124"/>
        <v>256.25274533818992</v>
      </c>
      <c r="F121" s="26">
        <f t="shared" si="125"/>
        <v>394.49342473640354</v>
      </c>
      <c r="L121" t="str">
        <f t="shared" si="126"/>
        <v>21 Science, research, engineering and technology professionals</v>
      </c>
      <c r="M121" s="26">
        <f t="shared" si="127"/>
        <v>231.84133826684842</v>
      </c>
      <c r="N121" s="26">
        <f t="shared" si="127"/>
        <v>-2.6871949340534229</v>
      </c>
      <c r="O121" s="26">
        <f t="shared" si="127"/>
        <v>44.624530838745386</v>
      </c>
      <c r="P121" s="26">
        <f t="shared" si="127"/>
        <v>138.26572152253561</v>
      </c>
      <c r="Q121" s="26">
        <f t="shared" si="128"/>
        <v>182.890252361281</v>
      </c>
      <c r="W121" t="str">
        <f t="shared" si="129"/>
        <v>21 Science, research, engineering and technology professionals</v>
      </c>
      <c r="X121" s="26">
        <f t="shared" si="130"/>
        <v>42.317774814665086</v>
      </c>
      <c r="Y121" s="26">
        <f t="shared" si="130"/>
        <v>92.573046972117083</v>
      </c>
      <c r="Z121" s="26">
        <f t="shared" si="130"/>
        <v>93.616148559476585</v>
      </c>
      <c r="AA121" s="26">
        <f t="shared" si="130"/>
        <v>117.9870238156368</v>
      </c>
      <c r="AB121" s="26">
        <f t="shared" si="131"/>
        <v>211.60317237511339</v>
      </c>
    </row>
    <row r="122" spans="1:28" x14ac:dyDescent="0.3">
      <c r="A122" t="str">
        <f t="shared" si="123"/>
        <v>22 Health professionals</v>
      </c>
      <c r="B122" s="26">
        <f t="shared" si="124"/>
        <v>213.81795990471937</v>
      </c>
      <c r="C122" s="26">
        <f t="shared" si="124"/>
        <v>7.1667740453351598</v>
      </c>
      <c r="D122" s="26">
        <f t="shared" si="124"/>
        <v>137.52390216715389</v>
      </c>
      <c r="E122" s="26">
        <f t="shared" si="124"/>
        <v>172.56458785581208</v>
      </c>
      <c r="F122" s="26">
        <f t="shared" si="125"/>
        <v>310.08849002296597</v>
      </c>
      <c r="L122" t="str">
        <f t="shared" si="126"/>
        <v>22 Health professionals</v>
      </c>
      <c r="M122" s="26">
        <f t="shared" si="127"/>
        <v>51.583530958155222</v>
      </c>
      <c r="N122" s="26">
        <f t="shared" si="127"/>
        <v>38.515611615543207</v>
      </c>
      <c r="O122" s="26">
        <f t="shared" si="127"/>
        <v>32.707054712311333</v>
      </c>
      <c r="P122" s="26">
        <f t="shared" si="127"/>
        <v>45.474906457491613</v>
      </c>
      <c r="Q122" s="26">
        <f t="shared" si="128"/>
        <v>78.181961169802946</v>
      </c>
      <c r="W122" t="str">
        <f t="shared" si="129"/>
        <v>22 Health professionals</v>
      </c>
      <c r="X122" s="26">
        <f t="shared" si="130"/>
        <v>162.23442894656228</v>
      </c>
      <c r="Y122" s="26">
        <f t="shared" si="130"/>
        <v>-31.348837570206115</v>
      </c>
      <c r="Z122" s="26">
        <f t="shared" si="130"/>
        <v>104.81684745484108</v>
      </c>
      <c r="AA122" s="26">
        <f t="shared" si="130"/>
        <v>127.08968139831973</v>
      </c>
      <c r="AB122" s="26">
        <f t="shared" si="131"/>
        <v>231.90652885316081</v>
      </c>
    </row>
    <row r="123" spans="1:28" x14ac:dyDescent="0.3">
      <c r="A123" t="str">
        <f t="shared" si="123"/>
        <v>23 Teaching and other educational professionals</v>
      </c>
      <c r="B123" s="26">
        <f t="shared" si="124"/>
        <v>93.748660436703858</v>
      </c>
      <c r="C123" s="26">
        <f t="shared" si="124"/>
        <v>73.667641447996175</v>
      </c>
      <c r="D123" s="26">
        <f t="shared" si="124"/>
        <v>95.377025989569347</v>
      </c>
      <c r="E123" s="26">
        <f t="shared" si="124"/>
        <v>172.25346012324439</v>
      </c>
      <c r="F123" s="26">
        <f t="shared" si="125"/>
        <v>267.63048611281374</v>
      </c>
      <c r="L123" t="str">
        <f t="shared" si="126"/>
        <v>23 Teaching and other educational professionals</v>
      </c>
      <c r="M123" s="26">
        <f t="shared" si="127"/>
        <v>-3.1740437508161676</v>
      </c>
      <c r="N123" s="26">
        <f t="shared" si="127"/>
        <v>32.299730772165276</v>
      </c>
      <c r="O123" s="26">
        <f t="shared" si="127"/>
        <v>51.220701877405872</v>
      </c>
      <c r="P123" s="26">
        <f t="shared" si="127"/>
        <v>47.916798695837656</v>
      </c>
      <c r="Q123" s="26">
        <f t="shared" si="128"/>
        <v>99.137500573243528</v>
      </c>
      <c r="W123" t="str">
        <f t="shared" si="129"/>
        <v>23 Teaching and other educational professionals</v>
      </c>
      <c r="X123" s="26">
        <f t="shared" si="130"/>
        <v>96.922704187522413</v>
      </c>
      <c r="Y123" s="26">
        <f t="shared" si="130"/>
        <v>41.367910675830444</v>
      </c>
      <c r="Z123" s="26">
        <f t="shared" si="130"/>
        <v>44.156324112163247</v>
      </c>
      <c r="AA123" s="26">
        <f t="shared" si="130"/>
        <v>124.33666142740753</v>
      </c>
      <c r="AB123" s="26">
        <f t="shared" si="131"/>
        <v>168.49298553957078</v>
      </c>
    </row>
    <row r="124" spans="1:28" x14ac:dyDescent="0.3">
      <c r="A124" t="str">
        <f t="shared" si="123"/>
        <v>24 Business, media and public service professionals</v>
      </c>
      <c r="B124" s="26">
        <f t="shared" si="124"/>
        <v>369.22641952625486</v>
      </c>
      <c r="C124" s="26">
        <f t="shared" si="124"/>
        <v>192.42544418608759</v>
      </c>
      <c r="D124" s="26">
        <f t="shared" si="124"/>
        <v>317.77335895884698</v>
      </c>
      <c r="E124" s="26">
        <f t="shared" si="124"/>
        <v>352.25161042238778</v>
      </c>
      <c r="F124" s="26">
        <f t="shared" si="125"/>
        <v>670.02496938123477</v>
      </c>
      <c r="L124" t="str">
        <f t="shared" si="126"/>
        <v>24 Business, media and public service professionals</v>
      </c>
      <c r="M124" s="26">
        <f t="shared" si="127"/>
        <v>160.88037951648221</v>
      </c>
      <c r="N124" s="26">
        <f t="shared" si="127"/>
        <v>77.427732358065214</v>
      </c>
      <c r="O124" s="26">
        <f t="shared" si="127"/>
        <v>179.1360904073581</v>
      </c>
      <c r="P124" s="26">
        <f t="shared" si="127"/>
        <v>143.44475369335555</v>
      </c>
      <c r="Q124" s="26">
        <f t="shared" si="128"/>
        <v>322.58084410071365</v>
      </c>
      <c r="W124" t="str">
        <f t="shared" si="129"/>
        <v>24 Business, media and public service professionals</v>
      </c>
      <c r="X124" s="26">
        <f t="shared" si="130"/>
        <v>208.34604000978049</v>
      </c>
      <c r="Y124" s="26">
        <f t="shared" si="130"/>
        <v>114.99771182802056</v>
      </c>
      <c r="Z124" s="26">
        <f t="shared" si="130"/>
        <v>138.63726855149366</v>
      </c>
      <c r="AA124" s="26">
        <f t="shared" si="130"/>
        <v>208.80685672903019</v>
      </c>
      <c r="AB124" s="26">
        <f t="shared" si="131"/>
        <v>347.44412528052385</v>
      </c>
    </row>
    <row r="125" spans="1:28" x14ac:dyDescent="0.3">
      <c r="A125" t="str">
        <f t="shared" si="123"/>
        <v>31 Science, engineering and technology associate professionals</v>
      </c>
      <c r="B125" s="26">
        <f t="shared" si="124"/>
        <v>96.835733466832721</v>
      </c>
      <c r="C125" s="26">
        <f t="shared" si="124"/>
        <v>54.190379440018319</v>
      </c>
      <c r="D125" s="26">
        <f t="shared" si="124"/>
        <v>-78.670349909127367</v>
      </c>
      <c r="E125" s="26">
        <f t="shared" si="124"/>
        <v>44.664842625805136</v>
      </c>
      <c r="F125" s="26">
        <f t="shared" si="125"/>
        <v>-34.005507283322231</v>
      </c>
      <c r="L125" t="str">
        <f t="shared" si="126"/>
        <v>31 Science, engineering and technology associate professionals</v>
      </c>
      <c r="M125" s="26">
        <f t="shared" si="127"/>
        <v>86.811467243191089</v>
      </c>
      <c r="N125" s="26">
        <f t="shared" si="127"/>
        <v>18.923777366225806</v>
      </c>
      <c r="O125" s="26">
        <f t="shared" si="127"/>
        <v>-86.834269546774863</v>
      </c>
      <c r="P125" s="26">
        <f t="shared" si="127"/>
        <v>8.1272661668048158</v>
      </c>
      <c r="Q125" s="26">
        <f t="shared" si="128"/>
        <v>-78.707003379970047</v>
      </c>
      <c r="W125" t="str">
        <f t="shared" si="129"/>
        <v>31 Science, engineering and technology associate professionals</v>
      </c>
      <c r="X125" s="26">
        <f t="shared" si="130"/>
        <v>10.024266223639614</v>
      </c>
      <c r="Y125" s="26">
        <f t="shared" si="130"/>
        <v>35.266602073793024</v>
      </c>
      <c r="Z125" s="26">
        <f t="shared" si="130"/>
        <v>8.1639196376454493</v>
      </c>
      <c r="AA125" s="26">
        <f t="shared" si="130"/>
        <v>36.537576459002508</v>
      </c>
      <c r="AB125" s="26">
        <f t="shared" si="131"/>
        <v>44.701496096647958</v>
      </c>
    </row>
    <row r="126" spans="1:28" x14ac:dyDescent="0.3">
      <c r="A126" t="str">
        <f t="shared" si="123"/>
        <v>32 Health and social care associate professionals</v>
      </c>
      <c r="B126" s="26">
        <f t="shared" si="124"/>
        <v>70.212048451648116</v>
      </c>
      <c r="C126" s="26">
        <f t="shared" si="124"/>
        <v>19.186110448247177</v>
      </c>
      <c r="D126" s="26">
        <f t="shared" si="124"/>
        <v>12.218709517665729</v>
      </c>
      <c r="E126" s="26">
        <f t="shared" si="124"/>
        <v>69.458205975321221</v>
      </c>
      <c r="F126" s="26">
        <f t="shared" si="125"/>
        <v>81.67691549298695</v>
      </c>
      <c r="L126" t="str">
        <f t="shared" si="126"/>
        <v>32 Health and social care associate professionals</v>
      </c>
      <c r="M126" s="26">
        <f t="shared" si="127"/>
        <v>3.9310381927563753</v>
      </c>
      <c r="N126" s="26">
        <f t="shared" si="127"/>
        <v>14.774430298436386</v>
      </c>
      <c r="O126" s="26">
        <f t="shared" si="127"/>
        <v>-12.761935191730032</v>
      </c>
      <c r="P126" s="26">
        <f t="shared" si="127"/>
        <v>9.5708251514229801</v>
      </c>
      <c r="Q126" s="26">
        <f t="shared" si="128"/>
        <v>-3.191110040307052</v>
      </c>
      <c r="W126" t="str">
        <f t="shared" si="129"/>
        <v>32 Health and social care associate professionals</v>
      </c>
      <c r="X126" s="26">
        <f t="shared" si="130"/>
        <v>66.281010258890262</v>
      </c>
      <c r="Y126" s="26">
        <f t="shared" si="130"/>
        <v>4.4116801498121276</v>
      </c>
      <c r="Z126" s="26">
        <f t="shared" si="130"/>
        <v>24.980644709396074</v>
      </c>
      <c r="AA126" s="26">
        <f t="shared" si="130"/>
        <v>59.887380823896933</v>
      </c>
      <c r="AB126" s="26">
        <f t="shared" si="131"/>
        <v>84.868025533293007</v>
      </c>
    </row>
    <row r="127" spans="1:28" x14ac:dyDescent="0.3">
      <c r="A127" t="str">
        <f t="shared" si="123"/>
        <v>33 Protective service occupations</v>
      </c>
      <c r="B127" s="26">
        <f t="shared" si="124"/>
        <v>11.103435117621927</v>
      </c>
      <c r="C127" s="26">
        <f t="shared" si="124"/>
        <v>22.502239009372886</v>
      </c>
      <c r="D127" s="26">
        <f t="shared" si="124"/>
        <v>74.220007217003456</v>
      </c>
      <c r="E127" s="26">
        <f t="shared" si="124"/>
        <v>69.56835993645376</v>
      </c>
      <c r="F127" s="26">
        <f t="shared" si="125"/>
        <v>143.78836715345722</v>
      </c>
      <c r="L127" t="str">
        <f t="shared" si="126"/>
        <v>33 Protective service occupations</v>
      </c>
      <c r="M127" s="26">
        <f t="shared" si="127"/>
        <v>1.1157823690815576</v>
      </c>
      <c r="N127" s="26">
        <f t="shared" si="127"/>
        <v>11.041950334805449</v>
      </c>
      <c r="O127" s="26">
        <f t="shared" si="127"/>
        <v>39.903467154444968</v>
      </c>
      <c r="P127" s="26">
        <f t="shared" si="127"/>
        <v>25.405250603593061</v>
      </c>
      <c r="Q127" s="26">
        <f t="shared" si="128"/>
        <v>65.308717758038028</v>
      </c>
      <c r="W127" t="str">
        <f t="shared" si="129"/>
        <v>33 Protective service occupations</v>
      </c>
      <c r="X127" s="26">
        <f t="shared" si="130"/>
        <v>9.9876527485408957</v>
      </c>
      <c r="Y127" s="26">
        <f t="shared" si="130"/>
        <v>11.460288674567678</v>
      </c>
      <c r="Z127" s="26">
        <f t="shared" si="130"/>
        <v>34.316540062557621</v>
      </c>
      <c r="AA127" s="26">
        <f t="shared" si="130"/>
        <v>44.163109332863257</v>
      </c>
      <c r="AB127" s="26">
        <f t="shared" si="131"/>
        <v>78.479649395420878</v>
      </c>
    </row>
    <row r="128" spans="1:28" x14ac:dyDescent="0.3">
      <c r="A128" t="str">
        <f t="shared" si="123"/>
        <v>34 Culture, media and sports occupations</v>
      </c>
      <c r="B128" s="26">
        <f t="shared" si="124"/>
        <v>15.293746149114327</v>
      </c>
      <c r="C128" s="26">
        <f t="shared" si="124"/>
        <v>46.40929293038289</v>
      </c>
      <c r="D128" s="26">
        <f t="shared" si="124"/>
        <v>-4.6352710687539229</v>
      </c>
      <c r="E128" s="26">
        <f t="shared" si="124"/>
        <v>83.17591211555316</v>
      </c>
      <c r="F128" s="26">
        <f t="shared" si="125"/>
        <v>78.540641046799237</v>
      </c>
      <c r="L128" t="str">
        <f t="shared" si="126"/>
        <v>34 Culture, media and sports occupations</v>
      </c>
      <c r="M128" s="26">
        <f t="shared" si="127"/>
        <v>-1.550992505452939</v>
      </c>
      <c r="N128" s="26">
        <f t="shared" si="127"/>
        <v>6.0288018357068154</v>
      </c>
      <c r="O128" s="26">
        <f t="shared" si="127"/>
        <v>-0.15401062283768852</v>
      </c>
      <c r="P128" s="26">
        <f t="shared" si="127"/>
        <v>40.635211510740589</v>
      </c>
      <c r="Q128" s="26">
        <f t="shared" si="128"/>
        <v>40.481200887902901</v>
      </c>
      <c r="W128" t="str">
        <f t="shared" si="129"/>
        <v>34 Culture, media and sports occupations</v>
      </c>
      <c r="X128" s="26">
        <f t="shared" si="130"/>
        <v>16.844738654567948</v>
      </c>
      <c r="Y128" s="26">
        <f t="shared" si="130"/>
        <v>40.380491094676756</v>
      </c>
      <c r="Z128" s="26">
        <f t="shared" si="130"/>
        <v>-4.481260445917485</v>
      </c>
      <c r="AA128" s="26">
        <f t="shared" si="130"/>
        <v>42.540700604812571</v>
      </c>
      <c r="AB128" s="26">
        <f t="shared" si="131"/>
        <v>38.059440158895086</v>
      </c>
    </row>
    <row r="129" spans="1:28" x14ac:dyDescent="0.3">
      <c r="A129" t="str">
        <f t="shared" si="123"/>
        <v>35 Business and public service associate professionals</v>
      </c>
      <c r="B129" s="26">
        <f t="shared" si="124"/>
        <v>157.90969150591627</v>
      </c>
      <c r="C129" s="26">
        <f t="shared" si="124"/>
        <v>68.810777704711199</v>
      </c>
      <c r="D129" s="26">
        <f t="shared" si="124"/>
        <v>-74.632987409814632</v>
      </c>
      <c r="E129" s="26">
        <f t="shared" si="124"/>
        <v>101.0256203860763</v>
      </c>
      <c r="F129" s="26">
        <f t="shared" si="125"/>
        <v>26.392632976261666</v>
      </c>
      <c r="L129" t="str">
        <f t="shared" si="126"/>
        <v>35 Business and public service associate professionals</v>
      </c>
      <c r="M129" s="26">
        <f t="shared" si="127"/>
        <v>58.239571378000392</v>
      </c>
      <c r="N129" s="26">
        <f t="shared" si="127"/>
        <v>39.228164852423106</v>
      </c>
      <c r="O129" s="26">
        <f t="shared" si="127"/>
        <v>-76.308035101598989</v>
      </c>
      <c r="P129" s="26">
        <f t="shared" si="127"/>
        <v>3.0623538924714921</v>
      </c>
      <c r="Q129" s="26">
        <f t="shared" si="128"/>
        <v>-73.245681209127497</v>
      </c>
      <c r="W129" t="str">
        <f t="shared" si="129"/>
        <v>35 Business and public service associate professionals</v>
      </c>
      <c r="X129" s="26">
        <f t="shared" si="130"/>
        <v>99.670120127925088</v>
      </c>
      <c r="Y129" s="26">
        <f t="shared" si="130"/>
        <v>29.582612852287411</v>
      </c>
      <c r="Z129" s="26">
        <f t="shared" si="130"/>
        <v>1.6750476917736705</v>
      </c>
      <c r="AA129" s="26">
        <f t="shared" si="130"/>
        <v>97.963266493618448</v>
      </c>
      <c r="AB129" s="26">
        <f t="shared" si="131"/>
        <v>99.638314185392119</v>
      </c>
    </row>
    <row r="130" spans="1:28" x14ac:dyDescent="0.3">
      <c r="A130" t="str">
        <f t="shared" si="123"/>
        <v>41 Administrative occupations</v>
      </c>
      <c r="B130" s="26">
        <f t="shared" si="124"/>
        <v>-47.141270683693165</v>
      </c>
      <c r="C130" s="26">
        <f t="shared" si="124"/>
        <v>129.68878605392592</v>
      </c>
      <c r="D130" s="26">
        <f t="shared" si="124"/>
        <v>-239.56460704537221</v>
      </c>
      <c r="E130" s="26">
        <f t="shared" si="124"/>
        <v>-141.7722439774052</v>
      </c>
      <c r="F130" s="26">
        <f t="shared" si="125"/>
        <v>-381.33685102277741</v>
      </c>
      <c r="L130" t="str">
        <f t="shared" si="126"/>
        <v>41 Administrative occupations</v>
      </c>
      <c r="M130" s="26">
        <f t="shared" si="127"/>
        <v>-39.800999056122805</v>
      </c>
      <c r="N130" s="26">
        <f t="shared" si="127"/>
        <v>151.08364675298321</v>
      </c>
      <c r="O130" s="26">
        <f t="shared" si="127"/>
        <v>-45.578600854950537</v>
      </c>
      <c r="P130" s="26">
        <f t="shared" si="127"/>
        <v>78.014189175668321</v>
      </c>
      <c r="Q130" s="26">
        <f t="shared" si="128"/>
        <v>32.435588320717784</v>
      </c>
      <c r="W130" t="str">
        <f t="shared" si="129"/>
        <v>41 Administrative occupations</v>
      </c>
      <c r="X130" s="26">
        <f t="shared" si="130"/>
        <v>-7.3402716275650164</v>
      </c>
      <c r="Y130" s="26">
        <f t="shared" si="130"/>
        <v>-21.394860699067976</v>
      </c>
      <c r="Z130" s="26">
        <f t="shared" si="130"/>
        <v>-193.98600619040258</v>
      </c>
      <c r="AA130" s="26">
        <f t="shared" si="130"/>
        <v>-219.78643315307932</v>
      </c>
      <c r="AB130" s="26">
        <f t="shared" si="131"/>
        <v>-413.77243934348189</v>
      </c>
    </row>
    <row r="131" spans="1:28" x14ac:dyDescent="0.3">
      <c r="A131" t="str">
        <f t="shared" si="123"/>
        <v>42 Secretarial and related occupations</v>
      </c>
      <c r="B131" s="26">
        <f t="shared" si="124"/>
        <v>-60.946751114288986</v>
      </c>
      <c r="C131" s="26">
        <f t="shared" si="124"/>
        <v>-15.470057271838527</v>
      </c>
      <c r="D131" s="26">
        <f t="shared" si="124"/>
        <v>31.503511895163001</v>
      </c>
      <c r="E131" s="26">
        <f t="shared" si="124"/>
        <v>-136.94713290764366</v>
      </c>
      <c r="F131" s="26">
        <f t="shared" si="125"/>
        <v>-105.44362101248066</v>
      </c>
      <c r="L131" t="str">
        <f t="shared" si="126"/>
        <v>42 Secretarial and related occupations</v>
      </c>
      <c r="M131" s="26">
        <f t="shared" si="127"/>
        <v>-12.209144045568216</v>
      </c>
      <c r="N131" s="26">
        <f t="shared" si="127"/>
        <v>-1.8072599713598692</v>
      </c>
      <c r="O131" s="26">
        <f t="shared" si="127"/>
        <v>13.888761236158295</v>
      </c>
      <c r="P131" s="26">
        <f t="shared" si="127"/>
        <v>12.399208626075428</v>
      </c>
      <c r="Q131" s="26">
        <f t="shared" si="128"/>
        <v>26.287969862233723</v>
      </c>
      <c r="W131" t="str">
        <f t="shared" si="129"/>
        <v>42 Secretarial and related occupations</v>
      </c>
      <c r="X131" s="26">
        <f t="shared" si="130"/>
        <v>-48.737607068721104</v>
      </c>
      <c r="Y131" s="26">
        <f t="shared" si="130"/>
        <v>-13.662797300478701</v>
      </c>
      <c r="Z131" s="26">
        <f t="shared" si="130"/>
        <v>17.614750659004926</v>
      </c>
      <c r="AA131" s="26">
        <f t="shared" si="130"/>
        <v>-149.3463415337194</v>
      </c>
      <c r="AB131" s="26">
        <f t="shared" si="131"/>
        <v>-131.73159087471447</v>
      </c>
    </row>
    <row r="132" spans="1:28" x14ac:dyDescent="0.3">
      <c r="A132" t="str">
        <f t="shared" si="123"/>
        <v>51 Skilled agricultural and related trades</v>
      </c>
      <c r="B132" s="26">
        <f t="shared" si="124"/>
        <v>3.7100520689589302</v>
      </c>
      <c r="C132" s="26">
        <f t="shared" si="124"/>
        <v>-31.99526538174257</v>
      </c>
      <c r="D132" s="26">
        <f t="shared" si="124"/>
        <v>9.7527843656827145</v>
      </c>
      <c r="E132" s="26">
        <f t="shared" si="124"/>
        <v>37.269576443490962</v>
      </c>
      <c r="F132" s="26">
        <f t="shared" si="125"/>
        <v>47.022360809173676</v>
      </c>
      <c r="L132" t="str">
        <f t="shared" si="126"/>
        <v>51 Skilled agricultural and related trades</v>
      </c>
      <c r="M132" s="26">
        <f t="shared" si="127"/>
        <v>4.2184474468015765</v>
      </c>
      <c r="N132" s="26">
        <f t="shared" si="127"/>
        <v>-42.200547632105895</v>
      </c>
      <c r="O132" s="26">
        <f t="shared" si="127"/>
        <v>-0.19561230913393501</v>
      </c>
      <c r="P132" s="26">
        <f t="shared" si="127"/>
        <v>19.963849971170191</v>
      </c>
      <c r="Q132" s="26">
        <f t="shared" si="128"/>
        <v>19.768237662036256</v>
      </c>
      <c r="W132" t="str">
        <f t="shared" si="129"/>
        <v>51 Skilled agricultural and related trades</v>
      </c>
      <c r="X132" s="26">
        <f t="shared" si="130"/>
        <v>-0.50839537784172251</v>
      </c>
      <c r="Y132" s="26">
        <f t="shared" si="130"/>
        <v>10.2052822503614</v>
      </c>
      <c r="Z132" s="26">
        <f t="shared" si="130"/>
        <v>9.9483966748181416</v>
      </c>
      <c r="AA132" s="26">
        <f t="shared" si="130"/>
        <v>17.305726472320728</v>
      </c>
      <c r="AB132" s="26">
        <f t="shared" si="131"/>
        <v>27.25412314713887</v>
      </c>
    </row>
    <row r="133" spans="1:28" x14ac:dyDescent="0.3">
      <c r="A133" t="str">
        <f t="shared" si="123"/>
        <v>52 Skilled metal, electrical and electronic trades</v>
      </c>
      <c r="B133" s="26">
        <f t="shared" si="124"/>
        <v>19.339010457953009</v>
      </c>
      <c r="C133" s="26">
        <f t="shared" si="124"/>
        <v>-160.3654099605094</v>
      </c>
      <c r="D133" s="26">
        <f t="shared" si="124"/>
        <v>-10.946779445762331</v>
      </c>
      <c r="E133" s="26">
        <f t="shared" si="124"/>
        <v>-60.868184622338276</v>
      </c>
      <c r="F133" s="26">
        <f t="shared" si="125"/>
        <v>-71.814964068100608</v>
      </c>
      <c r="L133" t="str">
        <f t="shared" si="126"/>
        <v>52 Skilled metal, electrical and electronic trades</v>
      </c>
      <c r="M133" s="26">
        <f t="shared" si="127"/>
        <v>5.1314045112055737</v>
      </c>
      <c r="N133" s="26">
        <f t="shared" si="127"/>
        <v>-152.35195348197976</v>
      </c>
      <c r="O133" s="26">
        <f t="shared" si="127"/>
        <v>-45.401252964367359</v>
      </c>
      <c r="P133" s="26">
        <f t="shared" si="127"/>
        <v>-77.405342979623356</v>
      </c>
      <c r="Q133" s="26">
        <f t="shared" si="128"/>
        <v>-122.80659594399071</v>
      </c>
      <c r="W133" t="str">
        <f t="shared" si="129"/>
        <v>52 Skilled metal, electrical and electronic trades</v>
      </c>
      <c r="X133" s="26">
        <f t="shared" si="130"/>
        <v>14.207605946742174</v>
      </c>
      <c r="Y133" s="26">
        <f t="shared" si="130"/>
        <v>-8.0134564785314559</v>
      </c>
      <c r="Z133" s="26">
        <f t="shared" si="130"/>
        <v>34.454473518609163</v>
      </c>
      <c r="AA133" s="26">
        <f t="shared" si="130"/>
        <v>16.537158357283822</v>
      </c>
      <c r="AB133" s="26">
        <f t="shared" si="131"/>
        <v>50.991631875892992</v>
      </c>
    </row>
    <row r="134" spans="1:28" x14ac:dyDescent="0.3">
      <c r="A134" t="str">
        <f t="shared" si="123"/>
        <v>53 Skilled construction and building trades</v>
      </c>
      <c r="B134" s="26">
        <f t="shared" si="124"/>
        <v>-11.48118406156641</v>
      </c>
      <c r="C134" s="26">
        <f t="shared" si="124"/>
        <v>-171.71309556348012</v>
      </c>
      <c r="D134" s="26">
        <f t="shared" si="124"/>
        <v>44.046442998568523</v>
      </c>
      <c r="E134" s="26">
        <f t="shared" si="124"/>
        <v>-57.863906959992391</v>
      </c>
      <c r="F134" s="26">
        <f t="shared" si="125"/>
        <v>-13.817463961423869</v>
      </c>
      <c r="L134" t="str">
        <f t="shared" si="126"/>
        <v>53 Skilled construction and building trades</v>
      </c>
      <c r="M134" s="26">
        <f t="shared" si="127"/>
        <v>-15.328030119183722</v>
      </c>
      <c r="N134" s="26">
        <f t="shared" si="127"/>
        <v>-172.00963968816916</v>
      </c>
      <c r="O134" s="26">
        <f t="shared" si="127"/>
        <v>41.560199305756896</v>
      </c>
      <c r="P134" s="26">
        <f t="shared" si="127"/>
        <v>-62.986409630176468</v>
      </c>
      <c r="Q134" s="26">
        <f t="shared" si="128"/>
        <v>-21.426210324419571</v>
      </c>
      <c r="W134" t="str">
        <f t="shared" si="129"/>
        <v>53 Skilled construction and building trades</v>
      </c>
      <c r="X134" s="26">
        <f t="shared" si="130"/>
        <v>3.8468460576154264</v>
      </c>
      <c r="Y134" s="26">
        <f t="shared" si="130"/>
        <v>0.29654412468819302</v>
      </c>
      <c r="Z134" s="26">
        <f t="shared" si="130"/>
        <v>2.4862436928123124</v>
      </c>
      <c r="AA134" s="26">
        <f t="shared" si="130"/>
        <v>5.1225026701814826</v>
      </c>
      <c r="AB134" s="26">
        <f t="shared" si="131"/>
        <v>7.608746362993795</v>
      </c>
    </row>
    <row r="135" spans="1:28" x14ac:dyDescent="0.3">
      <c r="A135" t="str">
        <f t="shared" si="123"/>
        <v>54 Textiles, printing and other skilled trades</v>
      </c>
      <c r="B135" s="26">
        <f t="shared" si="124"/>
        <v>-66.200304962307882</v>
      </c>
      <c r="C135" s="26">
        <f t="shared" si="124"/>
        <v>-41.454504985899575</v>
      </c>
      <c r="D135" s="26">
        <f t="shared" si="124"/>
        <v>-1.6011310598482851</v>
      </c>
      <c r="E135" s="26">
        <f t="shared" si="124"/>
        <v>1.3357875203405456</v>
      </c>
      <c r="F135" s="26">
        <f t="shared" si="125"/>
        <v>-0.26534353950773948</v>
      </c>
      <c r="L135" t="str">
        <f t="shared" si="126"/>
        <v>54 Textiles, printing and other skilled trades</v>
      </c>
      <c r="M135" s="26">
        <f t="shared" si="127"/>
        <v>-47.047659024457232</v>
      </c>
      <c r="N135" s="26">
        <f t="shared" si="127"/>
        <v>-56.532939978567015</v>
      </c>
      <c r="O135" s="26">
        <f t="shared" si="127"/>
        <v>-1.6086508537026134</v>
      </c>
      <c r="P135" s="26">
        <f t="shared" si="127"/>
        <v>-2.966875663560927</v>
      </c>
      <c r="Q135" s="26">
        <f t="shared" si="128"/>
        <v>-4.5755265172635404</v>
      </c>
      <c r="W135" t="str">
        <f t="shared" si="129"/>
        <v>54 Textiles, printing and other skilled trades</v>
      </c>
      <c r="X135" s="26">
        <f t="shared" si="130"/>
        <v>-19.152645937850536</v>
      </c>
      <c r="Y135" s="26">
        <f t="shared" si="130"/>
        <v>15.078434992664654</v>
      </c>
      <c r="Z135" s="26">
        <f t="shared" si="130"/>
        <v>7.5197938545557008E-3</v>
      </c>
      <c r="AA135" s="26">
        <f t="shared" si="130"/>
        <v>4.30266318390278</v>
      </c>
      <c r="AB135" s="26">
        <f t="shared" si="131"/>
        <v>4.3101829777573357</v>
      </c>
    </row>
    <row r="136" spans="1:28" x14ac:dyDescent="0.3">
      <c r="A136" t="str">
        <f t="shared" si="123"/>
        <v>61 Caring personal service occupations</v>
      </c>
      <c r="B136" s="26">
        <f t="shared" si="124"/>
        <v>47.441645183815581</v>
      </c>
      <c r="C136" s="26">
        <f t="shared" si="124"/>
        <v>-59.85363291816293</v>
      </c>
      <c r="D136" s="26">
        <f t="shared" si="124"/>
        <v>217.61733749075665</v>
      </c>
      <c r="E136" s="26">
        <f t="shared" si="124"/>
        <v>248.13045374538706</v>
      </c>
      <c r="F136" s="26">
        <f t="shared" si="125"/>
        <v>465.74779123614371</v>
      </c>
      <c r="L136" t="str">
        <f t="shared" si="126"/>
        <v>61 Caring personal service occupations</v>
      </c>
      <c r="M136" s="26">
        <f t="shared" si="127"/>
        <v>9.2369808182518796</v>
      </c>
      <c r="N136" s="26">
        <f t="shared" si="127"/>
        <v>-7.4447898948241118</v>
      </c>
      <c r="O136" s="26">
        <f t="shared" si="127"/>
        <v>86.460208911816835</v>
      </c>
      <c r="P136" s="26">
        <f t="shared" si="127"/>
        <v>76.600223919427322</v>
      </c>
      <c r="Q136" s="26">
        <f t="shared" si="128"/>
        <v>163.06043283124416</v>
      </c>
      <c r="W136" t="str">
        <f t="shared" si="129"/>
        <v>61 Caring personal service occupations</v>
      </c>
      <c r="X136" s="26">
        <f t="shared" si="130"/>
        <v>38.204664365571489</v>
      </c>
      <c r="Y136" s="26">
        <f t="shared" si="130"/>
        <v>-52.408843023340523</v>
      </c>
      <c r="Z136" s="26">
        <f t="shared" si="130"/>
        <v>131.15712857893323</v>
      </c>
      <c r="AA136" s="26">
        <f t="shared" si="130"/>
        <v>171.53022982596622</v>
      </c>
      <c r="AB136" s="26">
        <f t="shared" si="131"/>
        <v>302.68735840489944</v>
      </c>
    </row>
    <row r="137" spans="1:28" x14ac:dyDescent="0.3">
      <c r="A137" t="str">
        <f t="shared" si="123"/>
        <v>62 Leisure, travel and related personal service occupations</v>
      </c>
      <c r="B137" s="26">
        <f t="shared" si="124"/>
        <v>59.80166168656865</v>
      </c>
      <c r="C137" s="26">
        <f t="shared" si="124"/>
        <v>-65.730232395034932</v>
      </c>
      <c r="D137" s="26">
        <f t="shared" si="124"/>
        <v>14.22933625726057</v>
      </c>
      <c r="E137" s="26">
        <f t="shared" si="124"/>
        <v>26.589376085917593</v>
      </c>
      <c r="F137" s="26">
        <f t="shared" si="125"/>
        <v>40.818712343178163</v>
      </c>
      <c r="L137" t="str">
        <f t="shared" si="126"/>
        <v>62 Leisure, travel and related personal service occupations</v>
      </c>
      <c r="M137" s="26">
        <f t="shared" si="127"/>
        <v>27.736556214968203</v>
      </c>
      <c r="N137" s="26">
        <f t="shared" si="127"/>
        <v>-12.669668497042466</v>
      </c>
      <c r="O137" s="26">
        <f t="shared" si="127"/>
        <v>8.5278386701562567</v>
      </c>
      <c r="P137" s="26">
        <f t="shared" si="127"/>
        <v>23.371072886651575</v>
      </c>
      <c r="Q137" s="26">
        <f t="shared" si="128"/>
        <v>31.898911556807832</v>
      </c>
      <c r="W137" t="str">
        <f t="shared" si="129"/>
        <v>62 Leisure, travel and related personal service occupations</v>
      </c>
      <c r="X137" s="26">
        <f t="shared" si="130"/>
        <v>32.065105471598656</v>
      </c>
      <c r="Y137" s="26">
        <f t="shared" si="130"/>
        <v>-53.060563897994143</v>
      </c>
      <c r="Z137" s="26">
        <f t="shared" si="130"/>
        <v>5.7014975871061324</v>
      </c>
      <c r="AA137" s="26">
        <f t="shared" si="130"/>
        <v>3.2183031992664723</v>
      </c>
      <c r="AB137" s="26">
        <f t="shared" si="131"/>
        <v>8.9198007863726048</v>
      </c>
    </row>
    <row r="138" spans="1:28" x14ac:dyDescent="0.3">
      <c r="A138" t="str">
        <f t="shared" si="123"/>
        <v>63 Community and civil enforcement occupations</v>
      </c>
      <c r="B138" s="26">
        <f t="shared" si="124"/>
        <v>-4.6709183976517323</v>
      </c>
      <c r="C138" s="26">
        <f t="shared" si="124"/>
        <v>7.9502071238189842</v>
      </c>
      <c r="D138" s="26">
        <f t="shared" si="124"/>
        <v>-7.0484267489409369</v>
      </c>
      <c r="E138" s="26">
        <f t="shared" si="124"/>
        <v>2.2405785731584764</v>
      </c>
      <c r="F138" s="26">
        <f t="shared" si="125"/>
        <v>-4.8078481757824605</v>
      </c>
      <c r="L138" t="str">
        <f t="shared" si="126"/>
        <v>63 Community and civil enforcement occupations</v>
      </c>
      <c r="M138" s="26">
        <f t="shared" si="127"/>
        <v>-6.5525668709129761</v>
      </c>
      <c r="N138" s="26">
        <f t="shared" si="127"/>
        <v>9.3177717949031624</v>
      </c>
      <c r="O138" s="26">
        <f t="shared" si="127"/>
        <v>-9.9951384222906228</v>
      </c>
      <c r="P138" s="26">
        <f t="shared" si="127"/>
        <v>2.4972650782819201</v>
      </c>
      <c r="Q138" s="26">
        <f t="shared" si="128"/>
        <v>-7.4978733440087026</v>
      </c>
      <c r="W138" t="str">
        <f t="shared" si="129"/>
        <v>63 Community and civil enforcement occupations</v>
      </c>
      <c r="X138" s="26">
        <f t="shared" si="130"/>
        <v>1.8816484732612455</v>
      </c>
      <c r="Y138" s="26">
        <f t="shared" si="130"/>
        <v>-1.367564671084347</v>
      </c>
      <c r="Z138" s="26">
        <f t="shared" si="130"/>
        <v>2.9467116733498102</v>
      </c>
      <c r="AA138" s="26">
        <f t="shared" si="130"/>
        <v>-0.25668650512343127</v>
      </c>
      <c r="AB138" s="26">
        <f t="shared" si="131"/>
        <v>2.6900251682263789</v>
      </c>
    </row>
    <row r="139" spans="1:28" x14ac:dyDescent="0.3">
      <c r="A139" t="str">
        <f t="shared" si="123"/>
        <v>71 Sales occupations</v>
      </c>
      <c r="B139" s="26">
        <f t="shared" si="124"/>
        <v>-114.72661235925943</v>
      </c>
      <c r="C139" s="26">
        <f t="shared" si="124"/>
        <v>-45.109191604225543</v>
      </c>
      <c r="D139" s="26">
        <f t="shared" si="124"/>
        <v>-156.22608777058372</v>
      </c>
      <c r="E139" s="26">
        <f t="shared" si="124"/>
        <v>-99.076131207013759</v>
      </c>
      <c r="F139" s="26">
        <f t="shared" si="125"/>
        <v>-255.30221897759748</v>
      </c>
      <c r="L139" t="str">
        <f t="shared" si="126"/>
        <v>71 Sales occupations</v>
      </c>
      <c r="M139" s="26">
        <f t="shared" si="127"/>
        <v>-2.3626870199270797</v>
      </c>
      <c r="N139" s="26">
        <f t="shared" si="127"/>
        <v>-22.256663048828841</v>
      </c>
      <c r="O139" s="26">
        <f t="shared" si="127"/>
        <v>-52.567184386507392</v>
      </c>
      <c r="P139" s="26">
        <f t="shared" si="127"/>
        <v>-16.572984901624295</v>
      </c>
      <c r="Q139" s="26">
        <f t="shared" si="128"/>
        <v>-69.140169288131688</v>
      </c>
      <c r="W139" t="str">
        <f t="shared" si="129"/>
        <v>71 Sales occupations</v>
      </c>
      <c r="X139" s="26">
        <f t="shared" si="130"/>
        <v>-112.36392533932144</v>
      </c>
      <c r="Y139" s="26">
        <f t="shared" si="130"/>
        <v>-22.852528555395111</v>
      </c>
      <c r="Z139" s="26">
        <f t="shared" si="130"/>
        <v>-103.65890338408099</v>
      </c>
      <c r="AA139" s="26">
        <f t="shared" si="130"/>
        <v>-82.50314630539151</v>
      </c>
      <c r="AB139" s="26">
        <f t="shared" si="131"/>
        <v>-186.1620496894725</v>
      </c>
    </row>
    <row r="140" spans="1:28" x14ac:dyDescent="0.3">
      <c r="A140" t="str">
        <f t="shared" si="123"/>
        <v>72 Customer service occupations</v>
      </c>
      <c r="B140" s="26">
        <f t="shared" si="124"/>
        <v>44.73426610131753</v>
      </c>
      <c r="C140" s="26">
        <f t="shared" si="124"/>
        <v>14.927723869276974</v>
      </c>
      <c r="D140" s="26">
        <f t="shared" si="124"/>
        <v>173.45604754349665</v>
      </c>
      <c r="E140" s="26">
        <f t="shared" si="124"/>
        <v>111.18577743508013</v>
      </c>
      <c r="F140" s="26">
        <f t="shared" si="125"/>
        <v>284.64182497857678</v>
      </c>
      <c r="L140" t="str">
        <f t="shared" si="126"/>
        <v>72 Customer service occupations</v>
      </c>
      <c r="M140" s="26">
        <f t="shared" si="127"/>
        <v>-12.05195718704644</v>
      </c>
      <c r="N140" s="26">
        <f t="shared" si="127"/>
        <v>31.171101044794199</v>
      </c>
      <c r="O140" s="26">
        <f t="shared" si="127"/>
        <v>90.846986322012611</v>
      </c>
      <c r="P140" s="26">
        <f t="shared" si="127"/>
        <v>59.226053860040508</v>
      </c>
      <c r="Q140" s="26">
        <f t="shared" si="128"/>
        <v>150.07304018205312</v>
      </c>
      <c r="W140" t="str">
        <f t="shared" si="129"/>
        <v>72 Customer service occupations</v>
      </c>
      <c r="X140" s="26">
        <f t="shared" si="130"/>
        <v>56.786223288362976</v>
      </c>
      <c r="Y140" s="26">
        <f t="shared" si="130"/>
        <v>-16.243377175517708</v>
      </c>
      <c r="Z140" s="26">
        <f t="shared" si="130"/>
        <v>82.609061221483501</v>
      </c>
      <c r="AA140" s="26">
        <f t="shared" si="130"/>
        <v>51.959723575043313</v>
      </c>
      <c r="AB140" s="26">
        <f t="shared" si="131"/>
        <v>134.56878479652681</v>
      </c>
    </row>
    <row r="141" spans="1:28" x14ac:dyDescent="0.3">
      <c r="A141" t="str">
        <f t="shared" si="123"/>
        <v>81 Process, plant and machine operatives</v>
      </c>
      <c r="B141" s="26">
        <f t="shared" si="124"/>
        <v>-33.538653329051385</v>
      </c>
      <c r="C141" s="26">
        <f t="shared" si="124"/>
        <v>-105.92606882356745</v>
      </c>
      <c r="D141" s="26">
        <f t="shared" si="124"/>
        <v>156.17946362716145</v>
      </c>
      <c r="E141" s="26">
        <f t="shared" si="124"/>
        <v>-14.421059030878496</v>
      </c>
      <c r="F141" s="26">
        <f t="shared" si="125"/>
        <v>141.75840459628296</v>
      </c>
      <c r="L141" t="str">
        <f t="shared" si="126"/>
        <v>81 Process, plant and machine operatives</v>
      </c>
      <c r="M141" s="26">
        <f t="shared" si="127"/>
        <v>-40.378692620568472</v>
      </c>
      <c r="N141" s="26">
        <f t="shared" si="127"/>
        <v>-78.509934231879924</v>
      </c>
      <c r="O141" s="26">
        <f t="shared" si="127"/>
        <v>111.88133223345505</v>
      </c>
      <c r="P141" s="26">
        <f t="shared" si="127"/>
        <v>-18.632465306116615</v>
      </c>
      <c r="Q141" s="26">
        <f t="shared" si="128"/>
        <v>93.24886692733844</v>
      </c>
      <c r="W141" t="str">
        <f t="shared" si="129"/>
        <v>81 Process, plant and machine operatives</v>
      </c>
      <c r="X141" s="26">
        <f t="shared" si="130"/>
        <v>6.8400392915151542</v>
      </c>
      <c r="Y141" s="26">
        <f t="shared" si="130"/>
        <v>-27.416134591686131</v>
      </c>
      <c r="Z141" s="26">
        <f t="shared" si="130"/>
        <v>44.298131393705916</v>
      </c>
      <c r="AA141" s="26">
        <f t="shared" si="130"/>
        <v>4.2114062752376356</v>
      </c>
      <c r="AB141" s="26">
        <f t="shared" si="131"/>
        <v>48.509537668943551</v>
      </c>
    </row>
    <row r="142" spans="1:28" x14ac:dyDescent="0.3">
      <c r="A142" t="str">
        <f t="shared" si="123"/>
        <v>82 Transport and mobile machine drivers and operatives</v>
      </c>
      <c r="B142" s="26">
        <f t="shared" si="124"/>
        <v>129.34123838066535</v>
      </c>
      <c r="C142" s="26">
        <f t="shared" si="124"/>
        <v>-145.62190695518484</v>
      </c>
      <c r="D142" s="26">
        <f t="shared" si="124"/>
        <v>87.007833370515982</v>
      </c>
      <c r="E142" s="26">
        <f t="shared" si="124"/>
        <v>-7.1269158396680723</v>
      </c>
      <c r="F142" s="26">
        <f t="shared" si="125"/>
        <v>79.88091753084791</v>
      </c>
      <c r="L142" t="str">
        <f t="shared" si="126"/>
        <v>82 Transport and mobile machine drivers and operatives</v>
      </c>
      <c r="M142" s="26">
        <f t="shared" si="127"/>
        <v>128.74445294790644</v>
      </c>
      <c r="N142" s="26">
        <f t="shared" si="127"/>
        <v>-141.44034823288371</v>
      </c>
      <c r="O142" s="26">
        <f t="shared" si="127"/>
        <v>53.431528046800395</v>
      </c>
      <c r="P142" s="26">
        <f t="shared" si="127"/>
        <v>-21.925191123113336</v>
      </c>
      <c r="Q142" s="26">
        <f t="shared" si="128"/>
        <v>31.506336923687059</v>
      </c>
      <c r="W142" t="str">
        <f t="shared" si="129"/>
        <v>82 Transport and mobile machine drivers and operatives</v>
      </c>
      <c r="X142" s="26">
        <f t="shared" si="130"/>
        <v>0.59678543275684603</v>
      </c>
      <c r="Y142" s="26">
        <f t="shared" si="130"/>
        <v>-4.1815587222981492</v>
      </c>
      <c r="Z142" s="26">
        <f t="shared" si="130"/>
        <v>33.576305323721101</v>
      </c>
      <c r="AA142" s="26">
        <f t="shared" si="130"/>
        <v>14.798275283438542</v>
      </c>
      <c r="AB142" s="26">
        <f t="shared" si="131"/>
        <v>48.374580607159643</v>
      </c>
    </row>
    <row r="143" spans="1:28" x14ac:dyDescent="0.3">
      <c r="A143" t="str">
        <f t="shared" si="123"/>
        <v>91 Elementary trades and related occupations</v>
      </c>
      <c r="B143" s="26">
        <f t="shared" si="124"/>
        <v>-63.149585291206563</v>
      </c>
      <c r="C143" s="26">
        <f t="shared" si="124"/>
        <v>-58.3685884841899</v>
      </c>
      <c r="D143" s="26">
        <f t="shared" si="124"/>
        <v>-74.935326483372535</v>
      </c>
      <c r="E143" s="26">
        <f t="shared" si="124"/>
        <v>-21.619169463685523</v>
      </c>
      <c r="F143" s="26">
        <f t="shared" si="125"/>
        <v>-96.554495947058058</v>
      </c>
      <c r="L143" t="str">
        <f t="shared" si="126"/>
        <v>91 Elementary trades and related occupations</v>
      </c>
      <c r="M143" s="26">
        <f t="shared" si="127"/>
        <v>-47.664353901600691</v>
      </c>
      <c r="N143" s="26">
        <f t="shared" si="127"/>
        <v>-37.856078462784637</v>
      </c>
      <c r="O143" s="26">
        <f t="shared" si="127"/>
        <v>-62.420380577110222</v>
      </c>
      <c r="P143" s="26">
        <f t="shared" si="127"/>
        <v>-17.963115715527465</v>
      </c>
      <c r="Q143" s="26">
        <f t="shared" si="128"/>
        <v>-80.383496292637687</v>
      </c>
      <c r="W143" t="str">
        <f t="shared" si="129"/>
        <v>91 Elementary trades and related occupations</v>
      </c>
      <c r="X143" s="26">
        <f t="shared" si="130"/>
        <v>-15.485231389607947</v>
      </c>
      <c r="Y143" s="26">
        <f t="shared" si="130"/>
        <v>-20.512510021404651</v>
      </c>
      <c r="Z143" s="26">
        <f t="shared" si="130"/>
        <v>-12.514945906262156</v>
      </c>
      <c r="AA143" s="26">
        <f t="shared" si="130"/>
        <v>-3.6560537481580866</v>
      </c>
      <c r="AB143" s="26">
        <f t="shared" si="131"/>
        <v>-16.170999654420243</v>
      </c>
    </row>
    <row r="144" spans="1:28" x14ac:dyDescent="0.3">
      <c r="A144" t="str">
        <f t="shared" si="123"/>
        <v>92 Elementary administration and service occupations</v>
      </c>
      <c r="B144" s="26">
        <f t="shared" si="124"/>
        <v>31.899201024563354</v>
      </c>
      <c r="C144" s="26">
        <f t="shared" si="124"/>
        <v>-284.0729400173359</v>
      </c>
      <c r="D144" s="26">
        <f t="shared" si="124"/>
        <v>70.385465656338965</v>
      </c>
      <c r="E144" s="26">
        <f t="shared" si="124"/>
        <v>-118.32875838421023</v>
      </c>
      <c r="F144" s="26">
        <f t="shared" si="125"/>
        <v>-47.943292727871267</v>
      </c>
      <c r="L144" t="str">
        <f t="shared" si="126"/>
        <v>92 Elementary administration and service occupations</v>
      </c>
      <c r="M144" s="26">
        <f t="shared" si="127"/>
        <v>-37.36250464090017</v>
      </c>
      <c r="N144" s="26">
        <f t="shared" si="127"/>
        <v>-96.500153001807348</v>
      </c>
      <c r="O144" s="26">
        <f t="shared" si="127"/>
        <v>99.648033058999317</v>
      </c>
      <c r="P144" s="26">
        <f t="shared" si="127"/>
        <v>-66.493211974109727</v>
      </c>
      <c r="Q144" s="26">
        <f t="shared" si="128"/>
        <v>33.154821084889591</v>
      </c>
      <c r="W144" t="str">
        <f t="shared" si="129"/>
        <v>92 Elementary administration and service occupations</v>
      </c>
      <c r="X144" s="26">
        <f t="shared" si="130"/>
        <v>69.261705665459885</v>
      </c>
      <c r="Y144" s="26">
        <f t="shared" si="130"/>
        <v>-187.57278701552514</v>
      </c>
      <c r="Z144" s="26">
        <f t="shared" si="130"/>
        <v>-29.262567402672175</v>
      </c>
      <c r="AA144" s="26">
        <f t="shared" si="130"/>
        <v>-51.83554641008277</v>
      </c>
      <c r="AB144" s="26">
        <f t="shared" si="131"/>
        <v>-81.098113812754946</v>
      </c>
    </row>
    <row r="145" spans="1:31" x14ac:dyDescent="0.3">
      <c r="C145" s="26"/>
      <c r="F145" s="26"/>
      <c r="N145" s="26"/>
      <c r="Q145" s="26"/>
      <c r="Y145" s="26"/>
      <c r="AB145" s="26"/>
    </row>
    <row r="146" spans="1:31" x14ac:dyDescent="0.3">
      <c r="A146" s="23" t="str">
        <f>A35</f>
        <v>All occupations</v>
      </c>
      <c r="B146" s="28">
        <f>C35-B35</f>
        <v>1709.0190000001166</v>
      </c>
      <c r="C146" s="28">
        <f t="shared" ref="C146" si="132">D35-C35</f>
        <v>-390.03600000035658</v>
      </c>
      <c r="D146" s="28">
        <f>E35-D35</f>
        <v>1047.3559999999852</v>
      </c>
      <c r="E146" s="28">
        <f>F35-E35</f>
        <v>1545.548000000279</v>
      </c>
      <c r="F146" s="28">
        <f t="shared" ref="F146" si="133">F35-D35</f>
        <v>2592.9040000002642</v>
      </c>
      <c r="L146" s="23" t="str">
        <f>L35</f>
        <v>All occupations</v>
      </c>
      <c r="M146" s="28">
        <f>N35-M35</f>
        <v>748.79600000019855</v>
      </c>
      <c r="N146" s="28">
        <f t="shared" ref="N146" si="134">O35-N35</f>
        <v>-381.66900000046735</v>
      </c>
      <c r="O146" s="28">
        <f>P35-O35</f>
        <v>483.85900000008041</v>
      </c>
      <c r="P146" s="28">
        <f>Q35-P35</f>
        <v>656.99400000004243</v>
      </c>
      <c r="Q146" s="28">
        <f t="shared" ref="Q146" si="135">Q35-O35</f>
        <v>1140.8530000001228</v>
      </c>
      <c r="W146" s="23" t="str">
        <f>W35</f>
        <v>All occupations</v>
      </c>
      <c r="X146" s="28">
        <f>Y35-X35</f>
        <v>960.22299999993265</v>
      </c>
      <c r="Y146" s="28">
        <f t="shared" ref="Y146" si="136">Z35-Y35</f>
        <v>-8.3669999998928688</v>
      </c>
      <c r="Z146" s="28">
        <f>AA35-Z35</f>
        <v>563.49699999990116</v>
      </c>
      <c r="AA146" s="28">
        <f>AB35-AA35</f>
        <v>888.55400000024019</v>
      </c>
      <c r="AB146" s="28">
        <f t="shared" ref="AB146" si="137">AB35-Z35</f>
        <v>1452.0510000001414</v>
      </c>
    </row>
    <row r="150" spans="1:31" x14ac:dyDescent="0.3">
      <c r="D150" s="1" t="s">
        <v>13</v>
      </c>
      <c r="H150" s="40" t="s">
        <v>41</v>
      </c>
      <c r="O150" s="1" t="s">
        <v>13</v>
      </c>
      <c r="S150" s="40" t="s">
        <v>41</v>
      </c>
      <c r="Z150" s="1" t="s">
        <v>13</v>
      </c>
      <c r="AD150" s="40" t="s">
        <v>41</v>
      </c>
    </row>
    <row r="151" spans="1:31" x14ac:dyDescent="0.3">
      <c r="A151" s="21"/>
      <c r="B151" s="22">
        <f>B6</f>
        <v>2015</v>
      </c>
      <c r="C151" s="22">
        <f t="shared" ref="C151:F151" si="138">C6</f>
        <v>2019</v>
      </c>
      <c r="D151" s="22">
        <f t="shared" si="138"/>
        <v>2020</v>
      </c>
      <c r="E151" s="22">
        <f t="shared" si="138"/>
        <v>2025</v>
      </c>
      <c r="F151" s="22">
        <f t="shared" si="138"/>
        <v>2035</v>
      </c>
      <c r="H151" s="74" t="str">
        <f>CONCATENATE(B$6,"-",D$6)</f>
        <v>2015-2020</v>
      </c>
      <c r="I151" s="74" t="str">
        <f>CONCATENATE(D$6,"-",F$6)</f>
        <v>2020-2035</v>
      </c>
      <c r="L151" s="21"/>
      <c r="M151" s="22">
        <f>M6</f>
        <v>2015</v>
      </c>
      <c r="N151" s="22">
        <f t="shared" ref="N151:Q151" si="139">N6</f>
        <v>2019</v>
      </c>
      <c r="O151" s="22">
        <f t="shared" si="139"/>
        <v>2020</v>
      </c>
      <c r="P151" s="22">
        <f t="shared" si="139"/>
        <v>2025</v>
      </c>
      <c r="Q151" s="22">
        <f t="shared" si="139"/>
        <v>2035</v>
      </c>
      <c r="S151" s="74" t="str">
        <f>CONCATENATE(M$6,"-",O$6)</f>
        <v>2015-2020</v>
      </c>
      <c r="T151" s="74" t="str">
        <f>CONCATENATE(O$6,"-",Q$6)</f>
        <v>2020-2035</v>
      </c>
      <c r="W151" s="21"/>
      <c r="X151" s="22">
        <f>X6</f>
        <v>2015</v>
      </c>
      <c r="Y151" s="22">
        <f t="shared" ref="Y151:AB151" si="140">Y6</f>
        <v>2019</v>
      </c>
      <c r="Z151" s="22">
        <f t="shared" si="140"/>
        <v>2020</v>
      </c>
      <c r="AA151" s="22">
        <f t="shared" si="140"/>
        <v>2025</v>
      </c>
      <c r="AB151" s="22">
        <f t="shared" si="140"/>
        <v>2035</v>
      </c>
      <c r="AD151" s="74" t="str">
        <f>CONCATENATE(X$6,"-",Z$6)</f>
        <v>2015-2020</v>
      </c>
      <c r="AE151" s="74" t="str">
        <f>CONCATENATE(Z$6,"-",AB$6)</f>
        <v>2020-2035</v>
      </c>
    </row>
    <row r="152" spans="1:31" x14ac:dyDescent="0.3">
      <c r="A152" s="10"/>
      <c r="B152" s="11"/>
      <c r="C152" s="11"/>
      <c r="D152" s="11"/>
      <c r="E152" s="11"/>
      <c r="F152" s="11"/>
      <c r="H152" s="39"/>
      <c r="I152" s="39"/>
      <c r="L152" s="10"/>
      <c r="M152" s="11"/>
      <c r="N152" s="11"/>
      <c r="O152" s="11"/>
      <c r="P152" s="11"/>
      <c r="Q152" s="11"/>
      <c r="S152" s="39"/>
      <c r="T152" s="39"/>
      <c r="W152" s="10"/>
      <c r="X152" s="11"/>
      <c r="Y152" s="11"/>
      <c r="Z152" s="11"/>
      <c r="AA152" s="11"/>
      <c r="AB152" s="11"/>
      <c r="AD152" s="39"/>
      <c r="AE152" s="39"/>
    </row>
    <row r="153" spans="1:31" x14ac:dyDescent="0.3">
      <c r="A153" s="10" t="str">
        <f t="shared" ref="A153:B178" si="141">A8</f>
        <v>11 Corporate managers and directors</v>
      </c>
      <c r="B153" s="11">
        <f t="shared" si="141"/>
        <v>2147.9713237433616</v>
      </c>
      <c r="C153" s="11">
        <f t="shared" ref="C153:F153" si="142">C8</f>
        <v>2544.407261426617</v>
      </c>
      <c r="D153" s="11">
        <f t="shared" si="142"/>
        <v>2603.6149634867743</v>
      </c>
      <c r="E153" s="11">
        <f t="shared" si="142"/>
        <v>2446.5731602475962</v>
      </c>
      <c r="F153" s="11">
        <f t="shared" si="142"/>
        <v>2681.2775346158387</v>
      </c>
      <c r="H153" s="39">
        <f>IF(D$151-B$151 &lt;&gt; 0,(EXP(LN(D153/B153)/(D$151-B$151))-1)*100,0)</f>
        <v>3.9225168006375544</v>
      </c>
      <c r="I153" s="39">
        <f>IF(F$151-D$151 &lt;&gt; 0,(EXP(LN(F153/D153)/(F$151-D$151))-1)*100,0)</f>
        <v>0.19614226132442791</v>
      </c>
      <c r="L153" s="10" t="str">
        <f>L8</f>
        <v>11 Corporate managers and directors</v>
      </c>
      <c r="M153" s="11">
        <f>M8</f>
        <v>1488.53741181797</v>
      </c>
      <c r="N153" s="11">
        <f t="shared" ref="N153:Q153" si="143">N8</f>
        <v>1695.5413549016043</v>
      </c>
      <c r="O153" s="11">
        <f t="shared" si="143"/>
        <v>1720.8329322223399</v>
      </c>
      <c r="P153" s="11">
        <f t="shared" si="143"/>
        <v>1563.0411188500652</v>
      </c>
      <c r="Q153" s="11">
        <f t="shared" si="143"/>
        <v>1644.7022880612631</v>
      </c>
      <c r="S153" s="39">
        <f>IF(O$151-M$151 &lt;&gt; 0,(EXP(LN(O153/M153)/(O$151-M$151))-1)*100,0)</f>
        <v>2.9427559523809821</v>
      </c>
      <c r="T153" s="39">
        <f>IF(Q$151-O$151 &lt;&gt; 0,(EXP(LN(Q153/O153)/(Q$151-O$151))-1)*100,0)</f>
        <v>-0.30120578635519646</v>
      </c>
      <c r="W153" s="10" t="str">
        <f>W8</f>
        <v>11 Corporate managers and directors</v>
      </c>
      <c r="X153" s="11">
        <f>X8</f>
        <v>659.43391192539218</v>
      </c>
      <c r="Y153" s="11">
        <f t="shared" ref="Y153:AB153" si="144">Y8</f>
        <v>848.86590652501002</v>
      </c>
      <c r="Z153" s="11">
        <f t="shared" si="144"/>
        <v>882.78203126444043</v>
      </c>
      <c r="AA153" s="11">
        <f t="shared" si="144"/>
        <v>883.53204139753768</v>
      </c>
      <c r="AB153" s="11">
        <f t="shared" si="144"/>
        <v>1036.5752465545781</v>
      </c>
      <c r="AD153" s="39">
        <f>IF(Z$151-X$151 &lt;&gt; 0,(EXP(LN(Z153/X153)/(Z$151-X$151))-1)*100,0)</f>
        <v>6.007463119106049</v>
      </c>
      <c r="AE153" s="39">
        <f>IF(AB$151-Z$151 &lt;&gt; 0,(EXP(LN(AB153/Z153)/(AB$151-Z$151))-1)*100,0)</f>
        <v>1.0764134629706268</v>
      </c>
    </row>
    <row r="154" spans="1:31" x14ac:dyDescent="0.3">
      <c r="A154" s="10" t="str">
        <f t="shared" si="141"/>
        <v>12 Other managers and proprietors</v>
      </c>
      <c r="B154" s="11">
        <f t="shared" si="141"/>
        <v>1057.4538145928157</v>
      </c>
      <c r="C154" s="11">
        <f t="shared" ref="C154:F178" si="145">C9</f>
        <v>1133.3182745645383</v>
      </c>
      <c r="D154" s="11">
        <f t="shared" si="145"/>
        <v>1142.9442385679565</v>
      </c>
      <c r="E154" s="11">
        <f t="shared" si="145"/>
        <v>1416.071102295296</v>
      </c>
      <c r="F154" s="11">
        <f t="shared" si="145"/>
        <v>1636.9713357379442</v>
      </c>
      <c r="H154" s="39">
        <f t="shared" ref="H154:H180" si="146">IF(D$151-B$151 &lt;&gt; 0,(EXP(LN(D154/B154)/(D$151-B$151))-1)*100,0)</f>
        <v>1.5670238762415689</v>
      </c>
      <c r="I154" s="39">
        <f t="shared" ref="I154:I180" si="147">IF(F$151-D$151 &lt;&gt; 0,(EXP(LN(F154/D154)/(F$151-D$151))-1)*100,0)</f>
        <v>2.4238434770714523</v>
      </c>
      <c r="L154" s="10" t="str">
        <f t="shared" ref="L154:Q154" si="148">L9</f>
        <v>12 Other managers and proprietors</v>
      </c>
      <c r="M154" s="11">
        <f t="shared" si="148"/>
        <v>640.61271591505101</v>
      </c>
      <c r="N154" s="11">
        <f t="shared" si="148"/>
        <v>678.41745371052548</v>
      </c>
      <c r="O154" s="11">
        <f t="shared" si="148"/>
        <v>665.91132841955607</v>
      </c>
      <c r="P154" s="11">
        <f t="shared" si="148"/>
        <v>847.55047984749547</v>
      </c>
      <c r="Q154" s="11">
        <f t="shared" si="148"/>
        <v>973.8539567186217</v>
      </c>
      <c r="S154" s="39">
        <f t="shared" ref="S154:S177" si="149">IF(O$151-M$151 &lt;&gt; 0,(EXP(LN(O154/M154)/(O$151-M$151))-1)*100,0)</f>
        <v>0.77763669352595155</v>
      </c>
      <c r="T154" s="39">
        <f t="shared" ref="T154:T177" si="150">IF(Q$151-O$151 &lt;&gt; 0,(EXP(LN(Q154/O154)/(Q$151-O$151))-1)*100,0)</f>
        <v>2.5664117162725653</v>
      </c>
      <c r="W154" s="10" t="str">
        <f t="shared" ref="W154:AB154" si="151">W9</f>
        <v>12 Other managers and proprietors</v>
      </c>
      <c r="X154" s="11">
        <f t="shared" si="151"/>
        <v>416.84109867776584</v>
      </c>
      <c r="Y154" s="11">
        <f t="shared" si="151"/>
        <v>454.90082085401241</v>
      </c>
      <c r="Z154" s="11">
        <f t="shared" si="151"/>
        <v>477.0329101483984</v>
      </c>
      <c r="AA154" s="11">
        <f t="shared" si="151"/>
        <v>568.52062244779688</v>
      </c>
      <c r="AB154" s="11">
        <f t="shared" si="151"/>
        <v>663.11737901932031</v>
      </c>
      <c r="AD154" s="39">
        <f t="shared" ref="AD154:AD177" si="152">IF(Z$151-X$151 &lt;&gt; 0,(EXP(LN(Z154/X154)/(Z$151-X$151))-1)*100,0)</f>
        <v>2.7343226709901414</v>
      </c>
      <c r="AE154" s="39">
        <f t="shared" ref="AE154:AE177" si="153">IF(AB$151-Z$151 &lt;&gt; 0,(EXP(LN(AB154/Z154)/(AB$151-Z$151))-1)*100,0)</f>
        <v>2.220061495341219</v>
      </c>
    </row>
    <row r="155" spans="1:31" x14ac:dyDescent="0.3">
      <c r="A155" s="10" t="str">
        <f t="shared" si="141"/>
        <v>21 Science, research, engineering and technology professionals</v>
      </c>
      <c r="B155" s="11">
        <f t="shared" si="141"/>
        <v>1804.4444333480956</v>
      </c>
      <c r="C155" s="11">
        <f t="shared" si="145"/>
        <v>2078.6035464296092</v>
      </c>
      <c r="D155" s="11">
        <f t="shared" si="145"/>
        <v>2168.4893984676792</v>
      </c>
      <c r="E155" s="11">
        <f t="shared" si="145"/>
        <v>2306.7300778658928</v>
      </c>
      <c r="F155" s="11">
        <f t="shared" si="145"/>
        <v>2562.9828232040827</v>
      </c>
      <c r="H155" s="39">
        <f t="shared" si="146"/>
        <v>3.7439448814437615</v>
      </c>
      <c r="I155" s="39">
        <f t="shared" si="147"/>
        <v>1.1205041449081854</v>
      </c>
      <c r="L155" s="10" t="str">
        <f t="shared" ref="L155:Q155" si="154">L10</f>
        <v>21 Science, research, engineering and technology professionals</v>
      </c>
      <c r="M155" s="11">
        <f t="shared" si="154"/>
        <v>1432.9207422192851</v>
      </c>
      <c r="N155" s="11">
        <f t="shared" si="154"/>
        <v>1664.7620804861335</v>
      </c>
      <c r="O155" s="11">
        <f t="shared" si="154"/>
        <v>1662.0748855520801</v>
      </c>
      <c r="P155" s="11">
        <f t="shared" si="154"/>
        <v>1706.6994163908255</v>
      </c>
      <c r="Q155" s="11">
        <f t="shared" si="154"/>
        <v>1844.9651379133611</v>
      </c>
      <c r="S155" s="39">
        <f t="shared" si="149"/>
        <v>3.0114934507345481</v>
      </c>
      <c r="T155" s="39">
        <f t="shared" si="150"/>
        <v>0.6983849388027652</v>
      </c>
      <c r="W155" s="10" t="str">
        <f t="shared" ref="W155:AB155" si="155">W10</f>
        <v>21 Science, research, engineering and technology professionals</v>
      </c>
      <c r="X155" s="11">
        <f t="shared" si="155"/>
        <v>371.52369112881331</v>
      </c>
      <c r="Y155" s="11">
        <f t="shared" si="155"/>
        <v>413.8414659434784</v>
      </c>
      <c r="Z155" s="11">
        <f t="shared" si="155"/>
        <v>506.41451291559548</v>
      </c>
      <c r="AA155" s="11">
        <f t="shared" si="155"/>
        <v>600.03066147507207</v>
      </c>
      <c r="AB155" s="11">
        <f t="shared" si="155"/>
        <v>718.01768529070887</v>
      </c>
      <c r="AD155" s="39">
        <f t="shared" si="152"/>
        <v>6.3907636285694736</v>
      </c>
      <c r="AE155" s="39">
        <f t="shared" si="153"/>
        <v>2.3548909379822458</v>
      </c>
    </row>
    <row r="156" spans="1:31" x14ac:dyDescent="0.3">
      <c r="A156" s="10" t="str">
        <f t="shared" si="141"/>
        <v>22 Health professionals</v>
      </c>
      <c r="B156" s="11">
        <f t="shared" si="141"/>
        <v>1431.704750253356</v>
      </c>
      <c r="C156" s="11">
        <f t="shared" si="145"/>
        <v>1645.5227101580754</v>
      </c>
      <c r="D156" s="11">
        <f t="shared" si="145"/>
        <v>1652.6894842034105</v>
      </c>
      <c r="E156" s="11">
        <f t="shared" si="145"/>
        <v>1790.2133863705644</v>
      </c>
      <c r="F156" s="11">
        <f t="shared" si="145"/>
        <v>1962.7779742263765</v>
      </c>
      <c r="H156" s="39">
        <f t="shared" si="146"/>
        <v>2.9123652027058577</v>
      </c>
      <c r="I156" s="39">
        <f t="shared" si="147"/>
        <v>1.1529751203581684</v>
      </c>
      <c r="L156" s="10" t="str">
        <f t="shared" ref="L156:Q156" si="156">L11</f>
        <v>22 Health professionals</v>
      </c>
      <c r="M156" s="11">
        <f t="shared" si="156"/>
        <v>348.51242946675166</v>
      </c>
      <c r="N156" s="11">
        <f t="shared" si="156"/>
        <v>400.09596042490688</v>
      </c>
      <c r="O156" s="11">
        <f t="shared" si="156"/>
        <v>438.61157204045008</v>
      </c>
      <c r="P156" s="11">
        <f t="shared" si="156"/>
        <v>471.31862675276142</v>
      </c>
      <c r="Q156" s="11">
        <f t="shared" si="156"/>
        <v>516.79353321025303</v>
      </c>
      <c r="S156" s="39">
        <f t="shared" si="149"/>
        <v>4.7061914093193824</v>
      </c>
      <c r="T156" s="39">
        <f t="shared" si="150"/>
        <v>1.099529003158084</v>
      </c>
      <c r="W156" s="10" t="str">
        <f t="shared" ref="W156:AB156" si="157">W11</f>
        <v>22 Health professionals</v>
      </c>
      <c r="X156" s="11">
        <f t="shared" si="157"/>
        <v>1083.192320786605</v>
      </c>
      <c r="Y156" s="11">
        <f t="shared" si="157"/>
        <v>1245.4267497331673</v>
      </c>
      <c r="Z156" s="11">
        <f t="shared" si="157"/>
        <v>1214.0779121629612</v>
      </c>
      <c r="AA156" s="11">
        <f t="shared" si="157"/>
        <v>1318.8947596178023</v>
      </c>
      <c r="AB156" s="11">
        <f t="shared" si="157"/>
        <v>1445.984441016122</v>
      </c>
      <c r="AD156" s="39">
        <f t="shared" si="152"/>
        <v>2.3076707418887565</v>
      </c>
      <c r="AE156" s="39">
        <f t="shared" si="153"/>
        <v>1.1721868575655714</v>
      </c>
    </row>
    <row r="157" spans="1:31" x14ac:dyDescent="0.3">
      <c r="A157" s="10" t="str">
        <f t="shared" si="141"/>
        <v>23 Teaching and other educational professionals</v>
      </c>
      <c r="B157" s="11">
        <f t="shared" si="141"/>
        <v>1646.9786897581305</v>
      </c>
      <c r="C157" s="11">
        <f t="shared" si="145"/>
        <v>1740.7273501948343</v>
      </c>
      <c r="D157" s="11">
        <f t="shared" si="145"/>
        <v>1814.3949916428305</v>
      </c>
      <c r="E157" s="11">
        <f t="shared" si="145"/>
        <v>1909.7720176323999</v>
      </c>
      <c r="F157" s="11">
        <f t="shared" si="145"/>
        <v>2082.0254777556443</v>
      </c>
      <c r="H157" s="39">
        <f t="shared" si="146"/>
        <v>1.9550569832339271</v>
      </c>
      <c r="I157" s="39">
        <f t="shared" si="147"/>
        <v>0.92148061686943006</v>
      </c>
      <c r="L157" s="10" t="str">
        <f t="shared" ref="L157:Q157" si="158">L12</f>
        <v>23 Teaching and other educational professionals</v>
      </c>
      <c r="M157" s="11">
        <f t="shared" si="158"/>
        <v>557.14083635597501</v>
      </c>
      <c r="N157" s="11">
        <f t="shared" si="158"/>
        <v>553.96679260515884</v>
      </c>
      <c r="O157" s="11">
        <f t="shared" si="158"/>
        <v>586.26652337732412</v>
      </c>
      <c r="P157" s="11">
        <f t="shared" si="158"/>
        <v>637.48722525472999</v>
      </c>
      <c r="Q157" s="11">
        <f t="shared" si="158"/>
        <v>685.40402395056765</v>
      </c>
      <c r="S157" s="39">
        <f t="shared" si="149"/>
        <v>1.0243397703224577</v>
      </c>
      <c r="T157" s="39">
        <f t="shared" si="150"/>
        <v>1.0470029568453221</v>
      </c>
      <c r="W157" s="10" t="str">
        <f t="shared" ref="W157:AB157" si="159">W12</f>
        <v>23 Teaching and other educational professionals</v>
      </c>
      <c r="X157" s="11">
        <f t="shared" si="159"/>
        <v>1089.8378534021531</v>
      </c>
      <c r="Y157" s="11">
        <f t="shared" si="159"/>
        <v>1186.7605575896755</v>
      </c>
      <c r="Z157" s="11">
        <f t="shared" si="159"/>
        <v>1228.1284682655059</v>
      </c>
      <c r="AA157" s="11">
        <f t="shared" si="159"/>
        <v>1272.2847923776692</v>
      </c>
      <c r="AB157" s="11">
        <f t="shared" si="159"/>
        <v>1396.6214538050767</v>
      </c>
      <c r="AD157" s="39">
        <f t="shared" si="152"/>
        <v>2.4180215319055565</v>
      </c>
      <c r="AE157" s="39">
        <f t="shared" si="153"/>
        <v>0.8607811486152972</v>
      </c>
    </row>
    <row r="158" spans="1:31" x14ac:dyDescent="0.3">
      <c r="A158" s="10" t="str">
        <f t="shared" si="141"/>
        <v>24 Business, media and public service professionals</v>
      </c>
      <c r="B158" s="11">
        <f t="shared" si="141"/>
        <v>2002.3539721741229</v>
      </c>
      <c r="C158" s="11">
        <f t="shared" si="145"/>
        <v>2371.5803917003777</v>
      </c>
      <c r="D158" s="11">
        <f t="shared" si="145"/>
        <v>2564.0058358864653</v>
      </c>
      <c r="E158" s="11">
        <f t="shared" si="145"/>
        <v>2881.7791948453123</v>
      </c>
      <c r="F158" s="11">
        <f t="shared" si="145"/>
        <v>3234.0308052677001</v>
      </c>
      <c r="H158" s="39">
        <f t="shared" si="146"/>
        <v>5.0692497406297443</v>
      </c>
      <c r="I158" s="39">
        <f t="shared" si="147"/>
        <v>1.5597624086441053</v>
      </c>
      <c r="L158" s="10" t="str">
        <f t="shared" ref="L158:Q158" si="160">L13</f>
        <v>24 Business, media and public service professionals</v>
      </c>
      <c r="M158" s="11">
        <f t="shared" si="160"/>
        <v>1168.767664704611</v>
      </c>
      <c r="N158" s="11">
        <f t="shared" si="160"/>
        <v>1329.6480442210932</v>
      </c>
      <c r="O158" s="11">
        <f t="shared" si="160"/>
        <v>1407.0757765791584</v>
      </c>
      <c r="P158" s="11">
        <f t="shared" si="160"/>
        <v>1586.2118669865165</v>
      </c>
      <c r="Q158" s="11">
        <f t="shared" si="160"/>
        <v>1729.656620679872</v>
      </c>
      <c r="S158" s="39">
        <f t="shared" si="149"/>
        <v>3.7810020645823839</v>
      </c>
      <c r="T158" s="39">
        <f t="shared" si="150"/>
        <v>1.3855731083277423</v>
      </c>
      <c r="W158" s="10" t="str">
        <f t="shared" ref="W158:AB158" si="161">W13</f>
        <v>24 Business, media and public service professionals</v>
      </c>
      <c r="X158" s="11">
        <f t="shared" si="161"/>
        <v>833.5863074695111</v>
      </c>
      <c r="Y158" s="11">
        <f t="shared" si="161"/>
        <v>1041.9323474792916</v>
      </c>
      <c r="Z158" s="11">
        <f t="shared" si="161"/>
        <v>1156.9300593073121</v>
      </c>
      <c r="AA158" s="11">
        <f t="shared" si="161"/>
        <v>1295.5673278588058</v>
      </c>
      <c r="AB158" s="11">
        <f t="shared" si="161"/>
        <v>1504.374184587836</v>
      </c>
      <c r="AD158" s="39">
        <f t="shared" si="152"/>
        <v>6.7754244645379602</v>
      </c>
      <c r="AE158" s="39">
        <f t="shared" si="153"/>
        <v>1.7661280843652927</v>
      </c>
    </row>
    <row r="159" spans="1:31" x14ac:dyDescent="0.3">
      <c r="A159" s="10" t="str">
        <f t="shared" si="141"/>
        <v>31 Science, engineering and technology associate professionals</v>
      </c>
      <c r="B159" s="11">
        <f t="shared" si="141"/>
        <v>543.13411333119222</v>
      </c>
      <c r="C159" s="11">
        <f t="shared" si="145"/>
        <v>639.96984679802495</v>
      </c>
      <c r="D159" s="11">
        <f t="shared" si="145"/>
        <v>694.16022623804326</v>
      </c>
      <c r="E159" s="11">
        <f t="shared" si="145"/>
        <v>615.4898763289159</v>
      </c>
      <c r="F159" s="11">
        <f t="shared" si="145"/>
        <v>660.15471895472103</v>
      </c>
      <c r="H159" s="39">
        <f t="shared" si="146"/>
        <v>5.0293140272285264</v>
      </c>
      <c r="I159" s="39">
        <f t="shared" si="147"/>
        <v>-0.33429715990578313</v>
      </c>
      <c r="L159" s="10" t="str">
        <f t="shared" ref="L159:Q159" si="162">L14</f>
        <v>31 Science, engineering and technology associate professionals</v>
      </c>
      <c r="M159" s="11">
        <f t="shared" si="162"/>
        <v>394.55308818822698</v>
      </c>
      <c r="N159" s="11">
        <f t="shared" si="162"/>
        <v>481.36455543141807</v>
      </c>
      <c r="O159" s="11">
        <f t="shared" si="162"/>
        <v>500.28833279764387</v>
      </c>
      <c r="P159" s="11">
        <f t="shared" si="162"/>
        <v>413.45406325086901</v>
      </c>
      <c r="Q159" s="11">
        <f t="shared" si="162"/>
        <v>421.58132941767383</v>
      </c>
      <c r="S159" s="39">
        <f t="shared" si="149"/>
        <v>4.863170804134076</v>
      </c>
      <c r="T159" s="39">
        <f t="shared" si="150"/>
        <v>-1.1346595373290969</v>
      </c>
      <c r="W159" s="10" t="str">
        <f t="shared" ref="W159:AB159" si="163">W14</f>
        <v>31 Science, engineering and technology associate professionals</v>
      </c>
      <c r="X159" s="11">
        <f t="shared" si="163"/>
        <v>148.5810251429665</v>
      </c>
      <c r="Y159" s="11">
        <f t="shared" si="163"/>
        <v>158.60529136660611</v>
      </c>
      <c r="Z159" s="11">
        <f t="shared" si="163"/>
        <v>193.87189344039913</v>
      </c>
      <c r="AA159" s="11">
        <f t="shared" si="163"/>
        <v>202.03581307804458</v>
      </c>
      <c r="AB159" s="11">
        <f t="shared" si="163"/>
        <v>238.57338953704709</v>
      </c>
      <c r="AD159" s="39">
        <f t="shared" si="152"/>
        <v>5.4654719124629381</v>
      </c>
      <c r="AE159" s="39">
        <f t="shared" si="153"/>
        <v>1.3928062669277042</v>
      </c>
    </row>
    <row r="160" spans="1:31" x14ac:dyDescent="0.3">
      <c r="A160" s="10" t="str">
        <f t="shared" si="141"/>
        <v>32 Health and social care associate professionals</v>
      </c>
      <c r="B160" s="11">
        <f t="shared" si="141"/>
        <v>594.94854959952465</v>
      </c>
      <c r="C160" s="11">
        <f t="shared" si="145"/>
        <v>665.16059805117277</v>
      </c>
      <c r="D160" s="11">
        <f t="shared" si="145"/>
        <v>684.34670849941995</v>
      </c>
      <c r="E160" s="11">
        <f t="shared" si="145"/>
        <v>696.56541801708568</v>
      </c>
      <c r="F160" s="11">
        <f t="shared" si="145"/>
        <v>766.0236239924069</v>
      </c>
      <c r="H160" s="39">
        <f t="shared" si="146"/>
        <v>2.8393574654617559</v>
      </c>
      <c r="I160" s="39">
        <f t="shared" si="147"/>
        <v>0.75448760189016362</v>
      </c>
      <c r="L160" s="10" t="str">
        <f t="shared" ref="L160:Q160" si="164">L15</f>
        <v>32 Health and social care associate professionals</v>
      </c>
      <c r="M160" s="11">
        <f t="shared" si="164"/>
        <v>138.27212934363146</v>
      </c>
      <c r="N160" s="11">
        <f t="shared" si="164"/>
        <v>142.20316753638784</v>
      </c>
      <c r="O160" s="11">
        <f t="shared" si="164"/>
        <v>156.97759783482422</v>
      </c>
      <c r="P160" s="11">
        <f t="shared" si="164"/>
        <v>144.21566264309419</v>
      </c>
      <c r="Q160" s="11">
        <f t="shared" si="164"/>
        <v>153.78648779451717</v>
      </c>
      <c r="S160" s="39">
        <f t="shared" si="149"/>
        <v>2.5700590676784874</v>
      </c>
      <c r="T160" s="39">
        <f t="shared" si="150"/>
        <v>-0.1368256994833672</v>
      </c>
      <c r="W160" s="10" t="str">
        <f t="shared" ref="W160:AB160" si="165">W15</f>
        <v>32 Health and social care associate professionals</v>
      </c>
      <c r="X160" s="11">
        <f t="shared" si="165"/>
        <v>456.67642025589413</v>
      </c>
      <c r="Y160" s="11">
        <f t="shared" si="165"/>
        <v>522.95743051478439</v>
      </c>
      <c r="Z160" s="11">
        <f t="shared" si="165"/>
        <v>527.36911066459652</v>
      </c>
      <c r="AA160" s="11">
        <f t="shared" si="165"/>
        <v>552.34975537399259</v>
      </c>
      <c r="AB160" s="11">
        <f t="shared" si="165"/>
        <v>612.23713619788953</v>
      </c>
      <c r="AD160" s="39">
        <f t="shared" si="152"/>
        <v>2.9203418563705119</v>
      </c>
      <c r="AE160" s="39">
        <f t="shared" si="153"/>
        <v>0.99975772817904041</v>
      </c>
    </row>
    <row r="161" spans="1:31" x14ac:dyDescent="0.3">
      <c r="A161" s="10" t="str">
        <f t="shared" si="141"/>
        <v>33 Protective service occupations</v>
      </c>
      <c r="B161" s="11">
        <f t="shared" si="141"/>
        <v>363.34672944829595</v>
      </c>
      <c r="C161" s="11">
        <f t="shared" si="145"/>
        <v>374.45016456591787</v>
      </c>
      <c r="D161" s="11">
        <f t="shared" si="145"/>
        <v>396.95240357529076</v>
      </c>
      <c r="E161" s="11">
        <f t="shared" si="145"/>
        <v>471.17241079229422</v>
      </c>
      <c r="F161" s="11">
        <f t="shared" si="145"/>
        <v>540.74077072874798</v>
      </c>
      <c r="H161" s="39">
        <f t="shared" si="146"/>
        <v>1.7849191764324424</v>
      </c>
      <c r="I161" s="39">
        <f t="shared" si="147"/>
        <v>2.0822056987987558</v>
      </c>
      <c r="L161" s="10" t="str">
        <f t="shared" ref="L161:Q161" si="166">L16</f>
        <v>33 Protective service occupations</v>
      </c>
      <c r="M161" s="11">
        <f t="shared" si="166"/>
        <v>280.31060788525781</v>
      </c>
      <c r="N161" s="11">
        <f t="shared" si="166"/>
        <v>281.42639025433937</v>
      </c>
      <c r="O161" s="11">
        <f t="shared" si="166"/>
        <v>292.46834058914482</v>
      </c>
      <c r="P161" s="11">
        <f t="shared" si="166"/>
        <v>332.37180774358978</v>
      </c>
      <c r="Q161" s="11">
        <f t="shared" si="166"/>
        <v>357.77705834718284</v>
      </c>
      <c r="S161" s="39">
        <f t="shared" si="149"/>
        <v>0.85277803703087685</v>
      </c>
      <c r="T161" s="39">
        <f t="shared" si="150"/>
        <v>1.3527589413654839</v>
      </c>
      <c r="W161" s="10" t="str">
        <f t="shared" ref="W161:AB161" si="167">W16</f>
        <v>33 Protective service occupations</v>
      </c>
      <c r="X161" s="11">
        <f t="shared" si="167"/>
        <v>83.036121563037412</v>
      </c>
      <c r="Y161" s="11">
        <f t="shared" si="167"/>
        <v>93.023774311578308</v>
      </c>
      <c r="Z161" s="11">
        <f t="shared" si="167"/>
        <v>104.48406298614599</v>
      </c>
      <c r="AA161" s="11">
        <f t="shared" si="167"/>
        <v>138.80060304870361</v>
      </c>
      <c r="AB161" s="11">
        <f t="shared" si="167"/>
        <v>182.96371238156686</v>
      </c>
      <c r="AD161" s="39">
        <f t="shared" si="152"/>
        <v>4.7023909636914496</v>
      </c>
      <c r="AE161" s="39">
        <f t="shared" si="153"/>
        <v>3.8056504483941822</v>
      </c>
    </row>
    <row r="162" spans="1:31" x14ac:dyDescent="0.3">
      <c r="A162" s="10" t="str">
        <f t="shared" si="141"/>
        <v>34 Culture, media and sports occupations</v>
      </c>
      <c r="B162" s="11">
        <f t="shared" si="141"/>
        <v>690.99398123085246</v>
      </c>
      <c r="C162" s="11">
        <f t="shared" si="145"/>
        <v>706.28772737996678</v>
      </c>
      <c r="D162" s="11">
        <f t="shared" si="145"/>
        <v>752.69702031034967</v>
      </c>
      <c r="E162" s="11">
        <f t="shared" si="145"/>
        <v>748.06174924159575</v>
      </c>
      <c r="F162" s="11">
        <f t="shared" si="145"/>
        <v>831.23766135714891</v>
      </c>
      <c r="H162" s="39">
        <f t="shared" si="146"/>
        <v>1.7253485179053119</v>
      </c>
      <c r="I162" s="39">
        <f t="shared" si="147"/>
        <v>0.66388041453961932</v>
      </c>
      <c r="L162" s="10" t="str">
        <f t="shared" ref="L162:Q162" si="168">L17</f>
        <v>34 Culture, media and sports occupations</v>
      </c>
      <c r="M162" s="11">
        <f t="shared" si="168"/>
        <v>378.01213024048917</v>
      </c>
      <c r="N162" s="11">
        <f t="shared" si="168"/>
        <v>376.46113773503623</v>
      </c>
      <c r="O162" s="11">
        <f t="shared" si="168"/>
        <v>382.48993957074305</v>
      </c>
      <c r="P162" s="11">
        <f t="shared" si="168"/>
        <v>382.33592894790536</v>
      </c>
      <c r="Q162" s="11">
        <f t="shared" si="168"/>
        <v>422.97114045864595</v>
      </c>
      <c r="S162" s="39">
        <f t="shared" si="149"/>
        <v>0.23579887844127345</v>
      </c>
      <c r="T162" s="39">
        <f t="shared" si="150"/>
        <v>0.67293140817616948</v>
      </c>
      <c r="W162" s="10" t="str">
        <f t="shared" ref="W162:AB162" si="169">W17</f>
        <v>34 Culture, media and sports occupations</v>
      </c>
      <c r="X162" s="11">
        <f t="shared" si="169"/>
        <v>312.98185099036266</v>
      </c>
      <c r="Y162" s="11">
        <f t="shared" si="169"/>
        <v>329.82658964493061</v>
      </c>
      <c r="Z162" s="11">
        <f t="shared" si="169"/>
        <v>370.20708073960736</v>
      </c>
      <c r="AA162" s="11">
        <f t="shared" si="169"/>
        <v>365.72582029368988</v>
      </c>
      <c r="AB162" s="11">
        <f t="shared" si="169"/>
        <v>408.26652089850245</v>
      </c>
      <c r="AD162" s="39">
        <f t="shared" si="152"/>
        <v>3.4153755136413277</v>
      </c>
      <c r="AE162" s="39">
        <f t="shared" si="153"/>
        <v>0.65451714195476907</v>
      </c>
    </row>
    <row r="163" spans="1:31" x14ac:dyDescent="0.3">
      <c r="A163" s="10" t="str">
        <f t="shared" si="141"/>
        <v>35 Business and public service associate professionals</v>
      </c>
      <c r="B163" s="11">
        <f t="shared" si="141"/>
        <v>2027.0470687026313</v>
      </c>
      <c r="C163" s="11">
        <f t="shared" si="145"/>
        <v>2184.9567602085476</v>
      </c>
      <c r="D163" s="11">
        <f t="shared" si="145"/>
        <v>2253.7675379132588</v>
      </c>
      <c r="E163" s="11">
        <f t="shared" si="145"/>
        <v>2179.1345505034442</v>
      </c>
      <c r="F163" s="11">
        <f t="shared" si="145"/>
        <v>2280.1601708895205</v>
      </c>
      <c r="H163" s="39">
        <f t="shared" si="146"/>
        <v>2.1431053674808798</v>
      </c>
      <c r="I163" s="39">
        <f t="shared" si="147"/>
        <v>7.7646220584459691E-2</v>
      </c>
      <c r="L163" s="10" t="str">
        <f t="shared" ref="L163:Q163" si="170">L18</f>
        <v>35 Business and public service associate professionals</v>
      </c>
      <c r="M163" s="11">
        <f t="shared" si="170"/>
        <v>1086.9658802670947</v>
      </c>
      <c r="N163" s="11">
        <f t="shared" si="170"/>
        <v>1145.2054516450951</v>
      </c>
      <c r="O163" s="11">
        <f t="shared" si="170"/>
        <v>1184.4336164975182</v>
      </c>
      <c r="P163" s="11">
        <f t="shared" si="170"/>
        <v>1108.1255813959192</v>
      </c>
      <c r="Q163" s="11">
        <f t="shared" si="170"/>
        <v>1111.1879352883907</v>
      </c>
      <c r="S163" s="39">
        <f t="shared" si="149"/>
        <v>1.7323232697434632</v>
      </c>
      <c r="T163" s="39">
        <f t="shared" si="150"/>
        <v>-0.42466271057735039</v>
      </c>
      <c r="W163" s="10" t="str">
        <f t="shared" ref="W163:AB163" si="171">W18</f>
        <v>35 Business and public service associate professionals</v>
      </c>
      <c r="X163" s="11">
        <f t="shared" si="171"/>
        <v>940.08118843553086</v>
      </c>
      <c r="Y163" s="11">
        <f t="shared" si="171"/>
        <v>1039.751308563456</v>
      </c>
      <c r="Z163" s="11">
        <f t="shared" si="171"/>
        <v>1069.3339214157434</v>
      </c>
      <c r="AA163" s="11">
        <f t="shared" si="171"/>
        <v>1071.008969107517</v>
      </c>
      <c r="AB163" s="11">
        <f t="shared" si="171"/>
        <v>1168.9722356011355</v>
      </c>
      <c r="AD163" s="39">
        <f t="shared" si="152"/>
        <v>2.6099784237866519</v>
      </c>
      <c r="AE163" s="39">
        <f t="shared" si="153"/>
        <v>0.59569377638366561</v>
      </c>
    </row>
    <row r="164" spans="1:31" x14ac:dyDescent="0.3">
      <c r="A164" s="10" t="str">
        <f t="shared" si="141"/>
        <v>41 Administrative occupations</v>
      </c>
      <c r="B164" s="11">
        <f t="shared" si="141"/>
        <v>2983.2974966503325</v>
      </c>
      <c r="C164" s="11">
        <f t="shared" si="145"/>
        <v>2936.1562259666393</v>
      </c>
      <c r="D164" s="11">
        <f t="shared" si="145"/>
        <v>3065.8450120205653</v>
      </c>
      <c r="E164" s="11">
        <f t="shared" si="145"/>
        <v>2826.2804049751931</v>
      </c>
      <c r="F164" s="11">
        <f t="shared" si="145"/>
        <v>2684.5081609977879</v>
      </c>
      <c r="H164" s="39">
        <f t="shared" si="146"/>
        <v>0.5473725868278434</v>
      </c>
      <c r="I164" s="39">
        <f t="shared" si="147"/>
        <v>-0.88159560569440742</v>
      </c>
      <c r="L164" s="10" t="str">
        <f t="shared" ref="L164:Q164" si="172">L19</f>
        <v>41 Administrative occupations</v>
      </c>
      <c r="M164" s="11">
        <f t="shared" si="172"/>
        <v>893.66210959378532</v>
      </c>
      <c r="N164" s="11">
        <f t="shared" si="172"/>
        <v>853.86111053766251</v>
      </c>
      <c r="O164" s="11">
        <f t="shared" si="172"/>
        <v>1004.9447572906457</v>
      </c>
      <c r="P164" s="11">
        <f t="shared" si="172"/>
        <v>959.36615643569519</v>
      </c>
      <c r="Q164" s="11">
        <f t="shared" si="172"/>
        <v>1037.3803456113635</v>
      </c>
      <c r="S164" s="39">
        <f t="shared" si="149"/>
        <v>2.3749656005743303</v>
      </c>
      <c r="T164" s="39">
        <f t="shared" si="150"/>
        <v>0.21199816441863639</v>
      </c>
      <c r="W164" s="10" t="str">
        <f t="shared" ref="W164:AB164" si="173">W19</f>
        <v>41 Administrative occupations</v>
      </c>
      <c r="X164" s="11">
        <f t="shared" si="173"/>
        <v>2089.6353870565431</v>
      </c>
      <c r="Y164" s="11">
        <f t="shared" si="173"/>
        <v>2082.2951154289781</v>
      </c>
      <c r="Z164" s="11">
        <f t="shared" si="173"/>
        <v>2060.9002547299101</v>
      </c>
      <c r="AA164" s="11">
        <f t="shared" si="173"/>
        <v>1866.9142485395075</v>
      </c>
      <c r="AB164" s="11">
        <f t="shared" si="173"/>
        <v>1647.1278153864282</v>
      </c>
      <c r="AD164" s="39">
        <f t="shared" si="152"/>
        <v>-0.27655070419365657</v>
      </c>
      <c r="AE164" s="39">
        <f t="shared" si="153"/>
        <v>-1.4829598904517627</v>
      </c>
    </row>
    <row r="165" spans="1:31" x14ac:dyDescent="0.3">
      <c r="A165" s="10" t="str">
        <f t="shared" si="141"/>
        <v>42 Secretarial and related occupations</v>
      </c>
      <c r="B165" s="11">
        <f t="shared" si="141"/>
        <v>752.31508382302525</v>
      </c>
      <c r="C165" s="11">
        <f t="shared" si="145"/>
        <v>691.36833270873626</v>
      </c>
      <c r="D165" s="11">
        <f t="shared" si="145"/>
        <v>675.89827543689773</v>
      </c>
      <c r="E165" s="11">
        <f t="shared" si="145"/>
        <v>707.40178733206074</v>
      </c>
      <c r="F165" s="11">
        <f t="shared" si="145"/>
        <v>570.45465442441707</v>
      </c>
      <c r="H165" s="39">
        <f t="shared" si="146"/>
        <v>-2.1194696646936184</v>
      </c>
      <c r="I165" s="39">
        <f t="shared" si="147"/>
        <v>-1.1243573359091985</v>
      </c>
      <c r="L165" s="10" t="str">
        <f t="shared" ref="L165:Q165" si="174">L20</f>
        <v>42 Secretarial and related occupations</v>
      </c>
      <c r="M165" s="11">
        <f t="shared" si="174"/>
        <v>57.308113796816293</v>
      </c>
      <c r="N165" s="11">
        <f t="shared" si="174"/>
        <v>45.098969751248077</v>
      </c>
      <c r="O165" s="11">
        <f t="shared" si="174"/>
        <v>43.291709779888208</v>
      </c>
      <c r="P165" s="11">
        <f t="shared" si="174"/>
        <v>57.180471016046504</v>
      </c>
      <c r="Q165" s="11">
        <f t="shared" si="174"/>
        <v>69.579679642121931</v>
      </c>
      <c r="S165" s="39">
        <f t="shared" si="149"/>
        <v>-5.4551831775710653</v>
      </c>
      <c r="T165" s="39">
        <f t="shared" si="150"/>
        <v>3.2139769992395761</v>
      </c>
      <c r="W165" s="10" t="str">
        <f t="shared" ref="W165:AB165" si="175">W20</f>
        <v>42 Secretarial and related occupations</v>
      </c>
      <c r="X165" s="11">
        <f t="shared" si="175"/>
        <v>695.00697002620927</v>
      </c>
      <c r="Y165" s="11">
        <f t="shared" si="175"/>
        <v>646.26936295748817</v>
      </c>
      <c r="Z165" s="11">
        <f t="shared" si="175"/>
        <v>632.60656565700947</v>
      </c>
      <c r="AA165" s="11">
        <f t="shared" si="175"/>
        <v>650.22131631601439</v>
      </c>
      <c r="AB165" s="11">
        <f t="shared" si="175"/>
        <v>500.874974782295</v>
      </c>
      <c r="AD165" s="39">
        <f t="shared" si="152"/>
        <v>-1.8638746484290314</v>
      </c>
      <c r="AE165" s="39">
        <f t="shared" si="153"/>
        <v>-1.5445618492594959</v>
      </c>
    </row>
    <row r="166" spans="1:31" x14ac:dyDescent="0.3">
      <c r="A166" s="10" t="str">
        <f t="shared" si="141"/>
        <v>51 Skilled agricultural and related trades</v>
      </c>
      <c r="B166" s="11">
        <f t="shared" si="141"/>
        <v>404.75546845929</v>
      </c>
      <c r="C166" s="11">
        <f t="shared" si="145"/>
        <v>408.46552052824893</v>
      </c>
      <c r="D166" s="11">
        <f t="shared" si="145"/>
        <v>376.47025514650636</v>
      </c>
      <c r="E166" s="11">
        <f t="shared" si="145"/>
        <v>386.22303951218908</v>
      </c>
      <c r="F166" s="11">
        <f t="shared" si="145"/>
        <v>423.49261595568004</v>
      </c>
      <c r="H166" s="39">
        <f t="shared" si="146"/>
        <v>-1.4384354784026443</v>
      </c>
      <c r="I166" s="39">
        <f t="shared" si="147"/>
        <v>0.7877333388565777</v>
      </c>
      <c r="L166" s="10" t="str">
        <f t="shared" ref="L166:Q166" si="176">L21</f>
        <v>51 Skilled agricultural and related trades</v>
      </c>
      <c r="M166" s="11">
        <f t="shared" si="176"/>
        <v>341.95723307717464</v>
      </c>
      <c r="N166" s="11">
        <f t="shared" si="176"/>
        <v>346.17568052397621</v>
      </c>
      <c r="O166" s="11">
        <f t="shared" si="176"/>
        <v>303.97513289187032</v>
      </c>
      <c r="P166" s="11">
        <f t="shared" si="176"/>
        <v>303.77952058273638</v>
      </c>
      <c r="Q166" s="11">
        <f t="shared" si="176"/>
        <v>323.74337055390657</v>
      </c>
      <c r="S166" s="39">
        <f t="shared" si="149"/>
        <v>-2.3272866653946012</v>
      </c>
      <c r="T166" s="39">
        <f t="shared" si="150"/>
        <v>0.4209182989781457</v>
      </c>
      <c r="W166" s="10" t="str">
        <f t="shared" ref="W166:AB166" si="177">W21</f>
        <v>51 Skilled agricultural and related trades</v>
      </c>
      <c r="X166" s="11">
        <f t="shared" si="177"/>
        <v>62.798235382114889</v>
      </c>
      <c r="Y166" s="11">
        <f t="shared" si="177"/>
        <v>62.289840004273167</v>
      </c>
      <c r="Z166" s="11">
        <f t="shared" si="177"/>
        <v>72.495122254634566</v>
      </c>
      <c r="AA166" s="11">
        <f t="shared" si="177"/>
        <v>82.443518929452708</v>
      </c>
      <c r="AB166" s="11">
        <f t="shared" si="177"/>
        <v>99.749245401773436</v>
      </c>
      <c r="AD166" s="39">
        <f t="shared" si="152"/>
        <v>2.9134812362613838</v>
      </c>
      <c r="AE166" s="39">
        <f t="shared" si="153"/>
        <v>2.1503962158497814</v>
      </c>
    </row>
    <row r="167" spans="1:31" x14ac:dyDescent="0.3">
      <c r="A167" s="10" t="str">
        <f t="shared" si="141"/>
        <v>52 Skilled metal, electrical and electronic trades</v>
      </c>
      <c r="B167" s="11">
        <f t="shared" si="141"/>
        <v>1243.0037577536757</v>
      </c>
      <c r="C167" s="11">
        <f t="shared" si="145"/>
        <v>1262.3427682116287</v>
      </c>
      <c r="D167" s="11">
        <f t="shared" si="145"/>
        <v>1101.9773582511193</v>
      </c>
      <c r="E167" s="11">
        <f t="shared" si="145"/>
        <v>1091.030578805357</v>
      </c>
      <c r="F167" s="11">
        <f t="shared" si="145"/>
        <v>1030.1623941830187</v>
      </c>
      <c r="H167" s="39">
        <f t="shared" si="146"/>
        <v>-2.3797206803339854</v>
      </c>
      <c r="I167" s="39">
        <f t="shared" si="147"/>
        <v>-0.44825705159887708</v>
      </c>
      <c r="L167" s="10" t="str">
        <f t="shared" ref="L167:Q167" si="178">L22</f>
        <v>52 Skilled metal, electrical and electronic trades</v>
      </c>
      <c r="M167" s="11">
        <f t="shared" si="178"/>
        <v>1222.0144277699078</v>
      </c>
      <c r="N167" s="11">
        <f t="shared" si="178"/>
        <v>1227.1458322811134</v>
      </c>
      <c r="O167" s="11">
        <f t="shared" si="178"/>
        <v>1074.7938787991336</v>
      </c>
      <c r="P167" s="11">
        <f t="shared" si="178"/>
        <v>1029.3926258347662</v>
      </c>
      <c r="Q167" s="11">
        <f t="shared" si="178"/>
        <v>951.98728285514289</v>
      </c>
      <c r="S167" s="39">
        <f t="shared" si="149"/>
        <v>-2.5347569389927549</v>
      </c>
      <c r="T167" s="39">
        <f t="shared" si="150"/>
        <v>-0.80562070923732021</v>
      </c>
      <c r="W167" s="10" t="str">
        <f t="shared" ref="W167:AB167" si="179">W22</f>
        <v>52 Skilled metal, electrical and electronic trades</v>
      </c>
      <c r="X167" s="11">
        <f t="shared" si="179"/>
        <v>20.989329983770912</v>
      </c>
      <c r="Y167" s="11">
        <f t="shared" si="179"/>
        <v>35.196935930513085</v>
      </c>
      <c r="Z167" s="11">
        <f t="shared" si="179"/>
        <v>27.183479451981629</v>
      </c>
      <c r="AA167" s="11">
        <f t="shared" si="179"/>
        <v>61.637952970590796</v>
      </c>
      <c r="AB167" s="11">
        <f t="shared" si="179"/>
        <v>78.175111327874617</v>
      </c>
      <c r="AD167" s="39">
        <f t="shared" si="152"/>
        <v>5.3079828289576581</v>
      </c>
      <c r="AE167" s="39">
        <f t="shared" si="153"/>
        <v>7.2961727274221344</v>
      </c>
    </row>
    <row r="168" spans="1:31" x14ac:dyDescent="0.3">
      <c r="A168" s="10" t="str">
        <f t="shared" si="141"/>
        <v>53 Skilled construction and building trades</v>
      </c>
      <c r="B168" s="11">
        <f t="shared" si="141"/>
        <v>1085.8029793612313</v>
      </c>
      <c r="C168" s="11">
        <f t="shared" si="145"/>
        <v>1074.3217952996649</v>
      </c>
      <c r="D168" s="11">
        <f t="shared" si="145"/>
        <v>902.6086997361848</v>
      </c>
      <c r="E168" s="11">
        <f t="shared" si="145"/>
        <v>946.65514273475333</v>
      </c>
      <c r="F168" s="11">
        <f t="shared" si="145"/>
        <v>888.79123577476093</v>
      </c>
      <c r="H168" s="39">
        <f t="shared" si="146"/>
        <v>-3.6282606773357928</v>
      </c>
      <c r="I168" s="39">
        <f t="shared" si="147"/>
        <v>-0.10279212158672557</v>
      </c>
      <c r="L168" s="10" t="str">
        <f t="shared" ref="L168:Q168" si="180">L23</f>
        <v>53 Skilled construction and building trades</v>
      </c>
      <c r="M168" s="11">
        <f t="shared" si="180"/>
        <v>1068.4797666132677</v>
      </c>
      <c r="N168" s="11">
        <f t="shared" si="180"/>
        <v>1053.1517364940839</v>
      </c>
      <c r="O168" s="11">
        <f t="shared" si="180"/>
        <v>881.14209680591478</v>
      </c>
      <c r="P168" s="11">
        <f t="shared" si="180"/>
        <v>922.70229611167167</v>
      </c>
      <c r="Q168" s="11">
        <f t="shared" si="180"/>
        <v>859.7158864814952</v>
      </c>
      <c r="S168" s="39">
        <f t="shared" si="149"/>
        <v>-3.7820876906670686</v>
      </c>
      <c r="T168" s="39">
        <f t="shared" si="150"/>
        <v>-0.16397829630504512</v>
      </c>
      <c r="W168" s="10" t="str">
        <f t="shared" ref="W168:AB168" si="181">W23</f>
        <v>53 Skilled construction and building trades</v>
      </c>
      <c r="X168" s="11">
        <f t="shared" si="181"/>
        <v>17.323212747966721</v>
      </c>
      <c r="Y168" s="11">
        <f t="shared" si="181"/>
        <v>21.170058805582148</v>
      </c>
      <c r="Z168" s="11">
        <f t="shared" si="181"/>
        <v>21.466602930270341</v>
      </c>
      <c r="AA168" s="11">
        <f t="shared" si="181"/>
        <v>23.952846623082653</v>
      </c>
      <c r="AB168" s="11">
        <f t="shared" si="181"/>
        <v>29.075349293264136</v>
      </c>
      <c r="AD168" s="39">
        <f t="shared" si="152"/>
        <v>4.3823275903746239</v>
      </c>
      <c r="AE168" s="39">
        <f t="shared" si="153"/>
        <v>2.0432090535263736</v>
      </c>
    </row>
    <row r="169" spans="1:31" x14ac:dyDescent="0.3">
      <c r="A169" s="10" t="str">
        <f t="shared" si="141"/>
        <v>54 Textiles, printing and other skilled trades</v>
      </c>
      <c r="B169" s="11">
        <f t="shared" si="141"/>
        <v>755.52676365289369</v>
      </c>
      <c r="C169" s="11">
        <f t="shared" si="145"/>
        <v>689.32645869058581</v>
      </c>
      <c r="D169" s="11">
        <f t="shared" si="145"/>
        <v>647.87195370468623</v>
      </c>
      <c r="E169" s="11">
        <f t="shared" si="145"/>
        <v>646.27082264483795</v>
      </c>
      <c r="F169" s="11">
        <f t="shared" si="145"/>
        <v>647.60661016517849</v>
      </c>
      <c r="H169" s="39">
        <f t="shared" si="146"/>
        <v>-3.0276622829639499</v>
      </c>
      <c r="I169" s="39">
        <f t="shared" si="147"/>
        <v>-2.7309333392233626E-3</v>
      </c>
      <c r="L169" s="10" t="str">
        <f t="shared" ref="L169:Q169" si="182">L24</f>
        <v>54 Textiles, printing and other skilled trades</v>
      </c>
      <c r="M169" s="11">
        <f t="shared" si="182"/>
        <v>488.84840414917664</v>
      </c>
      <c r="N169" s="11">
        <f t="shared" si="182"/>
        <v>441.80074512471941</v>
      </c>
      <c r="O169" s="11">
        <f t="shared" si="182"/>
        <v>385.2678051461524</v>
      </c>
      <c r="P169" s="11">
        <f t="shared" si="182"/>
        <v>383.65915429244978</v>
      </c>
      <c r="Q169" s="11">
        <f t="shared" si="182"/>
        <v>380.69227862888886</v>
      </c>
      <c r="S169" s="39">
        <f t="shared" si="149"/>
        <v>-4.6506573307949832</v>
      </c>
      <c r="T169" s="39">
        <f t="shared" si="150"/>
        <v>-7.9617016202471191E-2</v>
      </c>
      <c r="W169" s="10" t="str">
        <f t="shared" ref="W169:AB169" si="183">W24</f>
        <v>54 Textiles, printing and other skilled trades</v>
      </c>
      <c r="X169" s="11">
        <f t="shared" si="183"/>
        <v>266.67835950371887</v>
      </c>
      <c r="Y169" s="11">
        <f t="shared" si="183"/>
        <v>247.52571356586833</v>
      </c>
      <c r="Z169" s="11">
        <f t="shared" si="183"/>
        <v>262.60414855853298</v>
      </c>
      <c r="AA169" s="11">
        <f t="shared" si="183"/>
        <v>262.61166835238754</v>
      </c>
      <c r="AB169" s="11">
        <f t="shared" si="183"/>
        <v>266.91433153629032</v>
      </c>
      <c r="AD169" s="39">
        <f t="shared" si="152"/>
        <v>-0.30743697008926985</v>
      </c>
      <c r="AE169" s="39">
        <f t="shared" si="153"/>
        <v>0.10859219525820585</v>
      </c>
    </row>
    <row r="170" spans="1:31" x14ac:dyDescent="0.3">
      <c r="A170" s="10" t="str">
        <f t="shared" si="141"/>
        <v>61 Caring personal service occupations</v>
      </c>
      <c r="B170" s="11">
        <f t="shared" si="141"/>
        <v>2378.4874023039993</v>
      </c>
      <c r="C170" s="11">
        <f t="shared" si="145"/>
        <v>2425.9290474878148</v>
      </c>
      <c r="D170" s="11">
        <f t="shared" si="145"/>
        <v>2366.0754145696519</v>
      </c>
      <c r="E170" s="11">
        <f t="shared" si="145"/>
        <v>2583.6927520604086</v>
      </c>
      <c r="F170" s="11">
        <f t="shared" si="145"/>
        <v>2831.8232058057956</v>
      </c>
      <c r="H170" s="39">
        <f t="shared" si="146"/>
        <v>-0.1045872903383982</v>
      </c>
      <c r="I170" s="39">
        <f t="shared" si="147"/>
        <v>1.2051245215293882</v>
      </c>
      <c r="L170" s="10" t="str">
        <f t="shared" ref="L170:Q170" si="184">L25</f>
        <v>61 Caring personal service occupations</v>
      </c>
      <c r="M170" s="11">
        <f t="shared" si="184"/>
        <v>368.0655078680532</v>
      </c>
      <c r="N170" s="11">
        <f t="shared" si="184"/>
        <v>377.30248868630508</v>
      </c>
      <c r="O170" s="11">
        <f t="shared" si="184"/>
        <v>369.85769879148097</v>
      </c>
      <c r="P170" s="11">
        <f t="shared" si="184"/>
        <v>456.31790770329781</v>
      </c>
      <c r="Q170" s="11">
        <f t="shared" si="184"/>
        <v>532.91813162272513</v>
      </c>
      <c r="S170" s="39">
        <f t="shared" si="149"/>
        <v>9.7195223227464211E-2</v>
      </c>
      <c r="T170" s="39">
        <f t="shared" si="150"/>
        <v>2.4648846682154169</v>
      </c>
      <c r="W170" s="10" t="str">
        <f t="shared" ref="W170:AB170" si="185">W25</f>
        <v>61 Caring personal service occupations</v>
      </c>
      <c r="X170" s="11">
        <f t="shared" si="185"/>
        <v>2010.4218944359411</v>
      </c>
      <c r="Y170" s="11">
        <f t="shared" si="185"/>
        <v>2048.6265588015126</v>
      </c>
      <c r="Z170" s="11">
        <f t="shared" si="185"/>
        <v>1996.2177157781721</v>
      </c>
      <c r="AA170" s="11">
        <f t="shared" si="185"/>
        <v>2127.3748443571053</v>
      </c>
      <c r="AB170" s="11">
        <f t="shared" si="185"/>
        <v>2298.9050741830715</v>
      </c>
      <c r="AD170" s="39">
        <f t="shared" si="152"/>
        <v>-0.14170649724553064</v>
      </c>
      <c r="AE170" s="39">
        <f t="shared" si="153"/>
        <v>0.94563451392257747</v>
      </c>
    </row>
    <row r="171" spans="1:31" x14ac:dyDescent="0.3">
      <c r="A171" s="10" t="str">
        <f t="shared" si="141"/>
        <v>62 Leisure, travel and related personal service occupations</v>
      </c>
      <c r="B171" s="11">
        <f t="shared" si="141"/>
        <v>734.9431095897952</v>
      </c>
      <c r="C171" s="11">
        <f t="shared" si="145"/>
        <v>794.74477127636385</v>
      </c>
      <c r="D171" s="11">
        <f t="shared" si="145"/>
        <v>729.01453888132892</v>
      </c>
      <c r="E171" s="11">
        <f t="shared" si="145"/>
        <v>743.24387513858949</v>
      </c>
      <c r="F171" s="11">
        <f t="shared" si="145"/>
        <v>769.83325122450708</v>
      </c>
      <c r="H171" s="39">
        <f t="shared" si="146"/>
        <v>-0.16185724750072961</v>
      </c>
      <c r="I171" s="39">
        <f t="shared" si="147"/>
        <v>0.3638621043261292</v>
      </c>
      <c r="L171" s="10" t="str">
        <f t="shared" ref="L171:Q171" si="186">L26</f>
        <v>62 Leisure, travel and related personal service occupations</v>
      </c>
      <c r="M171" s="11">
        <f t="shared" si="186"/>
        <v>224.08956255449885</v>
      </c>
      <c r="N171" s="11">
        <f t="shared" si="186"/>
        <v>251.82611876946706</v>
      </c>
      <c r="O171" s="11">
        <f t="shared" si="186"/>
        <v>239.15645027242459</v>
      </c>
      <c r="P171" s="11">
        <f t="shared" si="186"/>
        <v>247.68428894258085</v>
      </c>
      <c r="Q171" s="11">
        <f t="shared" si="186"/>
        <v>271.05536182923242</v>
      </c>
      <c r="S171" s="39">
        <f t="shared" si="149"/>
        <v>1.3099483574241733</v>
      </c>
      <c r="T171" s="39">
        <f t="shared" si="150"/>
        <v>0.83819431335858674</v>
      </c>
      <c r="W171" s="10" t="str">
        <f t="shared" ref="W171:AB171" si="187">W26</f>
        <v>62 Leisure, travel and related personal service occupations</v>
      </c>
      <c r="X171" s="11">
        <f t="shared" si="187"/>
        <v>510.85354703529703</v>
      </c>
      <c r="Y171" s="11">
        <f t="shared" si="187"/>
        <v>542.91865250689568</v>
      </c>
      <c r="Z171" s="11">
        <f t="shared" si="187"/>
        <v>489.85808860890154</v>
      </c>
      <c r="AA171" s="11">
        <f t="shared" si="187"/>
        <v>495.55958619600767</v>
      </c>
      <c r="AB171" s="11">
        <f t="shared" si="187"/>
        <v>498.77788939527414</v>
      </c>
      <c r="AD171" s="39">
        <f t="shared" si="152"/>
        <v>-0.83583162723896987</v>
      </c>
      <c r="AE171" s="39">
        <f t="shared" si="153"/>
        <v>0.12037339837793759</v>
      </c>
    </row>
    <row r="172" spans="1:31" x14ac:dyDescent="0.3">
      <c r="A172" s="10" t="str">
        <f t="shared" si="141"/>
        <v>63 Community and civil enforcement occupations</v>
      </c>
      <c r="B172" s="11">
        <f t="shared" si="141"/>
        <v>35.1715178590417</v>
      </c>
      <c r="C172" s="11">
        <f t="shared" si="145"/>
        <v>30.500599461389967</v>
      </c>
      <c r="D172" s="11">
        <f t="shared" si="145"/>
        <v>38.450806585208952</v>
      </c>
      <c r="E172" s="11">
        <f t="shared" si="145"/>
        <v>31.402379836268015</v>
      </c>
      <c r="F172" s="11">
        <f t="shared" si="145"/>
        <v>33.642958409426491</v>
      </c>
      <c r="H172" s="39">
        <f t="shared" si="146"/>
        <v>1.7988492443667958</v>
      </c>
      <c r="I172" s="39">
        <f t="shared" si="147"/>
        <v>-0.88655273075052277</v>
      </c>
      <c r="L172" s="10" t="str">
        <f t="shared" ref="L172:Q172" si="188">L27</f>
        <v>63 Community and civil enforcement occupations</v>
      </c>
      <c r="M172" s="11">
        <f t="shared" si="188"/>
        <v>26.822677839217658</v>
      </c>
      <c r="N172" s="11">
        <f t="shared" si="188"/>
        <v>20.270110968304682</v>
      </c>
      <c r="O172" s="11">
        <f t="shared" si="188"/>
        <v>29.587882763207844</v>
      </c>
      <c r="P172" s="11">
        <f t="shared" si="188"/>
        <v>19.592744340917221</v>
      </c>
      <c r="Q172" s="11">
        <f t="shared" si="188"/>
        <v>22.090009419199141</v>
      </c>
      <c r="S172" s="39">
        <f t="shared" si="149"/>
        <v>1.9817244042366733</v>
      </c>
      <c r="T172" s="39">
        <f t="shared" si="150"/>
        <v>-1.9294071246404809</v>
      </c>
      <c r="W172" s="10" t="str">
        <f t="shared" ref="W172:AB172" si="189">W27</f>
        <v>63 Community and civil enforcement occupations</v>
      </c>
      <c r="X172" s="11">
        <f t="shared" si="189"/>
        <v>8.3488400198241113</v>
      </c>
      <c r="Y172" s="11">
        <f t="shared" si="189"/>
        <v>10.230488493085357</v>
      </c>
      <c r="Z172" s="11">
        <f t="shared" si="189"/>
        <v>8.8629238220010098</v>
      </c>
      <c r="AA172" s="11">
        <f t="shared" si="189"/>
        <v>11.80963549535082</v>
      </c>
      <c r="AB172" s="11">
        <f t="shared" si="189"/>
        <v>11.552948990227389</v>
      </c>
      <c r="AD172" s="39">
        <f t="shared" si="152"/>
        <v>1.2022517028665636</v>
      </c>
      <c r="AE172" s="39">
        <f t="shared" si="153"/>
        <v>1.7827989067690675</v>
      </c>
    </row>
    <row r="173" spans="1:31" x14ac:dyDescent="0.3">
      <c r="A173" s="10" t="str">
        <f t="shared" si="141"/>
        <v>71 Sales occupations</v>
      </c>
      <c r="B173" s="11">
        <f t="shared" si="141"/>
        <v>2342.1745624620294</v>
      </c>
      <c r="C173" s="11">
        <f t="shared" si="145"/>
        <v>2227.4479501027699</v>
      </c>
      <c r="D173" s="11">
        <f t="shared" si="145"/>
        <v>2182.3387584985444</v>
      </c>
      <c r="E173" s="11">
        <f t="shared" si="145"/>
        <v>2026.1126707279607</v>
      </c>
      <c r="F173" s="11">
        <f t="shared" si="145"/>
        <v>1927.0365395209469</v>
      </c>
      <c r="H173" s="39">
        <f t="shared" si="146"/>
        <v>-1.4037082644851373</v>
      </c>
      <c r="I173" s="39">
        <f t="shared" si="147"/>
        <v>-0.8259949304987968</v>
      </c>
      <c r="L173" s="10" t="str">
        <f t="shared" ref="L173:Q173" si="190">L28</f>
        <v>71 Sales occupations</v>
      </c>
      <c r="M173" s="11">
        <f t="shared" si="190"/>
        <v>917.60133423102843</v>
      </c>
      <c r="N173" s="11">
        <f t="shared" si="190"/>
        <v>915.23864721110135</v>
      </c>
      <c r="O173" s="11">
        <f t="shared" si="190"/>
        <v>892.98198416227251</v>
      </c>
      <c r="P173" s="11">
        <f t="shared" si="190"/>
        <v>840.41479977576512</v>
      </c>
      <c r="Q173" s="11">
        <f t="shared" si="190"/>
        <v>823.84181487414082</v>
      </c>
      <c r="S173" s="39">
        <f t="shared" si="149"/>
        <v>-0.54245564082918696</v>
      </c>
      <c r="T173" s="39">
        <f t="shared" si="150"/>
        <v>-0.53581182627092661</v>
      </c>
      <c r="W173" s="10" t="str">
        <f t="shared" ref="W173:AB173" si="191">W28</f>
        <v>71 Sales occupations</v>
      </c>
      <c r="X173" s="11">
        <f t="shared" si="191"/>
        <v>1424.5732282309941</v>
      </c>
      <c r="Y173" s="11">
        <f t="shared" si="191"/>
        <v>1312.2093028916727</v>
      </c>
      <c r="Z173" s="11">
        <f t="shared" si="191"/>
        <v>1289.3567743362776</v>
      </c>
      <c r="AA173" s="11">
        <f t="shared" si="191"/>
        <v>1185.6978709521966</v>
      </c>
      <c r="AB173" s="11">
        <f t="shared" si="191"/>
        <v>1103.1947246468051</v>
      </c>
      <c r="AD173" s="39">
        <f t="shared" si="152"/>
        <v>-1.9748161320246371</v>
      </c>
      <c r="AE173" s="39">
        <f t="shared" si="153"/>
        <v>-1.0341699976613272</v>
      </c>
    </row>
    <row r="174" spans="1:31" x14ac:dyDescent="0.3">
      <c r="A174" s="10" t="str">
        <f t="shared" si="141"/>
        <v>72 Customer service occupations</v>
      </c>
      <c r="B174" s="11">
        <f t="shared" si="141"/>
        <v>545.0861667470167</v>
      </c>
      <c r="C174" s="11">
        <f t="shared" si="145"/>
        <v>589.82043284833424</v>
      </c>
      <c r="D174" s="11">
        <f t="shared" si="145"/>
        <v>604.74815671761121</v>
      </c>
      <c r="E174" s="11">
        <f t="shared" si="145"/>
        <v>778.20420426110786</v>
      </c>
      <c r="F174" s="11">
        <f t="shared" si="145"/>
        <v>889.38998169618799</v>
      </c>
      <c r="H174" s="39">
        <f t="shared" si="146"/>
        <v>2.0990917076667115</v>
      </c>
      <c r="I174" s="39">
        <f t="shared" si="147"/>
        <v>2.6048394906809325</v>
      </c>
      <c r="L174" s="10" t="str">
        <f t="shared" ref="L174:Q174" si="192">L29</f>
        <v>72 Customer service occupations</v>
      </c>
      <c r="M174" s="11">
        <f t="shared" si="192"/>
        <v>218.32879769496239</v>
      </c>
      <c r="N174" s="11">
        <f t="shared" si="192"/>
        <v>206.27684050791595</v>
      </c>
      <c r="O174" s="11">
        <f t="shared" si="192"/>
        <v>237.44794155271015</v>
      </c>
      <c r="P174" s="11">
        <f t="shared" si="192"/>
        <v>328.29492787472276</v>
      </c>
      <c r="Q174" s="11">
        <f t="shared" si="192"/>
        <v>387.52098173476327</v>
      </c>
      <c r="S174" s="39">
        <f t="shared" si="149"/>
        <v>1.6930978108633532</v>
      </c>
      <c r="T174" s="39">
        <f t="shared" si="150"/>
        <v>3.3193790773238696</v>
      </c>
      <c r="W174" s="10" t="str">
        <f t="shared" ref="W174:AB174" si="193">W29</f>
        <v>72 Customer service occupations</v>
      </c>
      <c r="X174" s="11">
        <f t="shared" si="193"/>
        <v>326.75736905205434</v>
      </c>
      <c r="Y174" s="11">
        <f t="shared" si="193"/>
        <v>383.54359234041732</v>
      </c>
      <c r="Z174" s="11">
        <f t="shared" si="193"/>
        <v>367.30021516489961</v>
      </c>
      <c r="AA174" s="11">
        <f t="shared" si="193"/>
        <v>449.90927638638311</v>
      </c>
      <c r="AB174" s="11">
        <f t="shared" si="193"/>
        <v>501.86899996142643</v>
      </c>
      <c r="AD174" s="39">
        <f t="shared" si="152"/>
        <v>2.3668073155877156</v>
      </c>
      <c r="AE174" s="39">
        <f t="shared" si="153"/>
        <v>2.1028690708645215</v>
      </c>
    </row>
    <row r="175" spans="1:31" x14ac:dyDescent="0.3">
      <c r="A175" s="10" t="str">
        <f t="shared" si="141"/>
        <v>81 Process, plant and machine operatives</v>
      </c>
      <c r="B175" s="11">
        <f t="shared" si="141"/>
        <v>904.53857920670657</v>
      </c>
      <c r="C175" s="11">
        <f t="shared" si="145"/>
        <v>870.99992587765519</v>
      </c>
      <c r="D175" s="11">
        <f t="shared" si="145"/>
        <v>765.07385705408774</v>
      </c>
      <c r="E175" s="11">
        <f t="shared" si="145"/>
        <v>921.25332068124919</v>
      </c>
      <c r="F175" s="11">
        <f t="shared" si="145"/>
        <v>906.8322616503707</v>
      </c>
      <c r="H175" s="39">
        <f t="shared" si="146"/>
        <v>-3.2935917585062868</v>
      </c>
      <c r="I175" s="39">
        <f t="shared" si="147"/>
        <v>1.1396795632297341</v>
      </c>
      <c r="L175" s="10" t="str">
        <f t="shared" ref="L175:Q175" si="194">L30</f>
        <v>81 Process, plant and machine operatives</v>
      </c>
      <c r="M175" s="11">
        <f t="shared" si="194"/>
        <v>710.30502953367295</v>
      </c>
      <c r="N175" s="11">
        <f t="shared" si="194"/>
        <v>669.92633691310448</v>
      </c>
      <c r="O175" s="11">
        <f t="shared" si="194"/>
        <v>591.41640268122455</v>
      </c>
      <c r="P175" s="11">
        <f t="shared" si="194"/>
        <v>703.29773491467961</v>
      </c>
      <c r="Q175" s="11">
        <f t="shared" si="194"/>
        <v>684.66526960856299</v>
      </c>
      <c r="S175" s="39">
        <f t="shared" si="149"/>
        <v>-3.5971895636261353</v>
      </c>
      <c r="T175" s="39">
        <f t="shared" si="150"/>
        <v>0.98084384160737059</v>
      </c>
      <c r="W175" s="10" t="str">
        <f t="shared" ref="W175:AB175" si="195">W30</f>
        <v>81 Process, plant and machine operatives</v>
      </c>
      <c r="X175" s="11">
        <f t="shared" si="195"/>
        <v>194.23354967303402</v>
      </c>
      <c r="Y175" s="11">
        <f t="shared" si="195"/>
        <v>201.07358896454917</v>
      </c>
      <c r="Z175" s="11">
        <f t="shared" si="195"/>
        <v>173.65745437286304</v>
      </c>
      <c r="AA175" s="11">
        <f t="shared" si="195"/>
        <v>217.95558576656896</v>
      </c>
      <c r="AB175" s="11">
        <f t="shared" si="195"/>
        <v>222.16699204180659</v>
      </c>
      <c r="AD175" s="39">
        <f t="shared" si="152"/>
        <v>-2.214640516953803</v>
      </c>
      <c r="AE175" s="39">
        <f t="shared" si="153"/>
        <v>1.6558572306938135</v>
      </c>
    </row>
    <row r="176" spans="1:31" x14ac:dyDescent="0.3">
      <c r="A176" s="10" t="str">
        <f t="shared" si="141"/>
        <v>82 Transport and mobile machine drivers and operatives</v>
      </c>
      <c r="B176" s="11">
        <f t="shared" si="141"/>
        <v>1208.479039683479</v>
      </c>
      <c r="C176" s="11">
        <f t="shared" si="145"/>
        <v>1337.8202780641443</v>
      </c>
      <c r="D176" s="11">
        <f t="shared" si="145"/>
        <v>1192.1983711089595</v>
      </c>
      <c r="E176" s="11">
        <f t="shared" si="145"/>
        <v>1279.2062044794754</v>
      </c>
      <c r="F176" s="11">
        <f t="shared" si="145"/>
        <v>1272.0792886398074</v>
      </c>
      <c r="H176" s="39">
        <f t="shared" si="146"/>
        <v>-0.27090445824272669</v>
      </c>
      <c r="I176" s="39">
        <f t="shared" si="147"/>
        <v>0.4332948412486326</v>
      </c>
      <c r="L176" s="10" t="str">
        <f t="shared" ref="L176:Q176" si="196">L31</f>
        <v>82 Transport and mobile machine drivers and operatives</v>
      </c>
      <c r="M176" s="11">
        <f t="shared" si="196"/>
        <v>1134.5263509512913</v>
      </c>
      <c r="N176" s="11">
        <f t="shared" si="196"/>
        <v>1263.2708038991977</v>
      </c>
      <c r="O176" s="11">
        <f t="shared" si="196"/>
        <v>1121.830455666314</v>
      </c>
      <c r="P176" s="11">
        <f t="shared" si="196"/>
        <v>1175.2619837131144</v>
      </c>
      <c r="Q176" s="11">
        <f t="shared" si="196"/>
        <v>1153.3367925900011</v>
      </c>
      <c r="S176" s="39">
        <f t="shared" si="149"/>
        <v>-0.22481820939069808</v>
      </c>
      <c r="T176" s="39">
        <f t="shared" si="150"/>
        <v>0.18482133849673232</v>
      </c>
      <c r="W176" s="10" t="str">
        <f t="shared" ref="W176:AB176" si="197">W31</f>
        <v>82 Transport and mobile machine drivers and operatives</v>
      </c>
      <c r="X176" s="11">
        <f t="shared" si="197"/>
        <v>73.952688732186189</v>
      </c>
      <c r="Y176" s="11">
        <f t="shared" si="197"/>
        <v>74.549474164943035</v>
      </c>
      <c r="Z176" s="11">
        <f t="shared" si="197"/>
        <v>70.367915442644886</v>
      </c>
      <c r="AA176" s="11">
        <f t="shared" si="197"/>
        <v>103.94422076636599</v>
      </c>
      <c r="AB176" s="11">
        <f t="shared" si="197"/>
        <v>118.74249604980453</v>
      </c>
      <c r="AD176" s="39">
        <f t="shared" si="152"/>
        <v>-0.98884118584898761</v>
      </c>
      <c r="AE176" s="39">
        <f t="shared" si="153"/>
        <v>3.5496811302046183</v>
      </c>
    </row>
    <row r="177" spans="1:31" x14ac:dyDescent="0.3">
      <c r="A177" s="10" t="str">
        <f t="shared" si="141"/>
        <v>91 Elementary trades and related occupations</v>
      </c>
      <c r="B177" s="11">
        <f t="shared" si="141"/>
        <v>586.32680498173522</v>
      </c>
      <c r="C177" s="11">
        <f t="shared" si="145"/>
        <v>523.17721969052866</v>
      </c>
      <c r="D177" s="11">
        <f t="shared" si="145"/>
        <v>464.80863120633876</v>
      </c>
      <c r="E177" s="11">
        <f t="shared" si="145"/>
        <v>389.87330472296622</v>
      </c>
      <c r="F177" s="11">
        <f t="shared" si="145"/>
        <v>368.2541352592807</v>
      </c>
      <c r="H177" s="39">
        <f>IF(D$151-B$151 &lt;&gt; 0,(EXP(LN(D177/B177)/(D$151-B$151))-1)*100,0)</f>
        <v>-4.5388005312857587</v>
      </c>
      <c r="I177" s="39">
        <f t="shared" si="147"/>
        <v>-1.5403630899259446</v>
      </c>
      <c r="L177" s="10" t="str">
        <f t="shared" ref="L177:Q178" si="198">L32</f>
        <v>91 Elementary trades and related occupations</v>
      </c>
      <c r="M177" s="11">
        <f t="shared" si="198"/>
        <v>451.87954918913374</v>
      </c>
      <c r="N177" s="11">
        <f t="shared" si="198"/>
        <v>404.21519528753305</v>
      </c>
      <c r="O177" s="11">
        <f t="shared" si="198"/>
        <v>366.35911682474841</v>
      </c>
      <c r="P177" s="11">
        <f t="shared" si="198"/>
        <v>303.93873624763819</v>
      </c>
      <c r="Q177" s="11">
        <f t="shared" si="198"/>
        <v>285.97562053211072</v>
      </c>
      <c r="S177" s="39">
        <f t="shared" si="149"/>
        <v>-4.1092173475315352</v>
      </c>
      <c r="T177" s="39">
        <f t="shared" si="150"/>
        <v>-1.6378226262367956</v>
      </c>
      <c r="W177" s="10" t="str">
        <f t="shared" ref="W177:AB178" si="199">W32</f>
        <v>91 Elementary trades and related occupations</v>
      </c>
      <c r="X177" s="11">
        <f t="shared" si="199"/>
        <v>134.44725579260273</v>
      </c>
      <c r="Y177" s="11">
        <f t="shared" si="199"/>
        <v>118.96202440299479</v>
      </c>
      <c r="Z177" s="11">
        <f t="shared" si="199"/>
        <v>98.449514381590134</v>
      </c>
      <c r="AA177" s="11">
        <f t="shared" si="199"/>
        <v>85.934568475327978</v>
      </c>
      <c r="AB177" s="11">
        <f t="shared" si="199"/>
        <v>82.278514727169892</v>
      </c>
      <c r="AD177" s="39">
        <f t="shared" si="152"/>
        <v>-6.0423107950756672</v>
      </c>
      <c r="AE177" s="39">
        <f t="shared" si="153"/>
        <v>-1.1890993923947102</v>
      </c>
    </row>
    <row r="178" spans="1:31" x14ac:dyDescent="0.3">
      <c r="A178" s="10" t="str">
        <f t="shared" si="141"/>
        <v>92 Elementary administration and service occupations</v>
      </c>
      <c r="B178" s="11">
        <f t="shared" si="141"/>
        <v>3385.6988412834389</v>
      </c>
      <c r="C178" s="11">
        <f t="shared" si="145"/>
        <v>3417.5980423080023</v>
      </c>
      <c r="D178" s="11">
        <f t="shared" si="145"/>
        <v>3133.5251022906664</v>
      </c>
      <c r="E178" s="11">
        <f t="shared" si="145"/>
        <v>3203.9105679470053</v>
      </c>
      <c r="F178" s="11">
        <f t="shared" si="145"/>
        <v>3085.5818095627951</v>
      </c>
      <c r="H178" s="39">
        <f>IF(D$151-B$151 &lt;&gt; 0,(EXP(LN(D178/B178)/(D$151-B$151))-1)*100,0)</f>
        <v>-1.5361142495457836</v>
      </c>
      <c r="I178" s="39">
        <f t="shared" ref="I178" si="200">IF(F$151-D$151 &lt;&gt; 0,(EXP(LN(F178/D178)/(F$151-D$151))-1)*100,0)</f>
        <v>-0.10273631651783743</v>
      </c>
      <c r="L178" s="10" t="str">
        <f t="shared" si="198"/>
        <v>92 Elementary administration and service occupations</v>
      </c>
      <c r="M178" s="11">
        <f t="shared" si="198"/>
        <v>1666.4604987337166</v>
      </c>
      <c r="N178" s="11">
        <f t="shared" si="198"/>
        <v>1629.0979940928164</v>
      </c>
      <c r="O178" s="11">
        <f t="shared" si="198"/>
        <v>1532.5978410910091</v>
      </c>
      <c r="P178" s="11">
        <f t="shared" si="198"/>
        <v>1632.2458741500084</v>
      </c>
      <c r="Q178" s="11">
        <f t="shared" si="198"/>
        <v>1565.7526621758986</v>
      </c>
      <c r="S178" s="39">
        <f t="shared" ref="S178" si="201">IF(O$151-M$151 &lt;&gt; 0,(EXP(LN(O178/M178)/(O$151-M$151))-1)*100,0)</f>
        <v>-1.660807652046381</v>
      </c>
      <c r="T178" s="39">
        <f t="shared" ref="T178" si="202">IF(Q$151-O$151 &lt;&gt; 0,(EXP(LN(Q178/O178)/(Q$151-O$151))-1)*100,0)</f>
        <v>0.1427845854768961</v>
      </c>
      <c r="W178" s="10" t="str">
        <f t="shared" si="199"/>
        <v>92 Elementary administration and service occupations</v>
      </c>
      <c r="X178" s="11">
        <f t="shared" si="199"/>
        <v>1719.2383425497221</v>
      </c>
      <c r="Y178" s="11">
        <f t="shared" si="199"/>
        <v>1788.500048215182</v>
      </c>
      <c r="Z178" s="11">
        <f t="shared" si="199"/>
        <v>1600.9272611996569</v>
      </c>
      <c r="AA178" s="11">
        <f t="shared" si="199"/>
        <v>1571.6646937969847</v>
      </c>
      <c r="AB178" s="11">
        <f t="shared" si="199"/>
        <v>1519.8291473869019</v>
      </c>
      <c r="AD178" s="39">
        <f t="shared" ref="AD178" si="203">IF(Z$151-X$151 &lt;&gt; 0,(EXP(LN(Z178/X178)/(Z$151-X$151))-1)*100,0)</f>
        <v>-1.4158486194470798</v>
      </c>
      <c r="AE178" s="39">
        <f t="shared" ref="AE178" si="204">IF(AB$151-Z$151 &lt;&gt; 0,(EXP(LN(AB178/Z178)/(AB$151-Z$151))-1)*100,0)</f>
        <v>-0.34596730999413294</v>
      </c>
    </row>
    <row r="179" spans="1:31" x14ac:dyDescent="0.3">
      <c r="A179" s="10"/>
      <c r="B179" s="11"/>
      <c r="C179" s="11"/>
      <c r="D179" s="11"/>
      <c r="E179" s="11"/>
      <c r="F179" s="11"/>
      <c r="H179" s="39"/>
      <c r="I179" s="39"/>
      <c r="L179" s="10"/>
      <c r="M179" s="11"/>
      <c r="N179" s="11"/>
      <c r="O179" s="11"/>
      <c r="P179" s="11"/>
      <c r="Q179" s="11"/>
      <c r="S179" s="39"/>
      <c r="T179" s="39"/>
      <c r="W179" s="10"/>
      <c r="X179" s="11"/>
      <c r="Y179" s="11"/>
      <c r="Z179" s="11"/>
      <c r="AA179" s="11"/>
      <c r="AB179" s="11"/>
      <c r="AD179" s="39"/>
      <c r="AE179" s="39"/>
    </row>
    <row r="180" spans="1:31" x14ac:dyDescent="0.3">
      <c r="A180" s="231" t="str">
        <f t="shared" ref="A180:F180" si="205">A35</f>
        <v>All occupations</v>
      </c>
      <c r="B180" s="33">
        <f>B35</f>
        <v>33655.985000000073</v>
      </c>
      <c r="C180" s="33">
        <f t="shared" si="205"/>
        <v>35365.00400000019</v>
      </c>
      <c r="D180" s="33">
        <f t="shared" si="205"/>
        <v>34974.967999999833</v>
      </c>
      <c r="E180" s="33">
        <f t="shared" si="205"/>
        <v>36022.323999999819</v>
      </c>
      <c r="F180" s="33">
        <f t="shared" si="205"/>
        <v>37567.872000000098</v>
      </c>
      <c r="H180" s="42">
        <f t="shared" si="146"/>
        <v>0.77179721851199368</v>
      </c>
      <c r="I180" s="42">
        <f t="shared" si="147"/>
        <v>0.47791580152365398</v>
      </c>
      <c r="L180" s="231" t="str">
        <f t="shared" ref="L180:Q180" si="206">L35</f>
        <v>All occupations</v>
      </c>
      <c r="M180" s="33">
        <f t="shared" si="206"/>
        <v>17704.955000000049</v>
      </c>
      <c r="N180" s="33">
        <f t="shared" si="206"/>
        <v>18453.751000000248</v>
      </c>
      <c r="O180" s="33">
        <f t="shared" si="206"/>
        <v>18072.08199999978</v>
      </c>
      <c r="P180" s="33">
        <f t="shared" si="206"/>
        <v>18555.940999999861</v>
      </c>
      <c r="Q180" s="33">
        <f t="shared" si="206"/>
        <v>19212.934999999903</v>
      </c>
      <c r="S180" s="42">
        <f t="shared" ref="S180" si="207">IF(O$151-M$151 &lt;&gt; 0,(EXP(LN(O180/M180)/(O$151-M$151))-1)*100,0)</f>
        <v>0.41131905746778497</v>
      </c>
      <c r="T180" s="42">
        <f t="shared" ref="T180" si="208">IF(Q$151-O$151 &lt;&gt; 0,(EXP(LN(Q180/O180)/(Q$151-O$151))-1)*100,0)</f>
        <v>0.40893676419082592</v>
      </c>
      <c r="W180" s="231" t="str">
        <f t="shared" ref="W180:AB180" si="209">W35</f>
        <v>All occupations</v>
      </c>
      <c r="X180" s="33">
        <f t="shared" si="209"/>
        <v>15951.030000000013</v>
      </c>
      <c r="Y180" s="33">
        <f t="shared" si="209"/>
        <v>16911.252999999946</v>
      </c>
      <c r="Z180" s="33">
        <f t="shared" si="209"/>
        <v>16902.886000000053</v>
      </c>
      <c r="AA180" s="33">
        <f t="shared" si="209"/>
        <v>17466.382999999954</v>
      </c>
      <c r="AB180" s="33">
        <f t="shared" si="209"/>
        <v>18354.937000000195</v>
      </c>
      <c r="AD180" s="42">
        <f t="shared" ref="AD180" si="210">IF(Z$151-X$151 &lt;&gt; 0,(EXP(LN(Z180/X180)/(Z$151-X$151))-1)*100,0)</f>
        <v>1.1659644392060464</v>
      </c>
      <c r="AE180" s="42">
        <f t="shared" ref="AE180" si="211">IF(AB$151-Z$151 &lt;&gt; 0,(EXP(LN(AB180/Z180)/(AB$151-Z$151))-1)*100,0)</f>
        <v>0.55094017770871417</v>
      </c>
    </row>
    <row r="181" spans="1:31" x14ac:dyDescent="0.3">
      <c r="A181" s="10"/>
    </row>
    <row r="182" spans="1:31" x14ac:dyDescent="0.3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1" man="1"/>
  </rowBreaks>
  <colBreaks count="2" manualBreakCount="2">
    <brk id="10" max="179" man="1"/>
    <brk id="21" max="17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L103"/>
  <sheetViews>
    <sheetView showGridLines="0" zoomScale="85" zoomScaleNormal="85" workbookViewId="0"/>
  </sheetViews>
  <sheetFormatPr defaultRowHeight="12.45" x14ac:dyDescent="0.3"/>
  <cols>
    <col min="1" max="1" width="54.69140625" customWidth="1"/>
    <col min="2" max="6" width="11.69140625" customWidth="1"/>
    <col min="7" max="7" width="5.69140625" customWidth="1"/>
    <col min="8" max="12" width="11.69140625" customWidth="1"/>
  </cols>
  <sheetData>
    <row r="1" spans="1:12" ht="15.45" x14ac:dyDescent="0.4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United Kingdom</v>
      </c>
    </row>
    <row r="2" spans="1:12" ht="12.75" customHeight="1" x14ac:dyDescent="0.3">
      <c r="A2" s="181" t="s">
        <v>536</v>
      </c>
    </row>
    <row r="3" spans="1:12" ht="12.75" customHeight="1" x14ac:dyDescent="0.4">
      <c r="A3" s="18"/>
      <c r="L3" s="37" t="s">
        <v>19</v>
      </c>
    </row>
    <row r="4" spans="1:12" x14ac:dyDescent="0.3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3">
      <c r="A5" s="23"/>
      <c r="B5" s="34">
        <f>'Occ T1'!B6</f>
        <v>2015</v>
      </c>
      <c r="C5" s="34">
        <f>'Occ T1'!C6</f>
        <v>2019</v>
      </c>
      <c r="D5" s="34">
        <f>'Occ T1'!D6</f>
        <v>2020</v>
      </c>
      <c r="E5" s="34">
        <f>'Occ T1'!E6</f>
        <v>2025</v>
      </c>
      <c r="F5" s="34">
        <f>'Occ T1'!F6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ht="12.9" x14ac:dyDescent="0.35">
      <c r="A7" s="29" t="str">
        <f>'Occ T1'!A8</f>
        <v>Managers, directors and senior officials</v>
      </c>
      <c r="B7" s="30">
        <f>'Occ T1'!B8</f>
        <v>3205.425138336177</v>
      </c>
      <c r="C7" s="30">
        <f>'Occ T1'!C8</f>
        <v>3677.7255359911551</v>
      </c>
      <c r="D7" s="30">
        <f>'Occ T1'!D8</f>
        <v>3746.559202054731</v>
      </c>
      <c r="E7" s="30">
        <f>'Occ T1'!E8</f>
        <v>3862.6442625428922</v>
      </c>
      <c r="F7" s="30">
        <f>'Occ T1'!F8</f>
        <v>4318.2488703537829</v>
      </c>
      <c r="H7" s="30">
        <f>C7-B7</f>
        <v>472.30039765497804</v>
      </c>
      <c r="I7" s="30">
        <f>D7-C7</f>
        <v>68.833666063575947</v>
      </c>
      <c r="J7" s="30">
        <f>E7-D7</f>
        <v>116.08506048816116</v>
      </c>
      <c r="K7" s="30">
        <f>F7-E7</f>
        <v>455.60460781089068</v>
      </c>
      <c r="L7" s="30">
        <f>F7-D7</f>
        <v>571.68966829905185</v>
      </c>
    </row>
    <row r="8" spans="1:12" s="29" customFormat="1" ht="12.9" x14ac:dyDescent="0.35">
      <c r="A8" s="10" t="str">
        <f>'Occ T2'!A8</f>
        <v>11 Corporate managers and directors</v>
      </c>
      <c r="B8" s="31">
        <f>'Occ T2'!B8</f>
        <v>2147.9713237433616</v>
      </c>
      <c r="C8" s="31">
        <f>'Occ T2'!C8</f>
        <v>2544.407261426617</v>
      </c>
      <c r="D8" s="31">
        <f>'Occ T2'!D8</f>
        <v>2603.6149634867743</v>
      </c>
      <c r="E8" s="31">
        <f>'Occ T2'!E8</f>
        <v>2446.5731602475962</v>
      </c>
      <c r="F8" s="31">
        <f>'Occ T2'!F8</f>
        <v>2681.2775346158387</v>
      </c>
      <c r="H8" s="30">
        <f t="shared" ref="H8:H9" si="0">C8-B8</f>
        <v>396.43593768325536</v>
      </c>
      <c r="I8" s="30">
        <f t="shared" ref="I8:I9" si="1">D8-C8</f>
        <v>59.207702060157317</v>
      </c>
      <c r="J8" s="30">
        <f t="shared" ref="J8:J9" si="2">E8-D8</f>
        <v>-157.04180323917808</v>
      </c>
      <c r="K8" s="30">
        <f t="shared" ref="K8:K9" si="3">F8-E8</f>
        <v>234.7043743682425</v>
      </c>
      <c r="L8" s="30">
        <f t="shared" ref="L8:L49" si="4">F8-D8</f>
        <v>77.662571129064418</v>
      </c>
    </row>
    <row r="9" spans="1:12" s="29" customFormat="1" ht="12.9" x14ac:dyDescent="0.35">
      <c r="A9" s="10" t="str">
        <f>'Occ T2'!A9</f>
        <v>12 Other managers and proprietors</v>
      </c>
      <c r="B9" s="31">
        <f>'Occ T2'!B9</f>
        <v>1057.4538145928157</v>
      </c>
      <c r="C9" s="31">
        <f>'Occ T2'!C9</f>
        <v>1133.3182745645383</v>
      </c>
      <c r="D9" s="31">
        <f>'Occ T2'!D9</f>
        <v>1142.9442385679565</v>
      </c>
      <c r="E9" s="31">
        <f>'Occ T2'!E9</f>
        <v>1416.071102295296</v>
      </c>
      <c r="F9" s="31">
        <f>'Occ T2'!F9</f>
        <v>1636.9713357379442</v>
      </c>
      <c r="H9" s="30">
        <f t="shared" si="0"/>
        <v>75.864459971722681</v>
      </c>
      <c r="I9" s="30">
        <f t="shared" si="1"/>
        <v>9.6259640034181757</v>
      </c>
      <c r="J9" s="30">
        <f t="shared" si="2"/>
        <v>273.12686372733947</v>
      </c>
      <c r="K9" s="30">
        <f t="shared" si="3"/>
        <v>220.90023344264819</v>
      </c>
      <c r="L9" s="30">
        <f t="shared" si="4"/>
        <v>494.02709716998766</v>
      </c>
    </row>
    <row r="10" spans="1:12" ht="12.9" x14ac:dyDescent="0.35">
      <c r="B10" s="31"/>
      <c r="C10" s="31"/>
      <c r="D10" s="31"/>
      <c r="E10" s="31"/>
      <c r="F10" s="31"/>
      <c r="H10" s="11"/>
      <c r="I10" s="30"/>
      <c r="J10" s="11"/>
      <c r="K10" s="11"/>
      <c r="L10" s="30"/>
    </row>
    <row r="11" spans="1:12" s="29" customFormat="1" ht="12.9" x14ac:dyDescent="0.35">
      <c r="A11" s="29" t="str">
        <f>'Occ T1'!A9</f>
        <v>Professional occupations</v>
      </c>
      <c r="B11" s="30">
        <f>'Occ T1'!B9</f>
        <v>6885.4818455337045</v>
      </c>
      <c r="C11" s="30">
        <f>'Occ T1'!C9</f>
        <v>7836.4339984828966</v>
      </c>
      <c r="D11" s="30">
        <f>'Occ T1'!D9</f>
        <v>8199.5797102003853</v>
      </c>
      <c r="E11" s="30">
        <f>'Occ T1'!E9</f>
        <v>8888.4946767141701</v>
      </c>
      <c r="F11" s="30">
        <f>'Occ T1'!F9</f>
        <v>9841.8170804538022</v>
      </c>
      <c r="H11" s="30">
        <f>C11-B11</f>
        <v>950.95215294919217</v>
      </c>
      <c r="I11" s="30">
        <f t="shared" ref="I11:I49" si="5">D11-C11</f>
        <v>363.14571171748867</v>
      </c>
      <c r="J11" s="30">
        <f>E11-D11</f>
        <v>688.91496651378475</v>
      </c>
      <c r="K11" s="30">
        <f>F11-E11</f>
        <v>953.32240373963214</v>
      </c>
      <c r="L11" s="30">
        <f t="shared" si="4"/>
        <v>1642.2373702534169</v>
      </c>
    </row>
    <row r="12" spans="1:12" ht="12.9" x14ac:dyDescent="0.35">
      <c r="A12" s="10" t="str">
        <f>'Occ T2'!A10</f>
        <v>21 Science, research, engineering and technology professionals</v>
      </c>
      <c r="B12" s="10">
        <f>'Occ T2'!B10</f>
        <v>1804.4444333480956</v>
      </c>
      <c r="C12" s="10">
        <f>'Occ T2'!C10</f>
        <v>2078.6035464296092</v>
      </c>
      <c r="D12" s="10">
        <f>'Occ T2'!D10</f>
        <v>2168.4893984676792</v>
      </c>
      <c r="E12" s="10">
        <f>'Occ T2'!E10</f>
        <v>2306.7300778658928</v>
      </c>
      <c r="F12" s="10">
        <f>'Occ T2'!F10</f>
        <v>2562.9828232040827</v>
      </c>
      <c r="H12" s="11">
        <f t="shared" ref="H12:K14" si="6">C12-B12</f>
        <v>274.15911308151362</v>
      </c>
      <c r="I12" s="30">
        <f t="shared" si="5"/>
        <v>89.88585203806997</v>
      </c>
      <c r="J12" s="11">
        <f t="shared" si="6"/>
        <v>138.24067939821362</v>
      </c>
      <c r="K12" s="11">
        <f t="shared" si="6"/>
        <v>256.25274533818992</v>
      </c>
      <c r="L12" s="30">
        <f t="shared" si="4"/>
        <v>394.49342473640354</v>
      </c>
    </row>
    <row r="13" spans="1:12" ht="12.9" x14ac:dyDescent="0.35">
      <c r="A13" s="10" t="str">
        <f>'Occ T2'!A11</f>
        <v>22 Health professionals</v>
      </c>
      <c r="B13" s="10">
        <f>'Occ T2'!B11</f>
        <v>1431.704750253356</v>
      </c>
      <c r="C13" s="10">
        <f>'Occ T2'!C11</f>
        <v>1645.5227101580754</v>
      </c>
      <c r="D13" s="10">
        <f>'Occ T2'!D11</f>
        <v>1652.6894842034105</v>
      </c>
      <c r="E13" s="10">
        <f>'Occ T2'!E11</f>
        <v>1790.2133863705644</v>
      </c>
      <c r="F13" s="10">
        <f>'Occ T2'!F11</f>
        <v>1962.7779742263765</v>
      </c>
      <c r="H13" s="11">
        <f t="shared" si="6"/>
        <v>213.81795990471937</v>
      </c>
      <c r="I13" s="30">
        <f t="shared" si="5"/>
        <v>7.1667740453351598</v>
      </c>
      <c r="J13" s="11">
        <f t="shared" si="6"/>
        <v>137.52390216715389</v>
      </c>
      <c r="K13" s="11">
        <f t="shared" si="6"/>
        <v>172.56458785581208</v>
      </c>
      <c r="L13" s="30">
        <f t="shared" si="4"/>
        <v>310.08849002296597</v>
      </c>
    </row>
    <row r="14" spans="1:12" ht="12.9" x14ac:dyDescent="0.35">
      <c r="A14" s="10" t="str">
        <f>'Occ T2'!A12</f>
        <v>23 Teaching and other educational professionals</v>
      </c>
      <c r="B14" s="10">
        <f>'Occ T2'!B12</f>
        <v>1646.9786897581305</v>
      </c>
      <c r="C14" s="10">
        <f>'Occ T2'!C12</f>
        <v>1740.7273501948343</v>
      </c>
      <c r="D14" s="10">
        <f>'Occ T2'!D12</f>
        <v>1814.3949916428305</v>
      </c>
      <c r="E14" s="10">
        <f>'Occ T2'!E12</f>
        <v>1909.7720176323999</v>
      </c>
      <c r="F14" s="10">
        <f>'Occ T2'!F12</f>
        <v>2082.0254777556443</v>
      </c>
      <c r="H14" s="11">
        <f t="shared" si="6"/>
        <v>93.748660436703858</v>
      </c>
      <c r="I14" s="30">
        <f t="shared" si="5"/>
        <v>73.667641447996175</v>
      </c>
      <c r="J14" s="11">
        <f t="shared" si="6"/>
        <v>95.377025989569347</v>
      </c>
      <c r="K14" s="11">
        <f t="shared" si="6"/>
        <v>172.25346012324439</v>
      </c>
      <c r="L14" s="30">
        <f t="shared" si="4"/>
        <v>267.63048611281374</v>
      </c>
    </row>
    <row r="15" spans="1:12" ht="12.9" x14ac:dyDescent="0.35">
      <c r="A15" s="10" t="str">
        <f>'Occ T2'!A13</f>
        <v>24 Business, media and public service professionals</v>
      </c>
      <c r="B15" s="10">
        <f>'Occ T2'!B13</f>
        <v>2002.3539721741229</v>
      </c>
      <c r="C15" s="10">
        <f>'Occ T2'!C13</f>
        <v>2371.5803917003777</v>
      </c>
      <c r="D15" s="10">
        <f>'Occ T2'!D13</f>
        <v>2564.0058358864653</v>
      </c>
      <c r="E15" s="10">
        <f>'Occ T2'!E13</f>
        <v>2881.7791948453123</v>
      </c>
      <c r="F15" s="10">
        <f>'Occ T2'!F13</f>
        <v>3234.0308052677001</v>
      </c>
      <c r="H15" s="11">
        <f t="shared" ref="H15" si="7">C15-B15</f>
        <v>369.22641952625486</v>
      </c>
      <c r="I15" s="30">
        <f t="shared" si="5"/>
        <v>192.42544418608759</v>
      </c>
      <c r="J15" s="11">
        <f t="shared" ref="J15" si="8">E15-D15</f>
        <v>317.77335895884698</v>
      </c>
      <c r="K15" s="11">
        <f t="shared" ref="K15" si="9">F15-E15</f>
        <v>352.25161042238778</v>
      </c>
      <c r="L15" s="30">
        <f t="shared" si="4"/>
        <v>670.02496938123477</v>
      </c>
    </row>
    <row r="16" spans="1:12" ht="12.9" x14ac:dyDescent="0.35">
      <c r="A16" s="10"/>
      <c r="B16" s="31"/>
      <c r="C16" s="31"/>
      <c r="D16" s="31"/>
      <c r="E16" s="31"/>
      <c r="F16" s="31"/>
      <c r="H16" s="11"/>
      <c r="I16" s="30"/>
      <c r="J16" s="11"/>
      <c r="K16" s="11"/>
      <c r="L16" s="30"/>
    </row>
    <row r="17" spans="1:12" s="29" customFormat="1" ht="12.9" x14ac:dyDescent="0.35">
      <c r="A17" s="29" t="str">
        <f>'Occ T1'!A10</f>
        <v>Associate professional occupations</v>
      </c>
      <c r="B17" s="30">
        <f>'Occ T1'!B10</f>
        <v>4219.4704423124967</v>
      </c>
      <c r="C17" s="30">
        <f>'Occ T1'!C10</f>
        <v>4570.8250970036297</v>
      </c>
      <c r="D17" s="30">
        <f>'Occ T1'!D10</f>
        <v>4781.923896536362</v>
      </c>
      <c r="E17" s="30">
        <f>'Occ T1'!E10</f>
        <v>4710.4240048833362</v>
      </c>
      <c r="F17" s="30">
        <f>'Occ T1'!F10</f>
        <v>5078.3169459225455</v>
      </c>
      <c r="H17" s="30">
        <f t="shared" ref="H17:K21" si="10">C17-B17</f>
        <v>351.35465469113296</v>
      </c>
      <c r="I17" s="30">
        <f t="shared" si="5"/>
        <v>211.0987995327323</v>
      </c>
      <c r="J17" s="30">
        <f t="shared" si="10"/>
        <v>-71.49989165302577</v>
      </c>
      <c r="K17" s="30">
        <f t="shared" si="10"/>
        <v>367.89294103920929</v>
      </c>
      <c r="L17" s="30">
        <f t="shared" si="4"/>
        <v>296.39304938618352</v>
      </c>
    </row>
    <row r="18" spans="1:12" ht="12.9" x14ac:dyDescent="0.35">
      <c r="A18" s="10" t="str">
        <f>'Occ T2'!A14</f>
        <v>31 Science, engineering and technology associate professionals</v>
      </c>
      <c r="B18" s="10">
        <f>'Occ T2'!B14</f>
        <v>543.13411333119222</v>
      </c>
      <c r="C18" s="10">
        <f>'Occ T2'!C14</f>
        <v>639.96984679802495</v>
      </c>
      <c r="D18" s="10">
        <f>'Occ T2'!D14</f>
        <v>694.16022623804326</v>
      </c>
      <c r="E18" s="10">
        <f>'Occ T2'!E14</f>
        <v>615.4898763289159</v>
      </c>
      <c r="F18" s="10">
        <f>'Occ T2'!F14</f>
        <v>660.15471895472103</v>
      </c>
      <c r="H18" s="11">
        <f t="shared" si="10"/>
        <v>96.835733466832721</v>
      </c>
      <c r="I18" s="30">
        <f t="shared" si="5"/>
        <v>54.190379440018319</v>
      </c>
      <c r="J18" s="11">
        <f t="shared" si="10"/>
        <v>-78.670349909127367</v>
      </c>
      <c r="K18" s="11">
        <f t="shared" si="10"/>
        <v>44.664842625805136</v>
      </c>
      <c r="L18" s="30">
        <f t="shared" si="4"/>
        <v>-34.005507283322231</v>
      </c>
    </row>
    <row r="19" spans="1:12" ht="12.9" x14ac:dyDescent="0.35">
      <c r="A19" s="10" t="str">
        <f>'Occ T2'!A15</f>
        <v>32 Health and social care associate professionals</v>
      </c>
      <c r="B19" s="10">
        <f>'Occ T2'!B15</f>
        <v>594.94854959952465</v>
      </c>
      <c r="C19" s="10">
        <f>'Occ T2'!C15</f>
        <v>665.16059805117277</v>
      </c>
      <c r="D19" s="10">
        <f>'Occ T2'!D15</f>
        <v>684.34670849941995</v>
      </c>
      <c r="E19" s="10">
        <f>'Occ T2'!E15</f>
        <v>696.56541801708568</v>
      </c>
      <c r="F19" s="10">
        <f>'Occ T2'!F15</f>
        <v>766.0236239924069</v>
      </c>
      <c r="H19" s="11">
        <f t="shared" si="10"/>
        <v>70.212048451648116</v>
      </c>
      <c r="I19" s="30">
        <f t="shared" si="5"/>
        <v>19.186110448247177</v>
      </c>
      <c r="J19" s="11">
        <f t="shared" si="10"/>
        <v>12.218709517665729</v>
      </c>
      <c r="K19" s="11">
        <f t="shared" si="10"/>
        <v>69.458205975321221</v>
      </c>
      <c r="L19" s="30">
        <f t="shared" si="4"/>
        <v>81.67691549298695</v>
      </c>
    </row>
    <row r="20" spans="1:12" ht="12.9" x14ac:dyDescent="0.35">
      <c r="A20" s="10" t="str">
        <f>'Occ T2'!A16</f>
        <v>33 Protective service occupations</v>
      </c>
      <c r="B20" s="10">
        <f>'Occ T2'!B16</f>
        <v>363.34672944829595</v>
      </c>
      <c r="C20" s="10">
        <f>'Occ T2'!C16</f>
        <v>374.45016456591787</v>
      </c>
      <c r="D20" s="10">
        <f>'Occ T2'!D16</f>
        <v>396.95240357529076</v>
      </c>
      <c r="E20" s="10">
        <f>'Occ T2'!E16</f>
        <v>471.17241079229422</v>
      </c>
      <c r="F20" s="10">
        <f>'Occ T2'!F16</f>
        <v>540.74077072874798</v>
      </c>
      <c r="H20" s="11">
        <f t="shared" si="10"/>
        <v>11.103435117621927</v>
      </c>
      <c r="I20" s="30">
        <f t="shared" si="5"/>
        <v>22.502239009372886</v>
      </c>
      <c r="J20" s="11">
        <f t="shared" si="10"/>
        <v>74.220007217003456</v>
      </c>
      <c r="K20" s="11">
        <f t="shared" si="10"/>
        <v>69.56835993645376</v>
      </c>
      <c r="L20" s="30">
        <f t="shared" si="4"/>
        <v>143.78836715345722</v>
      </c>
    </row>
    <row r="21" spans="1:12" ht="12.9" x14ac:dyDescent="0.35">
      <c r="A21" s="10" t="str">
        <f>'Occ T2'!A17</f>
        <v>34 Culture, media and sports occupations</v>
      </c>
      <c r="B21" s="10">
        <f>'Occ T2'!B17</f>
        <v>690.99398123085246</v>
      </c>
      <c r="C21" s="10">
        <f>'Occ T2'!C17</f>
        <v>706.28772737996678</v>
      </c>
      <c r="D21" s="10">
        <f>'Occ T2'!D17</f>
        <v>752.69702031034967</v>
      </c>
      <c r="E21" s="10">
        <f>'Occ T2'!E17</f>
        <v>748.06174924159575</v>
      </c>
      <c r="F21" s="10">
        <f>'Occ T2'!F17</f>
        <v>831.23766135714891</v>
      </c>
      <c r="H21" s="11">
        <f t="shared" si="10"/>
        <v>15.293746149114327</v>
      </c>
      <c r="I21" s="30">
        <f t="shared" si="5"/>
        <v>46.40929293038289</v>
      </c>
      <c r="J21" s="11">
        <f t="shared" si="10"/>
        <v>-4.6352710687539229</v>
      </c>
      <c r="K21" s="11">
        <f t="shared" si="10"/>
        <v>83.17591211555316</v>
      </c>
      <c r="L21" s="30">
        <f t="shared" si="4"/>
        <v>78.540641046799237</v>
      </c>
    </row>
    <row r="22" spans="1:12" ht="12.9" x14ac:dyDescent="0.35">
      <c r="A22" s="10" t="str">
        <f>'Occ T2'!A18</f>
        <v>35 Business and public service associate professionals</v>
      </c>
      <c r="B22" s="10">
        <f>'Occ T2'!B18</f>
        <v>2027.0470687026313</v>
      </c>
      <c r="C22" s="10">
        <f>'Occ T2'!C18</f>
        <v>2184.9567602085476</v>
      </c>
      <c r="D22" s="10">
        <f>'Occ T2'!D18</f>
        <v>2253.7675379132588</v>
      </c>
      <c r="E22" s="10">
        <f>'Occ T2'!E18</f>
        <v>2179.1345505034442</v>
      </c>
      <c r="F22" s="10">
        <f>'Occ T2'!F18</f>
        <v>2280.1601708895205</v>
      </c>
      <c r="H22" s="11">
        <f t="shared" ref="H22" si="11">C22-B22</f>
        <v>157.90969150591627</v>
      </c>
      <c r="I22" s="30">
        <f t="shared" si="5"/>
        <v>68.810777704711199</v>
      </c>
      <c r="J22" s="11">
        <f t="shared" ref="J22" si="12">E22-D22</f>
        <v>-74.632987409814632</v>
      </c>
      <c r="K22" s="11">
        <f t="shared" ref="K22" si="13">F22-E22</f>
        <v>101.0256203860763</v>
      </c>
      <c r="L22" s="30">
        <f t="shared" si="4"/>
        <v>26.392632976261666</v>
      </c>
    </row>
    <row r="23" spans="1:12" ht="12.9" x14ac:dyDescent="0.35">
      <c r="A23" s="10"/>
      <c r="B23" s="31"/>
      <c r="C23" s="31"/>
      <c r="D23" s="31"/>
      <c r="E23" s="31"/>
      <c r="F23" s="31"/>
      <c r="H23" s="11"/>
      <c r="I23" s="30"/>
      <c r="J23" s="11"/>
      <c r="K23" s="11"/>
      <c r="L23" s="30"/>
    </row>
    <row r="24" spans="1:12" s="29" customFormat="1" ht="12.9" x14ac:dyDescent="0.35">
      <c r="A24" s="29" t="str">
        <f>'Occ T1'!A11</f>
        <v>Administrative and secretarial occupations</v>
      </c>
      <c r="B24" s="30">
        <f>'Occ T1'!B11</f>
        <v>3735.6125804733579</v>
      </c>
      <c r="C24" s="30">
        <f>'Occ T1'!C11</f>
        <v>3627.5245586753754</v>
      </c>
      <c r="D24" s="30">
        <f>'Occ T1'!D11</f>
        <v>3741.7432874574629</v>
      </c>
      <c r="E24" s="30">
        <f>'Occ T1'!E11</f>
        <v>3533.6821923072539</v>
      </c>
      <c r="F24" s="30">
        <f>'Occ T1'!F11</f>
        <v>3254.962815422205</v>
      </c>
      <c r="H24" s="30">
        <f t="shared" ref="H24:K26" si="14">C24-B24</f>
        <v>-108.08802179798249</v>
      </c>
      <c r="I24" s="30">
        <f t="shared" si="5"/>
        <v>114.21872878208751</v>
      </c>
      <c r="J24" s="30">
        <f t="shared" si="14"/>
        <v>-208.06109515020898</v>
      </c>
      <c r="K24" s="30">
        <f t="shared" si="14"/>
        <v>-278.71937688504886</v>
      </c>
      <c r="L24" s="30">
        <f t="shared" si="4"/>
        <v>-486.78047203525784</v>
      </c>
    </row>
    <row r="25" spans="1:12" ht="12.9" x14ac:dyDescent="0.35">
      <c r="A25" t="str">
        <f>'Occ T2'!A19</f>
        <v>41 Administrative occupations</v>
      </c>
      <c r="B25" s="31">
        <f>'Occ T2'!B19</f>
        <v>2983.2974966503325</v>
      </c>
      <c r="C25" s="31">
        <f>'Occ T2'!C19</f>
        <v>2936.1562259666393</v>
      </c>
      <c r="D25" s="31">
        <f>'Occ T2'!D19</f>
        <v>3065.8450120205653</v>
      </c>
      <c r="E25" s="31">
        <f>'Occ T2'!E19</f>
        <v>2826.2804049751931</v>
      </c>
      <c r="F25" s="31">
        <f>'Occ T2'!F19</f>
        <v>2684.5081609977879</v>
      </c>
      <c r="H25" s="11">
        <f t="shared" si="14"/>
        <v>-47.141270683693165</v>
      </c>
      <c r="I25" s="30">
        <f t="shared" si="5"/>
        <v>129.68878605392592</v>
      </c>
      <c r="J25" s="11">
        <f t="shared" si="14"/>
        <v>-239.56460704537221</v>
      </c>
      <c r="K25" s="11">
        <f t="shared" si="14"/>
        <v>-141.7722439774052</v>
      </c>
      <c r="L25" s="30">
        <f t="shared" si="4"/>
        <v>-381.33685102277741</v>
      </c>
    </row>
    <row r="26" spans="1:12" ht="12.9" x14ac:dyDescent="0.35">
      <c r="A26" t="str">
        <f>'Occ T2'!A20</f>
        <v>42 Secretarial and related occupations</v>
      </c>
      <c r="B26" s="31">
        <f>'Occ T2'!B20</f>
        <v>752.31508382302525</v>
      </c>
      <c r="C26" s="31">
        <f>'Occ T2'!C20</f>
        <v>691.36833270873626</v>
      </c>
      <c r="D26" s="31">
        <f>'Occ T2'!D20</f>
        <v>675.89827543689773</v>
      </c>
      <c r="E26" s="31">
        <f>'Occ T2'!E20</f>
        <v>707.40178733206074</v>
      </c>
      <c r="F26" s="31">
        <f>'Occ T2'!F20</f>
        <v>570.45465442441707</v>
      </c>
      <c r="H26" s="11">
        <f t="shared" si="14"/>
        <v>-60.946751114288986</v>
      </c>
      <c r="I26" s="30">
        <f t="shared" si="5"/>
        <v>-15.470057271838527</v>
      </c>
      <c r="J26" s="11">
        <f t="shared" si="14"/>
        <v>31.503511895163001</v>
      </c>
      <c r="K26" s="11">
        <f t="shared" si="14"/>
        <v>-136.94713290764366</v>
      </c>
      <c r="L26" s="30">
        <f t="shared" si="4"/>
        <v>-105.44362101248066</v>
      </c>
    </row>
    <row r="27" spans="1:12" ht="12.9" x14ac:dyDescent="0.35">
      <c r="B27" s="31"/>
      <c r="C27" s="31"/>
      <c r="D27" s="31"/>
      <c r="E27" s="31"/>
      <c r="F27" s="31"/>
      <c r="H27" s="11"/>
      <c r="I27" s="30"/>
      <c r="J27" s="11"/>
      <c r="K27" s="11"/>
      <c r="L27" s="30"/>
    </row>
    <row r="28" spans="1:12" s="29" customFormat="1" ht="12.9" x14ac:dyDescent="0.35">
      <c r="A28" s="29" t="str">
        <f>'Occ T1'!A12</f>
        <v>Skilled trades occupations</v>
      </c>
      <c r="B28" s="30">
        <f>'Occ T1'!B12</f>
        <v>3489.0889692270907</v>
      </c>
      <c r="C28" s="30">
        <f>'Occ T1'!C12</f>
        <v>3434.4565427301281</v>
      </c>
      <c r="D28" s="30">
        <f>'Occ T1'!D12</f>
        <v>3028.9282668384967</v>
      </c>
      <c r="E28" s="30">
        <f>'Occ T1'!E12</f>
        <v>3070.1795836971373</v>
      </c>
      <c r="F28" s="30">
        <f>'Occ T1'!F12</f>
        <v>2990.0528560786383</v>
      </c>
      <c r="H28" s="30">
        <f t="shared" ref="H28:K30" si="15">C28-B28</f>
        <v>-54.63242649696258</v>
      </c>
      <c r="I28" s="30">
        <f t="shared" si="5"/>
        <v>-405.52827589163144</v>
      </c>
      <c r="J28" s="30">
        <f t="shared" si="15"/>
        <v>41.251316858640621</v>
      </c>
      <c r="K28" s="30">
        <f t="shared" si="15"/>
        <v>-80.12672761849899</v>
      </c>
      <c r="L28" s="30">
        <f t="shared" si="4"/>
        <v>-38.875410759858369</v>
      </c>
    </row>
    <row r="29" spans="1:12" ht="12.9" x14ac:dyDescent="0.35">
      <c r="A29" s="10" t="str">
        <f>'Occ T2'!A21</f>
        <v>51 Skilled agricultural and related trades</v>
      </c>
      <c r="B29" s="10">
        <f>'Occ T2'!B21</f>
        <v>404.75546845929</v>
      </c>
      <c r="C29" s="10">
        <f>'Occ T2'!C21</f>
        <v>408.46552052824893</v>
      </c>
      <c r="D29" s="10">
        <f>'Occ T2'!D21</f>
        <v>376.47025514650636</v>
      </c>
      <c r="E29" s="10">
        <f>'Occ T2'!E21</f>
        <v>386.22303951218908</v>
      </c>
      <c r="F29" s="10">
        <f>'Occ T2'!F21</f>
        <v>423.49261595568004</v>
      </c>
      <c r="H29" s="11">
        <f t="shared" si="15"/>
        <v>3.7100520689589302</v>
      </c>
      <c r="I29" s="30">
        <f t="shared" si="5"/>
        <v>-31.99526538174257</v>
      </c>
      <c r="J29" s="11">
        <f t="shared" si="15"/>
        <v>9.7527843656827145</v>
      </c>
      <c r="K29" s="11">
        <f t="shared" si="15"/>
        <v>37.269576443490962</v>
      </c>
      <c r="L29" s="30">
        <f t="shared" si="4"/>
        <v>47.022360809173676</v>
      </c>
    </row>
    <row r="30" spans="1:12" ht="12.9" x14ac:dyDescent="0.35">
      <c r="A30" s="10" t="str">
        <f>'Occ T2'!A22</f>
        <v>52 Skilled metal, electrical and electronic trades</v>
      </c>
      <c r="B30" s="10">
        <f>'Occ T2'!B22</f>
        <v>1243.0037577536757</v>
      </c>
      <c r="C30" s="10">
        <f>'Occ T2'!C22</f>
        <v>1262.3427682116287</v>
      </c>
      <c r="D30" s="10">
        <f>'Occ T2'!D22</f>
        <v>1101.9773582511193</v>
      </c>
      <c r="E30" s="10">
        <f>'Occ T2'!E22</f>
        <v>1091.030578805357</v>
      </c>
      <c r="F30" s="10">
        <f>'Occ T2'!F22</f>
        <v>1030.1623941830187</v>
      </c>
      <c r="H30" s="11">
        <f t="shared" si="15"/>
        <v>19.339010457953009</v>
      </c>
      <c r="I30" s="30">
        <f t="shared" si="5"/>
        <v>-160.3654099605094</v>
      </c>
      <c r="J30" s="11">
        <f t="shared" si="15"/>
        <v>-10.946779445762331</v>
      </c>
      <c r="K30" s="11">
        <f t="shared" si="15"/>
        <v>-60.868184622338276</v>
      </c>
      <c r="L30" s="30">
        <f t="shared" si="4"/>
        <v>-71.814964068100608</v>
      </c>
    </row>
    <row r="31" spans="1:12" ht="12.9" x14ac:dyDescent="0.35">
      <c r="A31" s="10" t="str">
        <f>'Occ T2'!A23</f>
        <v>53 Skilled construction and building trades</v>
      </c>
      <c r="B31" s="10">
        <f>'Occ T2'!B23</f>
        <v>1085.8029793612313</v>
      </c>
      <c r="C31" s="10">
        <f>'Occ T2'!C23</f>
        <v>1074.3217952996649</v>
      </c>
      <c r="D31" s="10">
        <f>'Occ T2'!D23</f>
        <v>902.6086997361848</v>
      </c>
      <c r="E31" s="10">
        <f>'Occ T2'!E23</f>
        <v>946.65514273475333</v>
      </c>
      <c r="F31" s="10">
        <f>'Occ T2'!F23</f>
        <v>888.79123577476093</v>
      </c>
      <c r="H31" s="11">
        <f t="shared" ref="H31:H32" si="16">C31-B31</f>
        <v>-11.48118406156641</v>
      </c>
      <c r="I31" s="30">
        <f t="shared" si="5"/>
        <v>-171.71309556348012</v>
      </c>
      <c r="J31" s="11">
        <f t="shared" ref="J31:J32" si="17">E31-D31</f>
        <v>44.046442998568523</v>
      </c>
      <c r="K31" s="11">
        <f t="shared" ref="K31:K32" si="18">F31-E31</f>
        <v>-57.863906959992391</v>
      </c>
      <c r="L31" s="30">
        <f t="shared" si="4"/>
        <v>-13.817463961423869</v>
      </c>
    </row>
    <row r="32" spans="1:12" ht="12.9" x14ac:dyDescent="0.35">
      <c r="A32" s="10" t="str">
        <f>'Occ T2'!A24</f>
        <v>54 Textiles, printing and other skilled trades</v>
      </c>
      <c r="B32" s="10">
        <f>'Occ T2'!B24</f>
        <v>755.52676365289369</v>
      </c>
      <c r="C32" s="10">
        <f>'Occ T2'!C24</f>
        <v>689.32645869058581</v>
      </c>
      <c r="D32" s="10">
        <f>'Occ T2'!D24</f>
        <v>647.87195370468623</v>
      </c>
      <c r="E32" s="10">
        <f>'Occ T2'!E24</f>
        <v>646.27082264483795</v>
      </c>
      <c r="F32" s="10">
        <f>'Occ T2'!F24</f>
        <v>647.60661016517849</v>
      </c>
      <c r="H32" s="11">
        <f t="shared" si="16"/>
        <v>-66.200304962307882</v>
      </c>
      <c r="I32" s="30">
        <f t="shared" si="5"/>
        <v>-41.454504985899575</v>
      </c>
      <c r="J32" s="11">
        <f t="shared" si="17"/>
        <v>-1.6011310598482851</v>
      </c>
      <c r="K32" s="11">
        <f t="shared" si="18"/>
        <v>1.3357875203405456</v>
      </c>
      <c r="L32" s="30">
        <f t="shared" si="4"/>
        <v>-0.26534353950773948</v>
      </c>
    </row>
    <row r="33" spans="1:12" ht="12.9" x14ac:dyDescent="0.35">
      <c r="A33" s="10"/>
      <c r="B33" s="31"/>
      <c r="C33" s="31"/>
      <c r="D33" s="31"/>
      <c r="E33" s="31"/>
      <c r="F33" s="31"/>
      <c r="H33" s="11"/>
      <c r="I33" s="30"/>
      <c r="J33" s="11"/>
      <c r="K33" s="11"/>
      <c r="L33" s="30"/>
    </row>
    <row r="34" spans="1:12" s="29" customFormat="1" ht="12.9" x14ac:dyDescent="0.35">
      <c r="A34" s="29" t="str">
        <f>'Occ T1'!A13</f>
        <v>Caring, leisure and other service occupations</v>
      </c>
      <c r="B34" s="30">
        <f>'Occ T1'!B13</f>
        <v>3148.6020297528362</v>
      </c>
      <c r="C34" s="30">
        <f>'Occ T1'!C13</f>
        <v>3251.1744182255684</v>
      </c>
      <c r="D34" s="30">
        <f>'Occ T1'!D13</f>
        <v>3133.5407600361896</v>
      </c>
      <c r="E34" s="30">
        <f>'Occ T1'!E13</f>
        <v>3358.3390070352661</v>
      </c>
      <c r="F34" s="30">
        <f>'Occ T1'!F13</f>
        <v>3635.2994154397293</v>
      </c>
      <c r="H34" s="30">
        <f t="shared" ref="H34:K36" si="19">C34-B34</f>
        <v>102.5723884727322</v>
      </c>
      <c r="I34" s="30">
        <f t="shared" si="5"/>
        <v>-117.63365818937882</v>
      </c>
      <c r="J34" s="30">
        <f t="shared" si="19"/>
        <v>224.79824699907658</v>
      </c>
      <c r="K34" s="30">
        <f t="shared" si="19"/>
        <v>276.96040840446312</v>
      </c>
      <c r="L34" s="30">
        <f t="shared" si="4"/>
        <v>501.75865540353971</v>
      </c>
    </row>
    <row r="35" spans="1:12" ht="12.9" x14ac:dyDescent="0.35">
      <c r="A35" s="10" t="str">
        <f>'Occ T2'!A25</f>
        <v>61 Caring personal service occupations</v>
      </c>
      <c r="B35" s="10">
        <f>'Occ T2'!B25</f>
        <v>2378.4874023039993</v>
      </c>
      <c r="C35" s="10">
        <f>'Occ T2'!C25</f>
        <v>2425.9290474878148</v>
      </c>
      <c r="D35" s="10">
        <f>'Occ T2'!D25</f>
        <v>2366.0754145696519</v>
      </c>
      <c r="E35" s="10">
        <f>'Occ T2'!E25</f>
        <v>2583.6927520604086</v>
      </c>
      <c r="F35" s="10">
        <f>'Occ T2'!F25</f>
        <v>2831.8232058057956</v>
      </c>
      <c r="G35" s="10"/>
      <c r="H35" s="11">
        <f t="shared" si="19"/>
        <v>47.441645183815581</v>
      </c>
      <c r="I35" s="30">
        <f t="shared" si="5"/>
        <v>-59.85363291816293</v>
      </c>
      <c r="J35" s="11">
        <f t="shared" si="19"/>
        <v>217.61733749075665</v>
      </c>
      <c r="K35" s="11">
        <f t="shared" si="19"/>
        <v>248.13045374538706</v>
      </c>
      <c r="L35" s="30">
        <f t="shared" si="4"/>
        <v>465.74779123614371</v>
      </c>
    </row>
    <row r="36" spans="1:12" ht="12.9" x14ac:dyDescent="0.35">
      <c r="A36" s="10" t="str">
        <f>'Occ T2'!A26</f>
        <v>62 Leisure, travel and related personal service occupations</v>
      </c>
      <c r="B36" s="10">
        <f>'Occ T2'!B26</f>
        <v>734.9431095897952</v>
      </c>
      <c r="C36" s="10">
        <f>'Occ T2'!C26</f>
        <v>794.74477127636385</v>
      </c>
      <c r="D36" s="10">
        <f>'Occ T2'!D26</f>
        <v>729.01453888132892</v>
      </c>
      <c r="E36" s="10">
        <f>'Occ T2'!E26</f>
        <v>743.24387513858949</v>
      </c>
      <c r="F36" s="10">
        <f>'Occ T2'!F26</f>
        <v>769.83325122450708</v>
      </c>
      <c r="G36" s="10"/>
      <c r="H36" s="11">
        <f t="shared" si="19"/>
        <v>59.80166168656865</v>
      </c>
      <c r="I36" s="30">
        <f t="shared" si="5"/>
        <v>-65.730232395034932</v>
      </c>
      <c r="J36" s="11">
        <f t="shared" si="19"/>
        <v>14.22933625726057</v>
      </c>
      <c r="K36" s="11">
        <f t="shared" si="19"/>
        <v>26.589376085917593</v>
      </c>
      <c r="L36" s="30">
        <f t="shared" si="4"/>
        <v>40.818712343178163</v>
      </c>
    </row>
    <row r="37" spans="1:12" ht="12.9" x14ac:dyDescent="0.35">
      <c r="A37" s="10" t="str">
        <f>'Occ T2'!A27</f>
        <v>63 Community and civil enforcement occupations</v>
      </c>
      <c r="B37" s="10">
        <f>'Occ T2'!B27</f>
        <v>35.1715178590417</v>
      </c>
      <c r="C37" s="10">
        <f>'Occ T2'!C27</f>
        <v>30.500599461389967</v>
      </c>
      <c r="D37" s="10">
        <f>'Occ T2'!D27</f>
        <v>38.450806585208952</v>
      </c>
      <c r="E37" s="10">
        <f>'Occ T2'!E27</f>
        <v>31.402379836268015</v>
      </c>
      <c r="F37" s="10">
        <f>'Occ T2'!F27</f>
        <v>33.642958409426491</v>
      </c>
      <c r="G37" s="10"/>
      <c r="H37" s="11">
        <f t="shared" ref="H37" si="20">C37-B37</f>
        <v>-4.6709183976517323</v>
      </c>
      <c r="I37" s="30">
        <f t="shared" ref="I37" si="21">D37-C37</f>
        <v>7.9502071238189842</v>
      </c>
      <c r="J37" s="11">
        <f t="shared" ref="J37" si="22">E37-D37</f>
        <v>-7.0484267489409369</v>
      </c>
      <c r="K37" s="11">
        <f>F37-E37</f>
        <v>2.2405785731584764</v>
      </c>
      <c r="L37" s="30">
        <f t="shared" ref="L37" si="23">F37-D37</f>
        <v>-4.8078481757824605</v>
      </c>
    </row>
    <row r="38" spans="1:12" ht="12.9" x14ac:dyDescent="0.35">
      <c r="I38" s="30"/>
      <c r="L38" s="30"/>
    </row>
    <row r="39" spans="1:12" s="29" customFormat="1" ht="12.9" x14ac:dyDescent="0.35">
      <c r="A39" s="29" t="str">
        <f>'Occ T1'!A14</f>
        <v>Sales and customer service occupations</v>
      </c>
      <c r="B39" s="30">
        <f>'Occ T1'!B14</f>
        <v>2887.2607292090461</v>
      </c>
      <c r="C39" s="30">
        <f>'Occ T1'!C14</f>
        <v>2817.2683829511043</v>
      </c>
      <c r="D39" s="30">
        <f>'Occ T1'!D14</f>
        <v>2787.0869152161558</v>
      </c>
      <c r="E39" s="30">
        <f>'Occ T1'!E14</f>
        <v>2804.3168749890683</v>
      </c>
      <c r="F39" s="30">
        <f>'Occ T1'!F14</f>
        <v>2816.4265212171349</v>
      </c>
      <c r="H39" s="30">
        <f>C39-B39</f>
        <v>-69.99234625794179</v>
      </c>
      <c r="I39" s="30">
        <f t="shared" si="5"/>
        <v>-30.181467734948455</v>
      </c>
      <c r="J39" s="30">
        <f>E39-D39</f>
        <v>17.22995977291248</v>
      </c>
      <c r="K39" s="30">
        <f>F39-E39</f>
        <v>12.109646228066595</v>
      </c>
      <c r="L39" s="30">
        <f t="shared" si="4"/>
        <v>29.339606000979074</v>
      </c>
    </row>
    <row r="40" spans="1:12" s="29" customFormat="1" ht="12.9" x14ac:dyDescent="0.35">
      <c r="A40" s="125" t="str">
        <f>'Occ T2'!A28</f>
        <v>71 Sales occupations</v>
      </c>
      <c r="B40" s="125">
        <f>'Occ T2'!B28</f>
        <v>2342.1745624620294</v>
      </c>
      <c r="C40" s="125">
        <f>'Occ T2'!C28</f>
        <v>2227.4479501027699</v>
      </c>
      <c r="D40" s="125">
        <f>'Occ T2'!D28</f>
        <v>2182.3387584985444</v>
      </c>
      <c r="E40" s="125">
        <f>'Occ T2'!E28</f>
        <v>2026.1126707279607</v>
      </c>
      <c r="F40" s="125">
        <f>'Occ T2'!F28</f>
        <v>1927.0365395209469</v>
      </c>
      <c r="G40"/>
      <c r="H40" s="11">
        <f t="shared" ref="H40" si="24">C40-B40</f>
        <v>-114.72661235925943</v>
      </c>
      <c r="I40" s="30">
        <f t="shared" si="5"/>
        <v>-45.109191604225543</v>
      </c>
      <c r="J40" s="11">
        <f t="shared" ref="J40" si="25">E40-D40</f>
        <v>-156.22608777058372</v>
      </c>
      <c r="K40" s="11">
        <f t="shared" ref="K40" si="26">F40-E40</f>
        <v>-99.076131207013759</v>
      </c>
      <c r="L40" s="30">
        <f t="shared" si="4"/>
        <v>-255.30221897759748</v>
      </c>
    </row>
    <row r="41" spans="1:12" s="29" customFormat="1" ht="12.9" x14ac:dyDescent="0.35">
      <c r="A41" s="125" t="str">
        <f>'Occ T2'!A29</f>
        <v>72 Customer service occupations</v>
      </c>
      <c r="B41" s="125">
        <f>'Occ T2'!B29</f>
        <v>545.0861667470167</v>
      </c>
      <c r="C41" s="125">
        <f>'Occ T2'!C29</f>
        <v>589.82043284833424</v>
      </c>
      <c r="D41" s="125">
        <f>'Occ T2'!D29</f>
        <v>604.74815671761121</v>
      </c>
      <c r="E41" s="125">
        <f>'Occ T2'!E29</f>
        <v>778.20420426110786</v>
      </c>
      <c r="F41" s="125">
        <f>'Occ T2'!F29</f>
        <v>889.38998169618799</v>
      </c>
      <c r="G41"/>
      <c r="H41" s="11">
        <f t="shared" ref="H41" si="27">C41-B41</f>
        <v>44.73426610131753</v>
      </c>
      <c r="I41" s="30">
        <f t="shared" si="5"/>
        <v>14.927723869276974</v>
      </c>
      <c r="J41" s="11">
        <f t="shared" ref="J41" si="28">E41-D41</f>
        <v>173.45604754349665</v>
      </c>
      <c r="K41" s="11">
        <f t="shared" ref="K41" si="29">F41-E41</f>
        <v>111.18577743508013</v>
      </c>
      <c r="L41" s="30">
        <f t="shared" si="4"/>
        <v>284.64182497857678</v>
      </c>
    </row>
    <row r="42" spans="1:12" ht="12.9" x14ac:dyDescent="0.35">
      <c r="B42" s="31"/>
      <c r="C42" s="31"/>
      <c r="D42" s="31"/>
      <c r="E42" s="31"/>
      <c r="F42" s="31"/>
      <c r="H42" s="11"/>
      <c r="I42" s="30"/>
      <c r="J42" s="11"/>
      <c r="K42" s="11"/>
      <c r="L42" s="30"/>
    </row>
    <row r="43" spans="1:12" s="29" customFormat="1" ht="12.9" x14ac:dyDescent="0.35">
      <c r="A43" s="29" t="str">
        <f>'Occ T1'!A15</f>
        <v>Process, plant and machine operatives</v>
      </c>
      <c r="B43" s="30">
        <f>'Occ T1'!B15</f>
        <v>2113.0176188901855</v>
      </c>
      <c r="C43" s="30">
        <f>'Occ T1'!C15</f>
        <v>2208.8202039417993</v>
      </c>
      <c r="D43" s="30">
        <f>'Occ T1'!D15</f>
        <v>1957.2722281630472</v>
      </c>
      <c r="E43" s="30">
        <f>'Occ T1'!E15</f>
        <v>2200.4595251607248</v>
      </c>
      <c r="F43" s="30">
        <f>'Occ T1'!F15</f>
        <v>2178.9115502901782</v>
      </c>
      <c r="H43" s="30">
        <f t="shared" ref="H43:K45" si="30">C43-B43</f>
        <v>95.802585051613733</v>
      </c>
      <c r="I43" s="30">
        <f t="shared" si="5"/>
        <v>-251.54797577875206</v>
      </c>
      <c r="J43" s="30">
        <f t="shared" si="30"/>
        <v>243.18729699767755</v>
      </c>
      <c r="K43" s="30">
        <f t="shared" si="30"/>
        <v>-21.547974870546568</v>
      </c>
      <c r="L43" s="30">
        <f t="shared" si="4"/>
        <v>221.63932212713098</v>
      </c>
    </row>
    <row r="44" spans="1:12" ht="12.9" x14ac:dyDescent="0.35">
      <c r="A44" s="10" t="str">
        <f>'Occ T2'!A30</f>
        <v>81 Process, plant and machine operatives</v>
      </c>
      <c r="B44" s="10">
        <f>'Occ T2'!B30</f>
        <v>904.53857920670657</v>
      </c>
      <c r="C44" s="10">
        <f>'Occ T2'!C30</f>
        <v>870.99992587765519</v>
      </c>
      <c r="D44" s="10">
        <f>'Occ T2'!D30</f>
        <v>765.07385705408774</v>
      </c>
      <c r="E44" s="10">
        <f>'Occ T2'!E30</f>
        <v>921.25332068124919</v>
      </c>
      <c r="F44" s="10">
        <f>'Occ T2'!F30</f>
        <v>906.8322616503707</v>
      </c>
      <c r="H44" s="11">
        <f t="shared" si="30"/>
        <v>-33.538653329051385</v>
      </c>
      <c r="I44" s="30">
        <f t="shared" si="5"/>
        <v>-105.92606882356745</v>
      </c>
      <c r="J44" s="11">
        <f t="shared" si="30"/>
        <v>156.17946362716145</v>
      </c>
      <c r="K44" s="11">
        <f t="shared" si="30"/>
        <v>-14.421059030878496</v>
      </c>
      <c r="L44" s="30">
        <f t="shared" si="4"/>
        <v>141.75840459628296</v>
      </c>
    </row>
    <row r="45" spans="1:12" ht="12.9" x14ac:dyDescent="0.35">
      <c r="A45" s="10" t="str">
        <f>'Occ T2'!A31</f>
        <v>82 Transport and mobile machine drivers and operatives</v>
      </c>
      <c r="B45" s="10">
        <f>'Occ T2'!B31</f>
        <v>1208.479039683479</v>
      </c>
      <c r="C45" s="10">
        <f>'Occ T2'!C31</f>
        <v>1337.8202780641443</v>
      </c>
      <c r="D45" s="10">
        <f>'Occ T2'!D31</f>
        <v>1192.1983711089595</v>
      </c>
      <c r="E45" s="10">
        <f>'Occ T2'!E31</f>
        <v>1279.2062044794754</v>
      </c>
      <c r="F45" s="10">
        <f>'Occ T2'!F31</f>
        <v>1272.0792886398074</v>
      </c>
      <c r="H45" s="11">
        <f t="shared" si="30"/>
        <v>129.34123838066535</v>
      </c>
      <c r="I45" s="30">
        <f t="shared" si="5"/>
        <v>-145.62190695518484</v>
      </c>
      <c r="J45" s="11">
        <f t="shared" si="30"/>
        <v>87.007833370515982</v>
      </c>
      <c r="K45" s="11">
        <f t="shared" si="30"/>
        <v>-7.1269158396680723</v>
      </c>
      <c r="L45" s="30">
        <f t="shared" si="4"/>
        <v>79.88091753084791</v>
      </c>
    </row>
    <row r="46" spans="1:12" ht="12.9" x14ac:dyDescent="0.35">
      <c r="B46" s="31"/>
      <c r="C46" s="31"/>
      <c r="D46" s="31"/>
      <c r="E46" s="31"/>
      <c r="F46" s="31"/>
      <c r="H46" s="11"/>
      <c r="I46" s="30"/>
      <c r="J46" s="11"/>
      <c r="K46" s="11"/>
      <c r="L46" s="30"/>
    </row>
    <row r="47" spans="1:12" s="29" customFormat="1" ht="12.9" x14ac:dyDescent="0.35">
      <c r="A47" s="29" t="str">
        <f>'Occ T1'!A16</f>
        <v>Elementary occupations</v>
      </c>
      <c r="B47" s="30">
        <f>'Occ T1'!B16</f>
        <v>3972.0256462651741</v>
      </c>
      <c r="C47" s="30">
        <f>'Occ T1'!C16</f>
        <v>3940.7752619985308</v>
      </c>
      <c r="D47" s="30">
        <f>'Occ T1'!D16</f>
        <v>3598.3337334970051</v>
      </c>
      <c r="E47" s="30">
        <f>'Occ T1'!E16</f>
        <v>3593.7838726699715</v>
      </c>
      <c r="F47" s="30">
        <f>'Occ T1'!F16</f>
        <v>3453.8359448220758</v>
      </c>
      <c r="H47" s="30">
        <f t="shared" ref="H47:K49" si="31">C47-B47</f>
        <v>-31.250384266643323</v>
      </c>
      <c r="I47" s="30">
        <f t="shared" si="5"/>
        <v>-342.44152850152568</v>
      </c>
      <c r="J47" s="30">
        <f t="shared" si="31"/>
        <v>-4.5498608270336263</v>
      </c>
      <c r="K47" s="30">
        <f t="shared" si="31"/>
        <v>-139.9479278478957</v>
      </c>
      <c r="L47" s="30">
        <f t="shared" si="4"/>
        <v>-144.49778867492932</v>
      </c>
    </row>
    <row r="48" spans="1:12" ht="12.9" x14ac:dyDescent="0.35">
      <c r="A48" s="10" t="str">
        <f>'Occ T2'!A32</f>
        <v>91 Elementary trades and related occupations</v>
      </c>
      <c r="B48" s="10">
        <f>'Occ T2'!B32</f>
        <v>586.32680498173522</v>
      </c>
      <c r="C48" s="10">
        <f>'Occ T2'!C32</f>
        <v>523.17721969052866</v>
      </c>
      <c r="D48" s="10">
        <f>'Occ T2'!D32</f>
        <v>464.80863120633876</v>
      </c>
      <c r="E48" s="10">
        <f>'Occ T2'!E32</f>
        <v>389.87330472296622</v>
      </c>
      <c r="F48" s="10">
        <f>'Occ T2'!F32</f>
        <v>368.2541352592807</v>
      </c>
      <c r="H48" s="11">
        <f>C48-B48</f>
        <v>-63.149585291206563</v>
      </c>
      <c r="I48" s="30">
        <f t="shared" si="5"/>
        <v>-58.3685884841899</v>
      </c>
      <c r="J48" s="11">
        <f t="shared" si="31"/>
        <v>-74.935326483372535</v>
      </c>
      <c r="K48" s="11">
        <f t="shared" si="31"/>
        <v>-21.619169463685523</v>
      </c>
      <c r="L48" s="30">
        <f t="shared" si="4"/>
        <v>-96.554495947058058</v>
      </c>
    </row>
    <row r="49" spans="1:12" ht="12.9" x14ac:dyDescent="0.35">
      <c r="A49" s="10" t="str">
        <f>'Occ T2'!A33</f>
        <v>92 Elementary administration and service occupations</v>
      </c>
      <c r="B49" s="10">
        <f>'Occ T2'!B33</f>
        <v>3385.6988412834389</v>
      </c>
      <c r="C49" s="10">
        <f>'Occ T2'!C33</f>
        <v>3417.5980423080023</v>
      </c>
      <c r="D49" s="10">
        <f>'Occ T2'!D33</f>
        <v>3133.5251022906664</v>
      </c>
      <c r="E49" s="10">
        <f>'Occ T2'!E33</f>
        <v>3203.9105679470053</v>
      </c>
      <c r="F49" s="10">
        <f>'Occ T2'!F33</f>
        <v>3085.5818095627951</v>
      </c>
      <c r="H49" s="11">
        <f t="shared" si="31"/>
        <v>31.899201024563354</v>
      </c>
      <c r="I49" s="30">
        <f t="shared" si="5"/>
        <v>-284.0729400173359</v>
      </c>
      <c r="J49" s="11">
        <f t="shared" si="31"/>
        <v>70.385465656338965</v>
      </c>
      <c r="K49" s="11">
        <f t="shared" si="31"/>
        <v>-118.32875838421023</v>
      </c>
      <c r="L49" s="30">
        <f t="shared" si="4"/>
        <v>-47.943292727871267</v>
      </c>
    </row>
    <row r="50" spans="1:12" ht="12.9" x14ac:dyDescent="0.35">
      <c r="B50" s="31"/>
      <c r="C50" s="31"/>
      <c r="D50" s="31"/>
      <c r="E50" s="31"/>
      <c r="F50" s="31"/>
      <c r="H50" s="11"/>
      <c r="I50" s="30"/>
      <c r="J50" s="11"/>
      <c r="K50" s="11"/>
      <c r="L50" s="30"/>
    </row>
    <row r="51" spans="1:12" ht="12.9" x14ac:dyDescent="0.35">
      <c r="A51" s="38" t="str">
        <f>'Occ T1'!A18</f>
        <v>All occupations</v>
      </c>
      <c r="B51" s="33">
        <f>'Occ T1'!B18</f>
        <v>33655.985000000073</v>
      </c>
      <c r="C51" s="33">
        <f>'Occ T1'!C18</f>
        <v>35365.00400000019</v>
      </c>
      <c r="D51" s="33">
        <f>'Occ T1'!D18</f>
        <v>34974.967999999841</v>
      </c>
      <c r="E51" s="33">
        <f>'Occ T1'!E18</f>
        <v>36022.323999999819</v>
      </c>
      <c r="F51" s="33">
        <f>'Occ T1'!F18</f>
        <v>37567.87200000009</v>
      </c>
      <c r="G51" s="23"/>
      <c r="H51" s="33">
        <f>C51-B51</f>
        <v>1709.0190000001166</v>
      </c>
      <c r="I51" s="205">
        <f>D51-C51</f>
        <v>-390.0360000003493</v>
      </c>
      <c r="J51" s="33">
        <f>E51-D51</f>
        <v>1047.3559999999779</v>
      </c>
      <c r="K51" s="33">
        <f>F51-E51</f>
        <v>1545.5480000002717</v>
      </c>
      <c r="L51" s="205">
        <f>F51-D51</f>
        <v>2592.9040000002497</v>
      </c>
    </row>
    <row r="53" spans="1:12" ht="15.45" x14ac:dyDescent="0.4">
      <c r="A53" s="18" t="str">
        <f>CONCATENATE(A1," (Continued)")</f>
        <v>Occupation Table 3  Employment Change by Occupation in Occupation Group (SOC 2020), 2015-2035, United Kingdom (Continued)</v>
      </c>
    </row>
    <row r="55" spans="1:12" x14ac:dyDescent="0.3">
      <c r="L55" s="15" t="s">
        <v>21</v>
      </c>
    </row>
    <row r="56" spans="1:12" x14ac:dyDescent="0.3">
      <c r="A56" s="35"/>
      <c r="B56" s="27" t="s">
        <v>14</v>
      </c>
      <c r="C56" s="27"/>
      <c r="D56" s="27"/>
      <c r="E56" s="27"/>
      <c r="F56" s="27"/>
      <c r="G56" s="27"/>
      <c r="H56" s="27" t="s">
        <v>463</v>
      </c>
      <c r="I56" s="27"/>
      <c r="J56" s="27"/>
      <c r="K56" s="27"/>
      <c r="L56" s="27"/>
    </row>
    <row r="57" spans="1:12" x14ac:dyDescent="0.3">
      <c r="A57" s="23"/>
      <c r="B57" s="36" t="str">
        <f>H5</f>
        <v>2015-2019</v>
      </c>
      <c r="C57" s="36" t="str">
        <f>I5</f>
        <v>2019-2020</v>
      </c>
      <c r="D57" s="36" t="str">
        <f>J5</f>
        <v>2020-2025</v>
      </c>
      <c r="E57" s="36" t="str">
        <f>K5</f>
        <v>2025-2035</v>
      </c>
      <c r="F57" s="36" t="str">
        <f>L5</f>
        <v>2020-2035</v>
      </c>
      <c r="G57" s="1"/>
      <c r="H57" s="41">
        <f>B5</f>
        <v>2015</v>
      </c>
      <c r="I57" s="41">
        <f>C5</f>
        <v>2019</v>
      </c>
      <c r="J57" s="41">
        <f>D5</f>
        <v>2020</v>
      </c>
      <c r="K57" s="41">
        <f>E5</f>
        <v>2025</v>
      </c>
      <c r="L57" s="41">
        <f>F5</f>
        <v>2035</v>
      </c>
    </row>
    <row r="59" spans="1:12" s="29" customFormat="1" ht="12.9" x14ac:dyDescent="0.35">
      <c r="A59" s="29" t="str">
        <f>A7</f>
        <v>Managers, directors and senior officials</v>
      </c>
      <c r="B59" s="43">
        <f>IF(AND(C$5-B$5 &lt;&gt; 0,C7 &lt;&gt; 0,B7 &lt;&gt; 0),(EXP(LN(C7/B7)/(C$5-B$5))-1)*100,0)</f>
        <v>3.4959652170196254</v>
      </c>
      <c r="C59" s="43">
        <f>IF(AND(D$5-C$5 &lt;&gt; 0,D7 &lt;&gt; 0,C7 &lt;&gt; 0),(EXP(LN(D7/C7)/(D$5-C$5))-1)*100,0)</f>
        <v>1.8716368415737428</v>
      </c>
      <c r="D59" s="43">
        <f>IF(AND(E$5-D$5 &lt;&gt; 0,E7 &lt;&gt; 0,D7 &lt;&gt; 0),(EXP(LN(E7/D7)/(E$5-D$5))-1)*100,0)</f>
        <v>0.61214838473349076</v>
      </c>
      <c r="E59" s="43">
        <f>IF(AND(F$5-E$5 &lt;&gt; 0,F7 &lt;&gt; 0,E7 &lt;&gt; 0),(EXP(LN(F7/E7)/(F$5-E$5))-1)*100,0)</f>
        <v>1.1212188151634717</v>
      </c>
      <c r="F59" s="43">
        <f>IF(AND(F$5-D$5 &lt;&gt; 0,F7 &lt;&gt; 0,D7 &lt;&gt; 0),(EXP(LN(F7/D7)/(F$5-D$5))-1)*100,0)</f>
        <v>0.95124311787460059</v>
      </c>
      <c r="H59" s="43">
        <f>(B7/B$51)*100</f>
        <v>9.5240865431101476</v>
      </c>
      <c r="I59" s="43">
        <f>(C7/C$51)*100</f>
        <v>10.399335840570343</v>
      </c>
      <c r="J59" s="43">
        <f>(D7/D$51)*100</f>
        <v>10.712116168497275</v>
      </c>
      <c r="K59" s="43">
        <f>(E7/E$51)*100</f>
        <v>10.722917995360076</v>
      </c>
      <c r="L59" s="43">
        <f>(F7/F$51)*100</f>
        <v>11.494526148177284</v>
      </c>
    </row>
    <row r="60" spans="1:12" s="29" customFormat="1" ht="12.9" x14ac:dyDescent="0.35">
      <c r="A60" s="29" t="str">
        <f>A8</f>
        <v>11 Corporate managers and directors</v>
      </c>
      <c r="B60" s="43">
        <f t="shared" ref="B60:E60" si="32">IF(AND(C$5-B$5 &lt;&gt; 0,C8 &lt;&gt; 0,B8 &lt;&gt; 0),(EXP(LN(C8/B8)/(C$5-B$5))-1)*100,0)</f>
        <v>4.3252746724655511</v>
      </c>
      <c r="C60" s="43">
        <f t="shared" si="32"/>
        <v>2.3269742606755628</v>
      </c>
      <c r="D60" s="43">
        <f t="shared" si="32"/>
        <v>-1.2365415030614946</v>
      </c>
      <c r="E60" s="43">
        <f t="shared" si="32"/>
        <v>0.92025895871956642</v>
      </c>
      <c r="F60" s="43">
        <f>IF(AND(F$5-D$5 &lt;&gt; 0,F8 &lt;&gt; 0,D8 &lt;&gt; 0),(EXP(LN(F8/D8)/(F$5-D$5))-1)*100,0)</f>
        <v>0.19614226132442791</v>
      </c>
      <c r="H60" s="43">
        <f t="shared" ref="H60:L60" si="33">(B8/B$51)*100</f>
        <v>6.3821377497742429</v>
      </c>
      <c r="I60" s="43">
        <f t="shared" si="33"/>
        <v>7.1947037286539057</v>
      </c>
      <c r="J60" s="43">
        <f t="shared" si="33"/>
        <v>7.4442240046846821</v>
      </c>
      <c r="K60" s="43">
        <f t="shared" si="33"/>
        <v>6.7918248701766393</v>
      </c>
      <c r="L60" s="43">
        <f t="shared" si="33"/>
        <v>7.1371557447167415</v>
      </c>
    </row>
    <row r="61" spans="1:12" s="29" customFormat="1" ht="12.9" x14ac:dyDescent="0.35">
      <c r="A61" s="29" t="str">
        <f>A9</f>
        <v>12 Other managers and proprietors</v>
      </c>
      <c r="B61" s="43">
        <f t="shared" ref="B61:E61" si="34">IF(AND(C$5-B$5 &lt;&gt; 0,C9 &lt;&gt; 0,B9 &lt;&gt; 0),(EXP(LN(C9/B9)/(C$5-B$5))-1)*100,0)</f>
        <v>1.7472361396536185</v>
      </c>
      <c r="C61" s="43">
        <f>IF(AND(D$5-C$5 &lt;&gt; 0,D9 &lt;&gt; 0,C9 &lt;&gt; 0),(EXP(LN(D9/C9)/(D$5-C$5))-1)*100,0)</f>
        <v>0.84936105059427724</v>
      </c>
      <c r="D61" s="43">
        <f t="shared" si="34"/>
        <v>4.3787288241069477</v>
      </c>
      <c r="E61" s="43">
        <f t="shared" si="34"/>
        <v>1.4601736894761741</v>
      </c>
      <c r="F61" s="43">
        <f>IF(AND(F$5-D$5 &lt;&gt; 0,F9 &lt;&gt; 0,D9 &lt;&gt; 0),(EXP(LN(F9/D9)/(F$5-D$5))-1)*100,0)</f>
        <v>2.4238434770714523</v>
      </c>
      <c r="H61" s="43">
        <f t="shared" ref="H61:L61" si="35">(B9/B$51)*100</f>
        <v>3.1419487933359052</v>
      </c>
      <c r="I61" s="43">
        <f t="shared" si="35"/>
        <v>3.2046321119164367</v>
      </c>
      <c r="J61" s="43">
        <f t="shared" si="35"/>
        <v>3.2678921638125922</v>
      </c>
      <c r="K61" s="43">
        <f t="shared" si="35"/>
        <v>3.9310931251834367</v>
      </c>
      <c r="L61" s="43">
        <f t="shared" si="35"/>
        <v>4.3573704034605427</v>
      </c>
    </row>
    <row r="62" spans="1:12" ht="12.9" x14ac:dyDescent="0.35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ht="12.9" x14ac:dyDescent="0.35">
      <c r="A63" s="29" t="str">
        <f>A11</f>
        <v>Professional occupations</v>
      </c>
      <c r="B63" s="43">
        <f t="shared" ref="B63:E67" si="36">IF(AND(C$5-B$5 &lt;&gt; 0,C11 &lt;&gt; 0,B11 &lt;&gt; 0),(EXP(LN(C11/B11)/(C$5-B$5))-1)*100,0)</f>
        <v>3.2870885302765718</v>
      </c>
      <c r="C63" s="43">
        <f t="shared" si="36"/>
        <v>4.6340684013645994</v>
      </c>
      <c r="D63" s="43">
        <f t="shared" si="36"/>
        <v>1.6265833294708765</v>
      </c>
      <c r="E63" s="43">
        <f t="shared" si="36"/>
        <v>1.024034199704893</v>
      </c>
      <c r="F63" s="43">
        <f>IF(AND(F$5-D$5 &lt;&gt; 0,F11 &lt;&gt; 0,D11 &lt;&gt; 0),(EXP(LN(F11/D11)/(F$5-D$5))-1)*100,0)</f>
        <v>1.2244859106324002</v>
      </c>
      <c r="H63" s="43">
        <f>(B11/B$51)*100</f>
        <v>20.458417263775491</v>
      </c>
      <c r="I63" s="43">
        <f>(C11/C$51)*100</f>
        <v>22.158725044914046</v>
      </c>
      <c r="J63" s="43">
        <f>(D11/D$51)*100</f>
        <v>23.4441378479615</v>
      </c>
      <c r="K63" s="43">
        <f>(E11/E$51)*100</f>
        <v>24.674961772911193</v>
      </c>
      <c r="L63" s="43">
        <f>(F11/F$51)*100</f>
        <v>26.19743029483751</v>
      </c>
    </row>
    <row r="64" spans="1:12" ht="12.9" x14ac:dyDescent="0.35">
      <c r="A64" t="str">
        <f>A12</f>
        <v>21 Science, research, engineering and technology professionals</v>
      </c>
      <c r="B64" s="48">
        <f t="shared" si="36"/>
        <v>3.5993517181990065</v>
      </c>
      <c r="C64" s="43">
        <f t="shared" si="36"/>
        <v>4.3243384334865409</v>
      </c>
      <c r="D64" s="48">
        <f t="shared" si="36"/>
        <v>1.2436736033912821</v>
      </c>
      <c r="E64" s="48">
        <f t="shared" si="36"/>
        <v>1.0589756184114174</v>
      </c>
      <c r="F64" s="43">
        <f>IF(AND(F$5-D$5 &lt;&gt; 0,F12 &lt;&gt; 0,D12 &lt;&gt; 0),(EXP(LN(F12/D12)/(F$5-D$5))-1)*100,0)</f>
        <v>1.1205041449081854</v>
      </c>
      <c r="H64" s="39">
        <f t="shared" ref="H64:L67" si="37">(B12/B$11)*100</f>
        <v>26.206509200493439</v>
      </c>
      <c r="I64" s="39">
        <f t="shared" si="37"/>
        <v>26.524865095935457</v>
      </c>
      <c r="J64" s="39">
        <f t="shared" si="37"/>
        <v>26.446348167943899</v>
      </c>
      <c r="K64" s="39">
        <f t="shared" si="37"/>
        <v>25.951864311838985</v>
      </c>
      <c r="L64" s="39">
        <f t="shared" si="37"/>
        <v>26.04176446536745</v>
      </c>
    </row>
    <row r="65" spans="1:12" ht="12.9" x14ac:dyDescent="0.35">
      <c r="A65" t="str">
        <f>A13</f>
        <v>22 Health professionals</v>
      </c>
      <c r="B65" s="48">
        <f t="shared" si="36"/>
        <v>3.5410592570446875</v>
      </c>
      <c r="C65" s="43">
        <f t="shared" si="36"/>
        <v>0.4355317614940013</v>
      </c>
      <c r="D65" s="48">
        <f t="shared" si="36"/>
        <v>1.6114636846249253</v>
      </c>
      <c r="E65" s="48">
        <f t="shared" si="36"/>
        <v>0.92450721513159806</v>
      </c>
      <c r="F65" s="43">
        <f>IF(AND(F$5-D$5 &lt;&gt; 0,F13 &lt;&gt; 0,D13 &lt;&gt; 0),(EXP(LN(F13/D13)/(F$5-D$5))-1)*100,0)</f>
        <v>1.1529751203581684</v>
      </c>
      <c r="H65" s="39">
        <f t="shared" si="37"/>
        <v>20.793094548379891</v>
      </c>
      <c r="I65" s="39">
        <f t="shared" si="37"/>
        <v>20.99836112288628</v>
      </c>
      <c r="J65" s="39">
        <f t="shared" si="37"/>
        <v>20.15578288906007</v>
      </c>
      <c r="K65" s="39">
        <f t="shared" si="37"/>
        <v>20.140793818108655</v>
      </c>
      <c r="L65" s="39">
        <f t="shared" si="37"/>
        <v>19.943247859427533</v>
      </c>
    </row>
    <row r="66" spans="1:12" ht="12.9" x14ac:dyDescent="0.35">
      <c r="A66" t="str">
        <f>A14</f>
        <v>23 Teaching and other educational professionals</v>
      </c>
      <c r="B66" s="48">
        <f t="shared" si="36"/>
        <v>1.3936350751263982</v>
      </c>
      <c r="C66" s="43">
        <f t="shared" si="36"/>
        <v>4.2320034461313494</v>
      </c>
      <c r="D66" s="48">
        <f t="shared" si="36"/>
        <v>1.0299033339533414</v>
      </c>
      <c r="E66" s="48">
        <f t="shared" si="36"/>
        <v>0.86731289982115989</v>
      </c>
      <c r="F66" s="43">
        <f>IF(AND(F$5-D$5 &lt;&gt; 0,F14 &lt;&gt; 0,D14 &lt;&gt; 0),(EXP(LN(F14/D14)/(F$5-D$5))-1)*100,0)</f>
        <v>0.92148061686943006</v>
      </c>
      <c r="H66" s="39">
        <f t="shared" si="37"/>
        <v>23.91958510247834</v>
      </c>
      <c r="I66" s="39">
        <f t="shared" si="37"/>
        <v>22.21325861395416</v>
      </c>
      <c r="J66" s="39">
        <f t="shared" si="37"/>
        <v>22.127902353162067</v>
      </c>
      <c r="K66" s="39">
        <f t="shared" si="37"/>
        <v>21.485888073214099</v>
      </c>
      <c r="L66" s="39">
        <f t="shared" si="37"/>
        <v>21.154888987833566</v>
      </c>
    </row>
    <row r="67" spans="1:12" ht="12.9" x14ac:dyDescent="0.35">
      <c r="A67" t="str">
        <f>A15</f>
        <v>24 Business, media and public service professionals</v>
      </c>
      <c r="B67" s="48">
        <f t="shared" si="36"/>
        <v>4.3216024079724358</v>
      </c>
      <c r="C67" s="43">
        <f t="shared" si="36"/>
        <v>8.1138065089213498</v>
      </c>
      <c r="D67" s="48">
        <f t="shared" si="36"/>
        <v>2.3642569897410981</v>
      </c>
      <c r="E67" s="48">
        <f t="shared" si="36"/>
        <v>1.1598892199511601</v>
      </c>
      <c r="F67" s="43">
        <f>IF(AND(F$5-D$5 &lt;&gt; 0,F15 &lt;&gt; 0,D15 &lt;&gt; 0),(EXP(LN(F15/D15)/(F$5-D$5))-1)*100,0)</f>
        <v>1.5597624086441053</v>
      </c>
      <c r="H67" s="39">
        <f t="shared" si="37"/>
        <v>29.08081114864834</v>
      </c>
      <c r="I67" s="39">
        <f t="shared" si="37"/>
        <v>30.263515167224103</v>
      </c>
      <c r="J67" s="39">
        <f t="shared" si="37"/>
        <v>31.26996658983397</v>
      </c>
      <c r="K67" s="39">
        <f t="shared" si="37"/>
        <v>32.42145379683825</v>
      </c>
      <c r="L67" s="39">
        <f t="shared" si="37"/>
        <v>32.860098687371462</v>
      </c>
    </row>
    <row r="68" spans="1:12" ht="12.9" x14ac:dyDescent="0.35">
      <c r="B68" s="39"/>
      <c r="C68" s="43"/>
      <c r="D68" s="39"/>
      <c r="E68" s="39"/>
      <c r="F68" s="43"/>
      <c r="H68" s="39"/>
      <c r="I68" s="39"/>
      <c r="J68" s="39"/>
      <c r="K68" s="39"/>
      <c r="L68" s="39"/>
    </row>
    <row r="69" spans="1:12" s="29" customFormat="1" ht="12.9" x14ac:dyDescent="0.35">
      <c r="A69" s="29" t="str">
        <f t="shared" ref="A69:A74" si="38">A17</f>
        <v>Associate professional occupations</v>
      </c>
      <c r="B69" s="43">
        <f t="shared" ref="B69:E74" si="39">IF(AND(C$5-B$5 &lt;&gt; 0,C17 &lt;&gt; 0,B17 &lt;&gt; 0),(EXP(LN(C17/B17)/(C$5-B$5))-1)*100,0)</f>
        <v>2.0197285354220051</v>
      </c>
      <c r="C69" s="43">
        <f t="shared" si="39"/>
        <v>4.6183959143638376</v>
      </c>
      <c r="D69" s="43">
        <f t="shared" si="39"/>
        <v>-0.30084710732799502</v>
      </c>
      <c r="E69" s="43">
        <f t="shared" si="39"/>
        <v>0.7548544756700748</v>
      </c>
      <c r="F69" s="43">
        <f t="shared" ref="F69:F74" si="40">IF(AND(F$5-D$5 &lt;&gt; 0,F17 &lt;&gt; 0,D17 &lt;&gt; 0),(EXP(LN(F17/D17)/(F$5-D$5))-1)*100,0)</f>
        <v>0.40171768100338845</v>
      </c>
      <c r="H69" s="43">
        <f>(B17/B$51)*100</f>
        <v>12.537058244803969</v>
      </c>
      <c r="I69" s="43">
        <f>(C17/C$51)*100</f>
        <v>12.9247125124137</v>
      </c>
      <c r="J69" s="43">
        <f>(D17/D$51)*100</f>
        <v>13.672418217899111</v>
      </c>
      <c r="K69" s="43">
        <f>(E17/E$51)*100</f>
        <v>13.076402302314976</v>
      </c>
      <c r="L69" s="43">
        <f>(F17/F$51)*100</f>
        <v>13.517712544172142</v>
      </c>
    </row>
    <row r="70" spans="1:12" ht="12.9" x14ac:dyDescent="0.35">
      <c r="A70" t="str">
        <f t="shared" si="38"/>
        <v>31 Science, engineering and technology associate professionals</v>
      </c>
      <c r="B70" s="48">
        <f t="shared" si="39"/>
        <v>4.1868979922759619</v>
      </c>
      <c r="C70" s="43">
        <f t="shared" si="39"/>
        <v>8.4676457353655366</v>
      </c>
      <c r="D70" s="48">
        <f t="shared" si="39"/>
        <v>-2.3769802181573874</v>
      </c>
      <c r="E70" s="48">
        <f t="shared" si="39"/>
        <v>0.70301696920449519</v>
      </c>
      <c r="F70" s="43">
        <f t="shared" si="40"/>
        <v>-0.33429715990578313</v>
      </c>
      <c r="H70" s="39">
        <f t="shared" ref="H70:L74" si="41">(B18/B$17)*100</f>
        <v>12.872091907190267</v>
      </c>
      <c r="I70" s="39">
        <f t="shared" si="41"/>
        <v>14.001188696052983</v>
      </c>
      <c r="J70" s="39">
        <f t="shared" si="41"/>
        <v>14.516337801629103</v>
      </c>
      <c r="K70" s="39">
        <f t="shared" si="41"/>
        <v>13.066549331670194</v>
      </c>
      <c r="L70" s="39">
        <f t="shared" si="41"/>
        <v>12.999478488335962</v>
      </c>
    </row>
    <row r="71" spans="1:12" ht="12.9" x14ac:dyDescent="0.35">
      <c r="A71" t="str">
        <f t="shared" si="38"/>
        <v>32 Health and social care associate professionals</v>
      </c>
      <c r="B71" s="48">
        <f t="shared" si="39"/>
        <v>2.8280917183757692</v>
      </c>
      <c r="C71" s="43">
        <f t="shared" si="39"/>
        <v>2.8844327978024831</v>
      </c>
      <c r="D71" s="48">
        <f t="shared" si="39"/>
        <v>0.35456790543306749</v>
      </c>
      <c r="E71" s="48">
        <f t="shared" si="39"/>
        <v>0.95504469384506407</v>
      </c>
      <c r="F71" s="43">
        <f t="shared" si="40"/>
        <v>0.75448760189016362</v>
      </c>
      <c r="H71" s="39">
        <f t="shared" si="41"/>
        <v>14.100076247327872</v>
      </c>
      <c r="I71" s="39">
        <f t="shared" si="41"/>
        <v>14.552309133141275</v>
      </c>
      <c r="J71" s="39">
        <f t="shared" si="41"/>
        <v>14.31111668245296</v>
      </c>
      <c r="K71" s="39">
        <f t="shared" si="41"/>
        <v>14.787743466298373</v>
      </c>
      <c r="L71" s="39">
        <f t="shared" si="41"/>
        <v>15.08420274176582</v>
      </c>
    </row>
    <row r="72" spans="1:12" ht="12.9" x14ac:dyDescent="0.35">
      <c r="A72" t="str">
        <f t="shared" si="38"/>
        <v>33 Protective service occupations</v>
      </c>
      <c r="B72" s="48">
        <f t="shared" si="39"/>
        <v>0.75536777330638127</v>
      </c>
      <c r="C72" s="43">
        <f t="shared" si="39"/>
        <v>6.0094082307210694</v>
      </c>
      <c r="D72" s="48">
        <f t="shared" si="39"/>
        <v>3.4875923942541576</v>
      </c>
      <c r="E72" s="48">
        <f t="shared" si="39"/>
        <v>1.3866856932667426</v>
      </c>
      <c r="F72" s="43">
        <f t="shared" si="40"/>
        <v>2.0822056987987558</v>
      </c>
      <c r="H72" s="39">
        <f t="shared" si="41"/>
        <v>8.611192670167453</v>
      </c>
      <c r="I72" s="39">
        <f t="shared" si="41"/>
        <v>8.1921787996522966</v>
      </c>
      <c r="J72" s="39">
        <f t="shared" si="41"/>
        <v>8.3011024885362747</v>
      </c>
      <c r="K72" s="39">
        <f t="shared" si="41"/>
        <v>10.002760055226998</v>
      </c>
      <c r="L72" s="39">
        <f t="shared" si="41"/>
        <v>10.64803115849074</v>
      </c>
    </row>
    <row r="73" spans="1:12" ht="12.9" x14ac:dyDescent="0.35">
      <c r="A73" t="str">
        <f t="shared" si="38"/>
        <v>34 Culture, media and sports occupations</v>
      </c>
      <c r="B73" s="48">
        <f t="shared" si="39"/>
        <v>0.5487900366243581</v>
      </c>
      <c r="C73" s="43">
        <f t="shared" si="39"/>
        <v>6.5708763059698194</v>
      </c>
      <c r="D73" s="48">
        <f t="shared" si="39"/>
        <v>-0.12346884112900414</v>
      </c>
      <c r="E73" s="48">
        <f t="shared" si="39"/>
        <v>1.0598795627649871</v>
      </c>
      <c r="F73" s="43">
        <f t="shared" si="40"/>
        <v>0.66388041453961932</v>
      </c>
      <c r="H73" s="39">
        <f t="shared" si="41"/>
        <v>16.376319983228761</v>
      </c>
      <c r="I73" s="39">
        <f t="shared" si="41"/>
        <v>15.452083866498597</v>
      </c>
      <c r="J73" s="39">
        <f t="shared" si="41"/>
        <v>15.740464227286058</v>
      </c>
      <c r="K73" s="39">
        <f t="shared" si="41"/>
        <v>15.880985415879204</v>
      </c>
      <c r="L73" s="39">
        <f t="shared" si="41"/>
        <v>16.368369091743311</v>
      </c>
    </row>
    <row r="74" spans="1:12" ht="12.9" x14ac:dyDescent="0.35">
      <c r="A74" t="str">
        <f t="shared" si="38"/>
        <v>35 Business and public service associate professionals</v>
      </c>
      <c r="B74" s="48">
        <f t="shared" si="39"/>
        <v>1.8930948261273395</v>
      </c>
      <c r="C74" s="43">
        <f t="shared" si="39"/>
        <v>3.1492970001906873</v>
      </c>
      <c r="D74" s="48">
        <f t="shared" si="39"/>
        <v>-0.67124649555362348</v>
      </c>
      <c r="E74" s="48">
        <f t="shared" si="39"/>
        <v>0.45420728934773003</v>
      </c>
      <c r="F74" s="43">
        <f t="shared" si="40"/>
        <v>7.7646220584459691E-2</v>
      </c>
      <c r="H74" s="39">
        <f t="shared" si="41"/>
        <v>48.040319192085647</v>
      </c>
      <c r="I74" s="39">
        <f t="shared" si="41"/>
        <v>47.80223950465485</v>
      </c>
      <c r="J74" s="39">
        <f t="shared" si="41"/>
        <v>47.130978800095612</v>
      </c>
      <c r="K74" s="39">
        <f t="shared" si="41"/>
        <v>46.261961730925222</v>
      </c>
      <c r="L74" s="39">
        <f t="shared" si="41"/>
        <v>44.899918519664162</v>
      </c>
    </row>
    <row r="75" spans="1:12" ht="12.9" x14ac:dyDescent="0.35">
      <c r="A75" s="29"/>
      <c r="B75" s="39"/>
      <c r="C75" s="43"/>
      <c r="D75" s="39"/>
      <c r="E75" s="39"/>
      <c r="F75" s="43"/>
      <c r="H75" s="39"/>
      <c r="I75" s="39"/>
      <c r="J75" s="39"/>
      <c r="K75" s="39"/>
      <c r="L75" s="39"/>
    </row>
    <row r="76" spans="1:12" s="29" customFormat="1" ht="12.9" x14ac:dyDescent="0.35">
      <c r="A76" s="29" t="str">
        <f>A24</f>
        <v>Administrative and secretarial occupations</v>
      </c>
      <c r="B76" s="43">
        <f t="shared" ref="B76:E78" si="42">IF(AND(C$5-B$5 &lt;&gt; 0,C24 &lt;&gt; 0,B24 &lt;&gt; 0),(EXP(LN(C24/B24)/(C$5-B$5))-1)*100,0)</f>
        <v>-0.73134605573228484</v>
      </c>
      <c r="C76" s="43">
        <f t="shared" si="42"/>
        <v>3.1486686563962474</v>
      </c>
      <c r="D76" s="43">
        <f t="shared" si="42"/>
        <v>-1.137702282487818</v>
      </c>
      <c r="E76" s="43">
        <f t="shared" si="42"/>
        <v>-0.81823002005926293</v>
      </c>
      <c r="F76" s="43">
        <f>IF(AND(F$5-D$5 &lt;&gt; 0,F24 &lt;&gt; 0,D24 &lt;&gt; 0),(EXP(LN(F24/D24)/(F$5-D$5))-1)*100,0)</f>
        <v>-0.92483531760759741</v>
      </c>
      <c r="H76" s="43">
        <f>(B24/B$51)*100</f>
        <v>11.099400538933416</v>
      </c>
      <c r="I76" s="43">
        <f>(C24/C$51)*100</f>
        <v>10.257384839191184</v>
      </c>
      <c r="J76" s="43">
        <f>(D24/D$51)*100</f>
        <v>10.698346564484289</v>
      </c>
      <c r="K76" s="43">
        <f>(E24/E$51)*100</f>
        <v>9.8097007630803379</v>
      </c>
      <c r="L76" s="43">
        <f>(F24/F$51)*100</f>
        <v>8.6642192973352259</v>
      </c>
    </row>
    <row r="77" spans="1:12" ht="12.9" x14ac:dyDescent="0.35">
      <c r="A77" t="str">
        <f>A25</f>
        <v>41 Administrative occupations</v>
      </c>
      <c r="B77" s="48">
        <f t="shared" si="42"/>
        <v>-0.39740602975336659</v>
      </c>
      <c r="C77" s="43">
        <f t="shared" si="42"/>
        <v>4.4169579570388695</v>
      </c>
      <c r="D77" s="48">
        <f t="shared" si="42"/>
        <v>-1.6140665804322496</v>
      </c>
      <c r="E77" s="48">
        <f t="shared" si="42"/>
        <v>-0.51331771558201789</v>
      </c>
      <c r="F77" s="43">
        <f>IF(AND(F$5-D$5 &lt;&gt; 0,F25 &lt;&gt; 0,D25 &lt;&gt; 0),(EXP(LN(F25/D25)/(F$5-D$5))-1)*100,0)</f>
        <v>-0.88159560569440742</v>
      </c>
      <c r="H77" s="39">
        <f t="shared" ref="H77:L78" si="43">(B25/B$24)*100</f>
        <v>79.860998226756806</v>
      </c>
      <c r="I77" s="39">
        <f t="shared" si="43"/>
        <v>80.941043360952577</v>
      </c>
      <c r="J77" s="39">
        <f t="shared" si="43"/>
        <v>81.936273455676471</v>
      </c>
      <c r="K77" s="39">
        <f t="shared" si="43"/>
        <v>79.981171230620035</v>
      </c>
      <c r="L77" s="39">
        <f t="shared" si="43"/>
        <v>82.474311174260748</v>
      </c>
    </row>
    <row r="78" spans="1:12" ht="12.9" x14ac:dyDescent="0.35">
      <c r="A78" t="str">
        <f>A26</f>
        <v>42 Secretarial and related occupations</v>
      </c>
      <c r="B78" s="48">
        <f t="shared" si="42"/>
        <v>-2.0899148037893167</v>
      </c>
      <c r="C78" s="43">
        <f t="shared" si="42"/>
        <v>-2.2375999217707609</v>
      </c>
      <c r="D78" s="48">
        <f t="shared" si="42"/>
        <v>0.91528774889604314</v>
      </c>
      <c r="E78" s="48">
        <f t="shared" si="42"/>
        <v>-2.128668329260397</v>
      </c>
      <c r="F78" s="43">
        <f>IF(AND(F$5-D$5 &lt;&gt; 0,F26 &lt;&gt; 0,D26 &lt;&gt; 0),(EXP(LN(F26/D26)/(F$5-D$5))-1)*100,0)</f>
        <v>-1.1243573359091985</v>
      </c>
      <c r="H78" s="39">
        <f t="shared" si="43"/>
        <v>20.139001773243191</v>
      </c>
      <c r="I78" s="39">
        <f t="shared" si="43"/>
        <v>19.058956639047427</v>
      </c>
      <c r="J78" s="39">
        <f t="shared" si="43"/>
        <v>18.063726544323533</v>
      </c>
      <c r="K78" s="39">
        <f t="shared" si="43"/>
        <v>20.018828769379951</v>
      </c>
      <c r="L78" s="39">
        <f t="shared" si="43"/>
        <v>17.525688825739248</v>
      </c>
    </row>
    <row r="79" spans="1:12" ht="12.9" x14ac:dyDescent="0.35">
      <c r="B79" s="39"/>
      <c r="C79" s="43"/>
      <c r="D79" s="39"/>
      <c r="E79" s="39"/>
      <c r="F79" s="43"/>
      <c r="H79" s="39"/>
      <c r="I79" s="39"/>
      <c r="J79" s="39"/>
      <c r="K79" s="39"/>
      <c r="L79" s="39"/>
    </row>
    <row r="80" spans="1:12" s="29" customFormat="1" ht="12.9" x14ac:dyDescent="0.35">
      <c r="A80" s="29" t="str">
        <f>A28</f>
        <v>Skilled trades occupations</v>
      </c>
      <c r="B80" s="43">
        <f t="shared" ref="B80:E84" si="44">IF(AND(C$5-B$5 &lt;&gt; 0,C28 &lt;&gt; 0,B28 &lt;&gt; 0),(EXP(LN(C28/B28)/(C$5-B$5))-1)*100,0)</f>
        <v>-0.39377168721768108</v>
      </c>
      <c r="C80" s="43">
        <f t="shared" si="44"/>
        <v>-11.807640331045445</v>
      </c>
      <c r="D80" s="43">
        <f t="shared" si="44"/>
        <v>0.27091043226550315</v>
      </c>
      <c r="E80" s="43">
        <f t="shared" si="44"/>
        <v>-0.26410055266499199</v>
      </c>
      <c r="F80" s="43">
        <f>IF(AND(F$5-D$5 &lt;&gt; 0,F28 &lt;&gt; 0,D28 &lt;&gt; 0),(EXP(LN(F28/D28)/(F$5-D$5))-1)*100,0)</f>
        <v>-8.608149376250207E-2</v>
      </c>
      <c r="H80" s="43">
        <f>(B28/B$51)*100</f>
        <v>10.366919789235356</v>
      </c>
      <c r="I80" s="43">
        <f>(C28/C$51)*100</f>
        <v>9.7114552644476149</v>
      </c>
      <c r="J80" s="43">
        <f>(D28/D$51)*100</f>
        <v>8.6602745907830716</v>
      </c>
      <c r="K80" s="43">
        <f>(E28/E$51)*100</f>
        <v>8.522991419701718</v>
      </c>
      <c r="L80" s="43">
        <f>(F28/F$51)*100</f>
        <v>7.9590690047033581</v>
      </c>
    </row>
    <row r="81" spans="1:12" ht="12.9" x14ac:dyDescent="0.35">
      <c r="A81" t="str">
        <f>A29</f>
        <v>51 Skilled agricultural and related trades</v>
      </c>
      <c r="B81" s="48">
        <f t="shared" si="44"/>
        <v>0.22837043121850531</v>
      </c>
      <c r="C81" s="43">
        <f t="shared" si="44"/>
        <v>-7.8330394546801907</v>
      </c>
      <c r="D81" s="48">
        <f t="shared" si="44"/>
        <v>0.51283018822874116</v>
      </c>
      <c r="E81" s="48">
        <f t="shared" si="44"/>
        <v>0.9254667338987943</v>
      </c>
      <c r="F81" s="43">
        <f>IF(AND(F$5-D$5 &lt;&gt; 0,F29 &lt;&gt; 0,D29 &lt;&gt; 0),(EXP(LN(F29/D29)/(F$5-D$5))-1)*100,0)</f>
        <v>0.7877333388565777</v>
      </c>
      <c r="H81" s="39">
        <f t="shared" ref="H81:L84" si="45">(B29/B$28)*100</f>
        <v>11.600606118936319</v>
      </c>
      <c r="I81" s="39">
        <f t="shared" si="45"/>
        <v>11.893163167047977</v>
      </c>
      <c r="J81" s="39">
        <f t="shared" si="45"/>
        <v>12.429157179725969</v>
      </c>
      <c r="K81" s="39">
        <f t="shared" si="45"/>
        <v>12.579819159864774</v>
      </c>
      <c r="L81" s="39">
        <f t="shared" si="45"/>
        <v>14.163382265793038</v>
      </c>
    </row>
    <row r="82" spans="1:12" ht="12.9" x14ac:dyDescent="0.35">
      <c r="A82" t="str">
        <f>A30</f>
        <v>52 Skilled metal, electrical and electronic trades</v>
      </c>
      <c r="B82" s="48">
        <f t="shared" si="44"/>
        <v>0.38670826243929479</v>
      </c>
      <c r="C82" s="43">
        <f t="shared" si="44"/>
        <v>-12.703792820685333</v>
      </c>
      <c r="D82" s="48">
        <f t="shared" si="44"/>
        <v>-0.19946939034517497</v>
      </c>
      <c r="E82" s="48">
        <f t="shared" si="44"/>
        <v>-0.57241821422276962</v>
      </c>
      <c r="F82" s="43">
        <f>IF(AND(F$5-D$5 &lt;&gt; 0,F30 &lt;&gt; 0,D30 &lt;&gt; 0),(EXP(LN(F30/D30)/(F$5-D$5))-1)*100,0)</f>
        <v>-0.44825705159887708</v>
      </c>
      <c r="H82" s="39">
        <f t="shared" si="45"/>
        <v>35.625453197572895</v>
      </c>
      <c r="I82" s="39">
        <f t="shared" si="45"/>
        <v>36.755240676539863</v>
      </c>
      <c r="J82" s="39">
        <f t="shared" si="45"/>
        <v>36.381758205232437</v>
      </c>
      <c r="K82" s="39">
        <f t="shared" si="45"/>
        <v>35.536376588483733</v>
      </c>
      <c r="L82" s="39">
        <f t="shared" si="45"/>
        <v>34.452982732019152</v>
      </c>
    </row>
    <row r="83" spans="1:12" ht="12.9" x14ac:dyDescent="0.35">
      <c r="A83" t="str">
        <f>A31</f>
        <v>53 Skilled construction and building trades</v>
      </c>
      <c r="B83" s="48">
        <f t="shared" si="44"/>
        <v>-0.26540248383000176</v>
      </c>
      <c r="C83" s="43">
        <f t="shared" si="44"/>
        <v>-15.9833949487717</v>
      </c>
      <c r="D83" s="48">
        <f t="shared" si="44"/>
        <v>0.95746955706879078</v>
      </c>
      <c r="E83" s="48">
        <f t="shared" si="44"/>
        <v>-0.62874002274370122</v>
      </c>
      <c r="F83" s="43">
        <f>IF(AND(F$5-D$5 &lt;&gt; 0,F31 &lt;&gt; 0,D31 &lt;&gt; 0),(EXP(LN(F31/D31)/(F$5-D$5))-1)*100,0)</f>
        <v>-0.10279212158672557</v>
      </c>
      <c r="H83" s="39">
        <f t="shared" si="45"/>
        <v>31.119956783496995</v>
      </c>
      <c r="I83" s="39">
        <f t="shared" si="45"/>
        <v>31.28069264913924</v>
      </c>
      <c r="J83" s="39">
        <f t="shared" si="45"/>
        <v>29.799606336610285</v>
      </c>
      <c r="K83" s="39">
        <f t="shared" si="45"/>
        <v>30.833868733984048</v>
      </c>
      <c r="L83" s="39">
        <f t="shared" si="45"/>
        <v>29.724933924425105</v>
      </c>
    </row>
    <row r="84" spans="1:12" ht="12.9" x14ac:dyDescent="0.35">
      <c r="A84" t="str">
        <f>A32</f>
        <v>54 Textiles, printing and other skilled trades</v>
      </c>
      <c r="B84" s="48">
        <f t="shared" si="44"/>
        <v>-2.2664275513312515</v>
      </c>
      <c r="C84" s="43">
        <f t="shared" si="44"/>
        <v>-6.0137695954170622</v>
      </c>
      <c r="D84" s="48">
        <f t="shared" si="44"/>
        <v>-4.9476326191100206E-2</v>
      </c>
      <c r="E84" s="48">
        <f t="shared" si="44"/>
        <v>2.0649960748087004E-2</v>
      </c>
      <c r="F84" s="43">
        <f>IF(AND(F$5-D$5 &lt;&gt; 0,F32 &lt;&gt; 0,D32 &lt;&gt; 0),(EXP(LN(F32/D32)/(F$5-D$5))-1)*100,0)</f>
        <v>-2.7309333392233626E-3</v>
      </c>
      <c r="H84" s="39">
        <f t="shared" si="45"/>
        <v>21.653983899993793</v>
      </c>
      <c r="I84" s="39">
        <f t="shared" si="45"/>
        <v>20.070903507272927</v>
      </c>
      <c r="J84" s="39">
        <f t="shared" si="45"/>
        <v>21.389478278431312</v>
      </c>
      <c r="K84" s="39">
        <f t="shared" si="45"/>
        <v>21.049935517667436</v>
      </c>
      <c r="L84" s="39">
        <f t="shared" si="45"/>
        <v>21.6587010777627</v>
      </c>
    </row>
    <row r="85" spans="1:12" ht="12.9" x14ac:dyDescent="0.35">
      <c r="A85" s="29"/>
      <c r="B85" s="39"/>
      <c r="C85" s="43"/>
      <c r="D85" s="39"/>
      <c r="E85" s="39"/>
      <c r="F85" s="43"/>
      <c r="H85" s="39"/>
      <c r="I85" s="39"/>
      <c r="J85" s="39"/>
      <c r="K85" s="39"/>
      <c r="L85" s="39"/>
    </row>
    <row r="86" spans="1:12" s="29" customFormat="1" ht="12.9" x14ac:dyDescent="0.35">
      <c r="A86" s="29" t="str">
        <f>A34</f>
        <v>Caring, leisure and other service occupations</v>
      </c>
      <c r="B86" s="43">
        <f t="shared" ref="B86:E89" si="46">IF(AND(C$5-B$5 &lt;&gt; 0,C34 &lt;&gt; 0,B34 &lt;&gt; 0),(EXP(LN(C34/B34)/(C$5-B$5))-1)*100,0)</f>
        <v>0.80466356125439287</v>
      </c>
      <c r="C86" s="43">
        <f t="shared" si="46"/>
        <v>-3.6181897080003855</v>
      </c>
      <c r="D86" s="43">
        <f t="shared" si="46"/>
        <v>1.3953029429995656</v>
      </c>
      <c r="E86" s="43">
        <f t="shared" si="46"/>
        <v>0.79559788426972755</v>
      </c>
      <c r="F86" s="43">
        <f>IF(AND(F$5-D$5 &lt;&gt; 0,F34 &lt;&gt; 0,D34 &lt;&gt; 0),(EXP(LN(F34/D34)/(F$5-D$5))-1)*100,0)</f>
        <v>0.99510442309873604</v>
      </c>
      <c r="H86" s="43">
        <f>(B34/B$51)*100</f>
        <v>9.3552514649410181</v>
      </c>
      <c r="I86" s="43">
        <f>(C34/C$51)*100</f>
        <v>9.1931968061577241</v>
      </c>
      <c r="J86" s="43">
        <f>(D34/D$51)*100</f>
        <v>8.9593813496447066</v>
      </c>
      <c r="K86" s="43">
        <f>(E34/E$51)*100</f>
        <v>9.3229382064168966</v>
      </c>
      <c r="L86" s="43">
        <f>(F34/F$51)*100</f>
        <v>9.6766178702901264</v>
      </c>
    </row>
    <row r="87" spans="1:12" ht="12.9" x14ac:dyDescent="0.35">
      <c r="A87" t="str">
        <f>A35</f>
        <v>61 Caring personal service occupations</v>
      </c>
      <c r="B87" s="48">
        <f t="shared" si="46"/>
        <v>0.49496650702660627</v>
      </c>
      <c r="C87" s="43">
        <f t="shared" si="46"/>
        <v>-2.4672458157894095</v>
      </c>
      <c r="D87" s="48">
        <f t="shared" si="46"/>
        <v>1.7753153708145231</v>
      </c>
      <c r="E87" s="48">
        <f t="shared" si="46"/>
        <v>0.92122814188135838</v>
      </c>
      <c r="F87" s="43">
        <f>IF(AND(F$5-D$5 &lt;&gt; 0,F35 &lt;&gt; 0,D35 &lt;&gt; 0),(EXP(LN(F35/D35)/(F$5-D$5))-1)*100,0)</f>
        <v>1.2051245215293882</v>
      </c>
      <c r="H87" s="39">
        <f t="shared" ref="H87:L89" si="47">(B35/B$34)*100</f>
        <v>75.541061710193631</v>
      </c>
      <c r="I87" s="39">
        <f t="shared" si="47"/>
        <v>74.617007130975239</v>
      </c>
      <c r="J87" s="39">
        <f t="shared" si="47"/>
        <v>75.508046512288729</v>
      </c>
      <c r="K87" s="39">
        <f t="shared" si="47"/>
        <v>76.933649242912097</v>
      </c>
      <c r="L87" s="39">
        <f t="shared" si="47"/>
        <v>77.897935828299737</v>
      </c>
    </row>
    <row r="88" spans="1:12" ht="12.9" x14ac:dyDescent="0.35">
      <c r="A88" t="str">
        <f>A36</f>
        <v>62 Leisure, travel and related personal service occupations</v>
      </c>
      <c r="B88" s="48">
        <f t="shared" si="46"/>
        <v>1.9749472159406256</v>
      </c>
      <c r="C88" s="43">
        <f t="shared" si="46"/>
        <v>-8.270608976699755</v>
      </c>
      <c r="D88" s="48">
        <f t="shared" si="46"/>
        <v>0.38735921985144639</v>
      </c>
      <c r="E88" s="48">
        <f t="shared" si="46"/>
        <v>0.35211560908401385</v>
      </c>
      <c r="F88" s="43">
        <f>IF(AND(F$5-D$5 &lt;&gt; 0,F36 &lt;&gt; 0,D36 &lt;&gt; 0),(EXP(LN(F36/D36)/(F$5-D$5))-1)*100,0)</f>
        <v>0.3638621043261292</v>
      </c>
      <c r="H88" s="39">
        <f t="shared" si="47"/>
        <v>23.341886419589457</v>
      </c>
      <c r="I88" s="39">
        <f t="shared" si="47"/>
        <v>24.444851891708751</v>
      </c>
      <c r="J88" s="39">
        <f t="shared" si="47"/>
        <v>23.264881318247461</v>
      </c>
      <c r="K88" s="39">
        <f t="shared" si="47"/>
        <v>22.131293880147123</v>
      </c>
      <c r="L88" s="39">
        <f t="shared" si="47"/>
        <v>21.176611971902386</v>
      </c>
    </row>
    <row r="89" spans="1:12" ht="12.9" x14ac:dyDescent="0.35">
      <c r="A89" t="str">
        <f>A37</f>
        <v>63 Community and civil enforcement occupations</v>
      </c>
      <c r="B89" s="48">
        <f t="shared" si="46"/>
        <v>-3.4995550101571515</v>
      </c>
      <c r="C89" s="43">
        <f t="shared" si="46"/>
        <v>26.065740556617499</v>
      </c>
      <c r="D89" s="48">
        <f t="shared" si="46"/>
        <v>-3.9690065749422798</v>
      </c>
      <c r="E89" s="48">
        <f t="shared" si="46"/>
        <v>0.69158138957496895</v>
      </c>
      <c r="F89" s="43">
        <f>IF(AND(F$5-D$5 &lt;&gt; 0,F37 &lt;&gt; 0,D37 &lt;&gt; 0),(EXP(LN(F37/D37)/(F$5-D$5))-1)*100,0)</f>
        <v>-0.88655273075052277</v>
      </c>
      <c r="H89" s="39">
        <f t="shared" si="47"/>
        <v>1.1170518702169117</v>
      </c>
      <c r="I89" s="39">
        <f t="shared" si="47"/>
        <v>0.93814097731602597</v>
      </c>
      <c r="J89" s="39">
        <f t="shared" si="47"/>
        <v>1.2270721694638138</v>
      </c>
      <c r="K89" s="39">
        <f t="shared" si="47"/>
        <v>0.93505687694078155</v>
      </c>
      <c r="L89" s="39">
        <f t="shared" si="47"/>
        <v>0.92545219979788129</v>
      </c>
    </row>
    <row r="90" spans="1:12" ht="12.9" x14ac:dyDescent="0.35">
      <c r="B90" s="39"/>
      <c r="C90" s="43"/>
      <c r="D90" s="39"/>
      <c r="E90" s="39"/>
      <c r="F90" s="43"/>
      <c r="H90" s="39"/>
      <c r="I90" s="39"/>
      <c r="J90" s="39"/>
      <c r="K90" s="39"/>
      <c r="L90" s="39"/>
    </row>
    <row r="91" spans="1:12" s="29" customFormat="1" ht="12.9" x14ac:dyDescent="0.35">
      <c r="A91" s="29" t="str">
        <f>A39</f>
        <v>Sales and customer service occupations</v>
      </c>
      <c r="B91" s="43">
        <f t="shared" ref="B91:E93" si="48">IF(AND(C$5-B$5 &lt;&gt; 0,C39 &lt;&gt; 0,B39 &lt;&gt; 0),(EXP(LN(C39/B39)/(C$5-B$5))-1)*100,0)</f>
        <v>-0.61163313993888302</v>
      </c>
      <c r="C91" s="43">
        <f t="shared" si="48"/>
        <v>-1.071302539637109</v>
      </c>
      <c r="D91" s="43">
        <f t="shared" si="48"/>
        <v>0.12333673791331545</v>
      </c>
      <c r="E91" s="43">
        <f t="shared" si="48"/>
        <v>4.3098478133396512E-2</v>
      </c>
      <c r="F91" s="43">
        <f t="shared" ref="F91:F103" si="49">IF(AND(F$5-D$5 &lt;&gt; 0,F39 &lt;&gt; 0,D39 &lt;&gt; 0),(EXP(LN(F39/D39)/(F$5-D$5))-1)*100,0)</f>
        <v>6.9837417461338092E-2</v>
      </c>
      <c r="H91" s="43">
        <f>(B39/B$51)*100</f>
        <v>8.5787438080003895</v>
      </c>
      <c r="I91" s="43">
        <f>(C39/C$51)*100</f>
        <v>7.9662606087958849</v>
      </c>
      <c r="J91" s="43">
        <f>(D39/D$51)*100</f>
        <v>7.9688047612114135</v>
      </c>
      <c r="K91" s="43">
        <f>(E39/E$51)*100</f>
        <v>7.784941568425964</v>
      </c>
      <c r="L91" s="43">
        <f>(F39/F$51)*100</f>
        <v>7.4969019305036175</v>
      </c>
    </row>
    <row r="92" spans="1:12" s="29" customFormat="1" ht="12.9" x14ac:dyDescent="0.35">
      <c r="A92" s="10" t="str">
        <f>A40</f>
        <v>71 Sales occupations</v>
      </c>
      <c r="B92" s="48">
        <f t="shared" si="48"/>
        <v>-1.2477325770688497</v>
      </c>
      <c r="C92" s="43">
        <f t="shared" si="48"/>
        <v>-2.0251513218140227</v>
      </c>
      <c r="D92" s="48">
        <f t="shared" si="48"/>
        <v>-1.4745821647726642</v>
      </c>
      <c r="E92" s="48">
        <f t="shared" si="48"/>
        <v>-0.50010196084490088</v>
      </c>
      <c r="F92" s="43">
        <f t="shared" si="49"/>
        <v>-0.8259949304987968</v>
      </c>
      <c r="G92"/>
      <c r="H92" s="39">
        <f t="shared" ref="H92:L93" si="50">(B40/B$34)*100</f>
        <v>74.387761308973339</v>
      </c>
      <c r="I92" s="39">
        <f t="shared" si="50"/>
        <v>68.512102507206322</v>
      </c>
      <c r="J92" s="39">
        <f t="shared" si="50"/>
        <v>69.644498847155262</v>
      </c>
      <c r="K92" s="39">
        <f t="shared" si="50"/>
        <v>60.330796458711546</v>
      </c>
      <c r="L92" s="39">
        <f t="shared" si="50"/>
        <v>53.009018496151874</v>
      </c>
    </row>
    <row r="93" spans="1:12" s="29" customFormat="1" ht="12.9" x14ac:dyDescent="0.35">
      <c r="A93" t="str">
        <f>A41</f>
        <v>72 Customer service occupations</v>
      </c>
      <c r="B93" s="48">
        <f t="shared" si="48"/>
        <v>1.9914258323246115</v>
      </c>
      <c r="C93" s="43">
        <f t="shared" si="48"/>
        <v>2.5308929697787308</v>
      </c>
      <c r="D93" s="48">
        <f t="shared" si="48"/>
        <v>5.1728890361096846</v>
      </c>
      <c r="E93" s="48">
        <f t="shared" si="48"/>
        <v>1.3444257180055041</v>
      </c>
      <c r="F93" s="43">
        <f t="shared" si="49"/>
        <v>2.6048394906809325</v>
      </c>
      <c r="G93"/>
      <c r="H93" s="39">
        <f t="shared" si="50"/>
        <v>17.31200582341636</v>
      </c>
      <c r="I93" s="39">
        <f t="shared" si="50"/>
        <v>18.141765312309744</v>
      </c>
      <c r="J93" s="39">
        <f t="shared" si="50"/>
        <v>19.299195479768606</v>
      </c>
      <c r="K93" s="39">
        <f t="shared" si="50"/>
        <v>23.172294477444812</v>
      </c>
      <c r="L93" s="39">
        <f t="shared" si="50"/>
        <v>24.465384554537621</v>
      </c>
    </row>
    <row r="94" spans="1:12" ht="12.9" x14ac:dyDescent="0.35">
      <c r="C94" s="43"/>
      <c r="F94" s="43"/>
    </row>
    <row r="95" spans="1:12" s="29" customFormat="1" ht="12.9" x14ac:dyDescent="0.35">
      <c r="A95" s="29" t="str">
        <f>A43</f>
        <v>Process, plant and machine operatives</v>
      </c>
      <c r="B95" s="43">
        <f t="shared" ref="B95:E97" si="51">IF(AND(C$5-B$5 &lt;&gt; 0,C43 &lt;&gt; 0,B43 &lt;&gt; 0),(EXP(LN(C43/B43)/(C$5-B$5))-1)*100,0)</f>
        <v>1.1147033225407332</v>
      </c>
      <c r="C95" s="43">
        <f t="shared" si="51"/>
        <v>-11.388340949156772</v>
      </c>
      <c r="D95" s="43">
        <f t="shared" si="51"/>
        <v>2.3699356161035912</v>
      </c>
      <c r="E95" s="43">
        <f t="shared" si="51"/>
        <v>-9.8359099383926729E-2</v>
      </c>
      <c r="F95" s="43">
        <f t="shared" si="49"/>
        <v>0.71772122545064043</v>
      </c>
      <c r="H95" s="43">
        <f>(B43/B$51)*100</f>
        <v>6.2782819129797591</v>
      </c>
      <c r="I95" s="43">
        <f>(C43/C$51)*100</f>
        <v>6.2457795959581608</v>
      </c>
      <c r="J95" s="43">
        <f>(D43/D$51)*100</f>
        <v>5.5962087746958229</v>
      </c>
      <c r="K95" s="43">
        <f>(E43/E$51)*100</f>
        <v>6.108599559430802</v>
      </c>
      <c r="L95" s="43">
        <f>(F43/F$51)*100</f>
        <v>5.7999333853409984</v>
      </c>
    </row>
    <row r="96" spans="1:12" ht="12.9" x14ac:dyDescent="0.35">
      <c r="A96" t="str">
        <f>A44</f>
        <v>81 Process, plant and machine operatives</v>
      </c>
      <c r="B96" s="48">
        <f t="shared" si="51"/>
        <v>-0.94012950561397357</v>
      </c>
      <c r="C96" s="43">
        <f t="shared" si="51"/>
        <v>-12.161432587589715</v>
      </c>
      <c r="D96" s="48">
        <f t="shared" si="51"/>
        <v>3.7851317145956687</v>
      </c>
      <c r="E96" s="48">
        <f t="shared" si="51"/>
        <v>-0.15765112549621652</v>
      </c>
      <c r="F96" s="43">
        <f t="shared" si="49"/>
        <v>1.1396795632297341</v>
      </c>
      <c r="H96" s="39">
        <f t="shared" ref="H96:L97" si="52">(B44/B$43)*100</f>
        <v>42.807905202503463</v>
      </c>
      <c r="I96" s="39">
        <f t="shared" si="52"/>
        <v>39.4328123367983</v>
      </c>
      <c r="J96" s="39">
        <f t="shared" si="52"/>
        <v>39.088781113096886</v>
      </c>
      <c r="K96" s="39">
        <f t="shared" si="52"/>
        <v>41.866406091425809</v>
      </c>
      <c r="L96" s="39">
        <f t="shared" si="52"/>
        <v>41.618589865641979</v>
      </c>
    </row>
    <row r="97" spans="1:12" ht="12.9" x14ac:dyDescent="0.35">
      <c r="A97" t="str">
        <f>A45</f>
        <v>82 Transport and mobile machine drivers and operatives</v>
      </c>
      <c r="B97" s="48">
        <f t="shared" si="51"/>
        <v>2.5745600839970795</v>
      </c>
      <c r="C97" s="43">
        <f t="shared" si="51"/>
        <v>-10.885012683908712</v>
      </c>
      <c r="D97" s="48">
        <f t="shared" si="51"/>
        <v>1.4187857542961479</v>
      </c>
      <c r="E97" s="48">
        <f t="shared" si="51"/>
        <v>-5.5853755931944971E-2</v>
      </c>
      <c r="F97" s="43">
        <f t="shared" si="49"/>
        <v>0.4332948412486326</v>
      </c>
      <c r="H97" s="39">
        <f t="shared" si="52"/>
        <v>57.192094797496537</v>
      </c>
      <c r="I97" s="39">
        <f t="shared" si="52"/>
        <v>60.567187663201715</v>
      </c>
      <c r="J97" s="39">
        <f t="shared" si="52"/>
        <v>60.911218886903114</v>
      </c>
      <c r="K97" s="39">
        <f t="shared" si="52"/>
        <v>58.133593908574177</v>
      </c>
      <c r="L97" s="39">
        <f t="shared" si="52"/>
        <v>58.381410134358013</v>
      </c>
    </row>
    <row r="98" spans="1:12" ht="12.9" x14ac:dyDescent="0.35">
      <c r="C98" s="43"/>
      <c r="F98" s="43"/>
    </row>
    <row r="99" spans="1:12" s="29" customFormat="1" ht="12.9" x14ac:dyDescent="0.35">
      <c r="A99" s="29" t="str">
        <f>A47</f>
        <v>Elementary occupations</v>
      </c>
      <c r="B99" s="43">
        <f t="shared" ref="B99:E101" si="53">IF(AND(C$5-B$5 &lt;&gt; 0,C47 &lt;&gt; 0,B47 &lt;&gt; 0),(EXP(LN(C47/B47)/(C$5-B$5))-1)*100,0)</f>
        <v>-0.19727345880607983</v>
      </c>
      <c r="C99" s="43">
        <f t="shared" si="53"/>
        <v>-8.6896995066868996</v>
      </c>
      <c r="D99" s="43">
        <f t="shared" si="53"/>
        <v>-2.530150960825539E-2</v>
      </c>
      <c r="E99" s="43">
        <f t="shared" si="53"/>
        <v>-0.39641389264254423</v>
      </c>
      <c r="F99" s="43">
        <f t="shared" si="49"/>
        <v>-0.27286308388154712</v>
      </c>
      <c r="H99" s="43">
        <f>(B47/B$51)*100</f>
        <v>11.801840434220438</v>
      </c>
      <c r="I99" s="43">
        <f>(C47/C$51)*100</f>
        <v>11.143149487551335</v>
      </c>
      <c r="J99" s="43">
        <f>(D47/D$51)*100</f>
        <v>10.288311724822798</v>
      </c>
      <c r="K99" s="43">
        <f>(E47/E$51)*100</f>
        <v>9.9765464123580401</v>
      </c>
      <c r="L99" s="43">
        <f>(F47/F$51)*100</f>
        <v>9.1935895246397425</v>
      </c>
    </row>
    <row r="100" spans="1:12" ht="12.9" x14ac:dyDescent="0.35">
      <c r="A100" t="str">
        <f>A48</f>
        <v>91 Elementary trades and related occupations</v>
      </c>
      <c r="B100" s="48">
        <f t="shared" si="53"/>
        <v>-2.8087273146178204</v>
      </c>
      <c r="C100" s="43">
        <f t="shared" si="53"/>
        <v>-11.15656154117648</v>
      </c>
      <c r="D100" s="48">
        <f t="shared" si="53"/>
        <v>-3.4549830651892544</v>
      </c>
      <c r="E100" s="48">
        <f t="shared" si="53"/>
        <v>-0.56886124088884049</v>
      </c>
      <c r="F100" s="43">
        <f t="shared" si="49"/>
        <v>-1.5403630899259446</v>
      </c>
      <c r="H100" s="39">
        <f t="shared" ref="H100:L101" si="54">(B48/B$47)*100</f>
        <v>14.761405318040884</v>
      </c>
      <c r="I100" s="39">
        <f t="shared" si="54"/>
        <v>13.275997358580751</v>
      </c>
      <c r="J100" s="39">
        <f t="shared" si="54"/>
        <v>12.917329676217083</v>
      </c>
      <c r="K100" s="39">
        <f t="shared" si="54"/>
        <v>10.848546226941385</v>
      </c>
      <c r="L100" s="39">
        <f t="shared" si="54"/>
        <v>10.662177970883654</v>
      </c>
    </row>
    <row r="101" spans="1:12" ht="12.9" x14ac:dyDescent="0.35">
      <c r="A101" t="str">
        <f>A49</f>
        <v>92 Elementary administration and service occupations</v>
      </c>
      <c r="B101" s="48">
        <f t="shared" si="53"/>
        <v>0.23471602999776131</v>
      </c>
      <c r="C101" s="43">
        <f t="shared" si="53"/>
        <v>-8.3120641017658485</v>
      </c>
      <c r="D101" s="48">
        <f t="shared" si="53"/>
        <v>0.44525863549873534</v>
      </c>
      <c r="E101" s="48">
        <f t="shared" si="53"/>
        <v>-0.37561164368371536</v>
      </c>
      <c r="F101" s="43">
        <f t="shared" si="49"/>
        <v>-0.10273631651783743</v>
      </c>
      <c r="H101" s="39">
        <f t="shared" si="54"/>
        <v>85.238594681959114</v>
      </c>
      <c r="I101" s="39">
        <f t="shared" si="54"/>
        <v>86.724002641419247</v>
      </c>
      <c r="J101" s="39">
        <f t="shared" si="54"/>
        <v>87.082670323782921</v>
      </c>
      <c r="K101" s="39">
        <f t="shared" si="54"/>
        <v>89.15145377305862</v>
      </c>
      <c r="L101" s="39">
        <f t="shared" si="54"/>
        <v>89.337822029116339</v>
      </c>
    </row>
    <row r="102" spans="1:12" ht="12.9" x14ac:dyDescent="0.35">
      <c r="A102" s="13"/>
      <c r="C102" s="43"/>
      <c r="F102" s="43"/>
    </row>
    <row r="103" spans="1:12" ht="12.9" x14ac:dyDescent="0.35">
      <c r="A103" s="38" t="str">
        <f t="shared" ref="A103" si="55">A51</f>
        <v>All occupations</v>
      </c>
      <c r="B103" s="49">
        <f>IF(AND(C$5-B$5 &lt;&gt; 0,C51 &lt;&gt; 0,B51 &lt;&gt; 0),(EXP(LN(C51/B51)/(C$5-B$5))-1)*100,0)</f>
        <v>1.2459947050990294</v>
      </c>
      <c r="C103" s="206">
        <f t="shared" ref="C103" si="56">IF(AND(D$5-C$5 &lt;&gt; 0,D51 &lt;&gt; 0,C51 &lt;&gt; 0),(EXP(LN(D51/C51)/(D$5-C$5))-1)*100,0)</f>
        <v>-1.1028869104619532</v>
      </c>
      <c r="D103" s="49">
        <f>IF(AND(E$5-D$5 &lt;&gt; 0,E51 &lt;&gt; 0,D51 &lt;&gt; 0),(EXP(LN(E51/D51)/(E$5-D$5))-1)*100,0)</f>
        <v>0.59186970332352207</v>
      </c>
      <c r="E103" s="49">
        <f>IF(AND(F$5-E$5 &lt;&gt; 0,F51 &lt;&gt; 0,E51 &lt;&gt; 0),(EXP(LN(F51/E51)/(F$5-E$5))-1)*100,0)</f>
        <v>0.42098726884287618</v>
      </c>
      <c r="F103" s="206">
        <f t="shared" si="49"/>
        <v>0.47791580152365398</v>
      </c>
      <c r="G103" s="23"/>
      <c r="H103" s="42">
        <f>(B51/B$51)*100</f>
        <v>100</v>
      </c>
      <c r="I103" s="42">
        <f>(C51/C$51)*100</f>
        <v>100</v>
      </c>
      <c r="J103" s="42">
        <f>(D51/D$51)*100</f>
        <v>100</v>
      </c>
      <c r="K103" s="42">
        <f>(E51/E$51)*100</f>
        <v>100</v>
      </c>
      <c r="L103" s="42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0"/>
  <dimension ref="A1:Y1312"/>
  <sheetViews>
    <sheetView showGridLines="0" zoomScale="85" zoomScaleNormal="85" workbookViewId="0"/>
  </sheetViews>
  <sheetFormatPr defaultRowHeight="12.45" x14ac:dyDescent="0.3"/>
  <cols>
    <col min="1" max="1" width="35.53515625" style="90" customWidth="1"/>
    <col min="2" max="4" width="6.69140625" style="90" bestFit="1" customWidth="1"/>
    <col min="5" max="5" width="5" style="90" customWidth="1"/>
    <col min="6" max="8" width="6.69140625" style="90" bestFit="1" customWidth="1"/>
    <col min="9" max="9" width="5" style="90" customWidth="1"/>
    <col min="10" max="12" width="6.69140625" style="90" bestFit="1" customWidth="1"/>
    <col min="13" max="13" width="5" style="90" customWidth="1"/>
    <col min="14" max="14" width="8.84375" style="90" customWidth="1"/>
    <col min="15" max="15" width="7.15234375" style="90" customWidth="1"/>
    <col min="16" max="16" width="2.84375" style="90" customWidth="1"/>
    <col min="17" max="17" width="7.3828125" style="90" customWidth="1"/>
    <col min="18" max="18" width="7.3046875" style="90" customWidth="1"/>
    <col min="19" max="19" width="2.69140625" style="90" customWidth="1"/>
    <col min="20" max="20" width="8.15234375" style="90" customWidth="1"/>
    <col min="21" max="21" width="7.3828125" style="90" customWidth="1"/>
    <col min="22" max="254" width="9.15234375" style="90"/>
    <col min="255" max="255" width="33.15234375" style="90" bestFit="1" customWidth="1"/>
    <col min="256" max="258" width="7.15234375" style="90" customWidth="1"/>
    <col min="259" max="259" width="5" style="90" customWidth="1"/>
    <col min="260" max="262" width="7.15234375" style="90" customWidth="1"/>
    <col min="263" max="263" width="5" style="90" customWidth="1"/>
    <col min="264" max="266" width="7.15234375" style="90" customWidth="1"/>
    <col min="267" max="510" width="9.15234375" style="90"/>
    <col min="511" max="511" width="33.15234375" style="90" bestFit="1" customWidth="1"/>
    <col min="512" max="514" width="7.15234375" style="90" customWidth="1"/>
    <col min="515" max="515" width="5" style="90" customWidth="1"/>
    <col min="516" max="518" width="7.15234375" style="90" customWidth="1"/>
    <col min="519" max="519" width="5" style="90" customWidth="1"/>
    <col min="520" max="522" width="7.15234375" style="90" customWidth="1"/>
    <col min="523" max="766" width="9.15234375" style="90"/>
    <col min="767" max="767" width="33.15234375" style="90" bestFit="1" customWidth="1"/>
    <col min="768" max="770" width="7.15234375" style="90" customWidth="1"/>
    <col min="771" max="771" width="5" style="90" customWidth="1"/>
    <col min="772" max="774" width="7.15234375" style="90" customWidth="1"/>
    <col min="775" max="775" width="5" style="90" customWidth="1"/>
    <col min="776" max="778" width="7.15234375" style="90" customWidth="1"/>
    <col min="779" max="1022" width="9.15234375" style="90"/>
    <col min="1023" max="1023" width="33.15234375" style="90" bestFit="1" customWidth="1"/>
    <col min="1024" max="1026" width="7.15234375" style="90" customWidth="1"/>
    <col min="1027" max="1027" width="5" style="90" customWidth="1"/>
    <col min="1028" max="1030" width="7.15234375" style="90" customWidth="1"/>
    <col min="1031" max="1031" width="5" style="90" customWidth="1"/>
    <col min="1032" max="1034" width="7.15234375" style="90" customWidth="1"/>
    <col min="1035" max="1278" width="9.15234375" style="90"/>
    <col min="1279" max="1279" width="33.15234375" style="90" bestFit="1" customWidth="1"/>
    <col min="1280" max="1282" width="7.15234375" style="90" customWidth="1"/>
    <col min="1283" max="1283" width="5" style="90" customWidth="1"/>
    <col min="1284" max="1286" width="7.15234375" style="90" customWidth="1"/>
    <col min="1287" max="1287" width="5" style="90" customWidth="1"/>
    <col min="1288" max="1290" width="7.15234375" style="90" customWidth="1"/>
    <col min="1291" max="1534" width="9.15234375" style="90"/>
    <col min="1535" max="1535" width="33.15234375" style="90" bestFit="1" customWidth="1"/>
    <col min="1536" max="1538" width="7.15234375" style="90" customWidth="1"/>
    <col min="1539" max="1539" width="5" style="90" customWidth="1"/>
    <col min="1540" max="1542" width="7.15234375" style="90" customWidth="1"/>
    <col min="1543" max="1543" width="5" style="90" customWidth="1"/>
    <col min="1544" max="1546" width="7.15234375" style="90" customWidth="1"/>
    <col min="1547" max="1790" width="9.15234375" style="90"/>
    <col min="1791" max="1791" width="33.15234375" style="90" bestFit="1" customWidth="1"/>
    <col min="1792" max="1794" width="7.15234375" style="90" customWidth="1"/>
    <col min="1795" max="1795" width="5" style="90" customWidth="1"/>
    <col min="1796" max="1798" width="7.15234375" style="90" customWidth="1"/>
    <col min="1799" max="1799" width="5" style="90" customWidth="1"/>
    <col min="1800" max="1802" width="7.15234375" style="90" customWidth="1"/>
    <col min="1803" max="2046" width="9.15234375" style="90"/>
    <col min="2047" max="2047" width="33.15234375" style="90" bestFit="1" customWidth="1"/>
    <col min="2048" max="2050" width="7.15234375" style="90" customWidth="1"/>
    <col min="2051" max="2051" width="5" style="90" customWidth="1"/>
    <col min="2052" max="2054" width="7.15234375" style="90" customWidth="1"/>
    <col min="2055" max="2055" width="5" style="90" customWidth="1"/>
    <col min="2056" max="2058" width="7.15234375" style="90" customWidth="1"/>
    <col min="2059" max="2302" width="9.15234375" style="90"/>
    <col min="2303" max="2303" width="33.15234375" style="90" bestFit="1" customWidth="1"/>
    <col min="2304" max="2306" width="7.15234375" style="90" customWidth="1"/>
    <col min="2307" max="2307" width="5" style="90" customWidth="1"/>
    <col min="2308" max="2310" width="7.15234375" style="90" customWidth="1"/>
    <col min="2311" max="2311" width="5" style="90" customWidth="1"/>
    <col min="2312" max="2314" width="7.15234375" style="90" customWidth="1"/>
    <col min="2315" max="2558" width="9.15234375" style="90"/>
    <col min="2559" max="2559" width="33.15234375" style="90" bestFit="1" customWidth="1"/>
    <col min="2560" max="2562" width="7.15234375" style="90" customWidth="1"/>
    <col min="2563" max="2563" width="5" style="90" customWidth="1"/>
    <col min="2564" max="2566" width="7.15234375" style="90" customWidth="1"/>
    <col min="2567" max="2567" width="5" style="90" customWidth="1"/>
    <col min="2568" max="2570" width="7.15234375" style="90" customWidth="1"/>
    <col min="2571" max="2814" width="9.15234375" style="90"/>
    <col min="2815" max="2815" width="33.15234375" style="90" bestFit="1" customWidth="1"/>
    <col min="2816" max="2818" width="7.15234375" style="90" customWidth="1"/>
    <col min="2819" max="2819" width="5" style="90" customWidth="1"/>
    <col min="2820" max="2822" width="7.15234375" style="90" customWidth="1"/>
    <col min="2823" max="2823" width="5" style="90" customWidth="1"/>
    <col min="2824" max="2826" width="7.15234375" style="90" customWidth="1"/>
    <col min="2827" max="3070" width="9.15234375" style="90"/>
    <col min="3071" max="3071" width="33.15234375" style="90" bestFit="1" customWidth="1"/>
    <col min="3072" max="3074" width="7.15234375" style="90" customWidth="1"/>
    <col min="3075" max="3075" width="5" style="90" customWidth="1"/>
    <col min="3076" max="3078" width="7.15234375" style="90" customWidth="1"/>
    <col min="3079" max="3079" width="5" style="90" customWidth="1"/>
    <col min="3080" max="3082" width="7.15234375" style="90" customWidth="1"/>
    <col min="3083" max="3326" width="9.15234375" style="90"/>
    <col min="3327" max="3327" width="33.15234375" style="90" bestFit="1" customWidth="1"/>
    <col min="3328" max="3330" width="7.15234375" style="90" customWidth="1"/>
    <col min="3331" max="3331" width="5" style="90" customWidth="1"/>
    <col min="3332" max="3334" width="7.15234375" style="90" customWidth="1"/>
    <col min="3335" max="3335" width="5" style="90" customWidth="1"/>
    <col min="3336" max="3338" width="7.15234375" style="90" customWidth="1"/>
    <col min="3339" max="3582" width="9.15234375" style="90"/>
    <col min="3583" max="3583" width="33.15234375" style="90" bestFit="1" customWidth="1"/>
    <col min="3584" max="3586" width="7.15234375" style="90" customWidth="1"/>
    <col min="3587" max="3587" width="5" style="90" customWidth="1"/>
    <col min="3588" max="3590" width="7.15234375" style="90" customWidth="1"/>
    <col min="3591" max="3591" width="5" style="90" customWidth="1"/>
    <col min="3592" max="3594" width="7.15234375" style="90" customWidth="1"/>
    <col min="3595" max="3838" width="9.15234375" style="90"/>
    <col min="3839" max="3839" width="33.15234375" style="90" bestFit="1" customWidth="1"/>
    <col min="3840" max="3842" width="7.15234375" style="90" customWidth="1"/>
    <col min="3843" max="3843" width="5" style="90" customWidth="1"/>
    <col min="3844" max="3846" width="7.15234375" style="90" customWidth="1"/>
    <col min="3847" max="3847" width="5" style="90" customWidth="1"/>
    <col min="3848" max="3850" width="7.15234375" style="90" customWidth="1"/>
    <col min="3851" max="4094" width="9.15234375" style="90"/>
    <col min="4095" max="4095" width="33.15234375" style="90" bestFit="1" customWidth="1"/>
    <col min="4096" max="4098" width="7.15234375" style="90" customWidth="1"/>
    <col min="4099" max="4099" width="5" style="90" customWidth="1"/>
    <col min="4100" max="4102" width="7.15234375" style="90" customWidth="1"/>
    <col min="4103" max="4103" width="5" style="90" customWidth="1"/>
    <col min="4104" max="4106" width="7.15234375" style="90" customWidth="1"/>
    <col min="4107" max="4350" width="9.15234375" style="90"/>
    <col min="4351" max="4351" width="33.15234375" style="90" bestFit="1" customWidth="1"/>
    <col min="4352" max="4354" width="7.15234375" style="90" customWidth="1"/>
    <col min="4355" max="4355" width="5" style="90" customWidth="1"/>
    <col min="4356" max="4358" width="7.15234375" style="90" customWidth="1"/>
    <col min="4359" max="4359" width="5" style="90" customWidth="1"/>
    <col min="4360" max="4362" width="7.15234375" style="90" customWidth="1"/>
    <col min="4363" max="4606" width="9.15234375" style="90"/>
    <col min="4607" max="4607" width="33.15234375" style="90" bestFit="1" customWidth="1"/>
    <col min="4608" max="4610" width="7.15234375" style="90" customWidth="1"/>
    <col min="4611" max="4611" width="5" style="90" customWidth="1"/>
    <col min="4612" max="4614" width="7.15234375" style="90" customWidth="1"/>
    <col min="4615" max="4615" width="5" style="90" customWidth="1"/>
    <col min="4616" max="4618" width="7.15234375" style="90" customWidth="1"/>
    <col min="4619" max="4862" width="9.15234375" style="90"/>
    <col min="4863" max="4863" width="33.15234375" style="90" bestFit="1" customWidth="1"/>
    <col min="4864" max="4866" width="7.15234375" style="90" customWidth="1"/>
    <col min="4867" max="4867" width="5" style="90" customWidth="1"/>
    <col min="4868" max="4870" width="7.15234375" style="90" customWidth="1"/>
    <col min="4871" max="4871" width="5" style="90" customWidth="1"/>
    <col min="4872" max="4874" width="7.15234375" style="90" customWidth="1"/>
    <col min="4875" max="5118" width="9.15234375" style="90"/>
    <col min="5119" max="5119" width="33.15234375" style="90" bestFit="1" customWidth="1"/>
    <col min="5120" max="5122" width="7.15234375" style="90" customWidth="1"/>
    <col min="5123" max="5123" width="5" style="90" customWidth="1"/>
    <col min="5124" max="5126" width="7.15234375" style="90" customWidth="1"/>
    <col min="5127" max="5127" width="5" style="90" customWidth="1"/>
    <col min="5128" max="5130" width="7.15234375" style="90" customWidth="1"/>
    <col min="5131" max="5374" width="9.15234375" style="90"/>
    <col min="5375" max="5375" width="33.15234375" style="90" bestFit="1" customWidth="1"/>
    <col min="5376" max="5378" width="7.15234375" style="90" customWidth="1"/>
    <col min="5379" max="5379" width="5" style="90" customWidth="1"/>
    <col min="5380" max="5382" width="7.15234375" style="90" customWidth="1"/>
    <col min="5383" max="5383" width="5" style="90" customWidth="1"/>
    <col min="5384" max="5386" width="7.15234375" style="90" customWidth="1"/>
    <col min="5387" max="5630" width="9.15234375" style="90"/>
    <col min="5631" max="5631" width="33.15234375" style="90" bestFit="1" customWidth="1"/>
    <col min="5632" max="5634" width="7.15234375" style="90" customWidth="1"/>
    <col min="5635" max="5635" width="5" style="90" customWidth="1"/>
    <col min="5636" max="5638" width="7.15234375" style="90" customWidth="1"/>
    <col min="5639" max="5639" width="5" style="90" customWidth="1"/>
    <col min="5640" max="5642" width="7.15234375" style="90" customWidth="1"/>
    <col min="5643" max="5886" width="9.15234375" style="90"/>
    <col min="5887" max="5887" width="33.15234375" style="90" bestFit="1" customWidth="1"/>
    <col min="5888" max="5890" width="7.15234375" style="90" customWidth="1"/>
    <col min="5891" max="5891" width="5" style="90" customWidth="1"/>
    <col min="5892" max="5894" width="7.15234375" style="90" customWidth="1"/>
    <col min="5895" max="5895" width="5" style="90" customWidth="1"/>
    <col min="5896" max="5898" width="7.15234375" style="90" customWidth="1"/>
    <col min="5899" max="6142" width="9.15234375" style="90"/>
    <col min="6143" max="6143" width="33.15234375" style="90" bestFit="1" customWidth="1"/>
    <col min="6144" max="6146" width="7.15234375" style="90" customWidth="1"/>
    <col min="6147" max="6147" width="5" style="90" customWidth="1"/>
    <col min="6148" max="6150" width="7.15234375" style="90" customWidth="1"/>
    <col min="6151" max="6151" width="5" style="90" customWidth="1"/>
    <col min="6152" max="6154" width="7.15234375" style="90" customWidth="1"/>
    <col min="6155" max="6398" width="9.15234375" style="90"/>
    <col min="6399" max="6399" width="33.15234375" style="90" bestFit="1" customWidth="1"/>
    <col min="6400" max="6402" width="7.15234375" style="90" customWidth="1"/>
    <col min="6403" max="6403" width="5" style="90" customWidth="1"/>
    <col min="6404" max="6406" width="7.15234375" style="90" customWidth="1"/>
    <col min="6407" max="6407" width="5" style="90" customWidth="1"/>
    <col min="6408" max="6410" width="7.15234375" style="90" customWidth="1"/>
    <col min="6411" max="6654" width="9.15234375" style="90"/>
    <col min="6655" max="6655" width="33.15234375" style="90" bestFit="1" customWidth="1"/>
    <col min="6656" max="6658" width="7.15234375" style="90" customWidth="1"/>
    <col min="6659" max="6659" width="5" style="90" customWidth="1"/>
    <col min="6660" max="6662" width="7.15234375" style="90" customWidth="1"/>
    <col min="6663" max="6663" width="5" style="90" customWidth="1"/>
    <col min="6664" max="6666" width="7.15234375" style="90" customWidth="1"/>
    <col min="6667" max="6910" width="9.15234375" style="90"/>
    <col min="6911" max="6911" width="33.15234375" style="90" bestFit="1" customWidth="1"/>
    <col min="6912" max="6914" width="7.15234375" style="90" customWidth="1"/>
    <col min="6915" max="6915" width="5" style="90" customWidth="1"/>
    <col min="6916" max="6918" width="7.15234375" style="90" customWidth="1"/>
    <col min="6919" max="6919" width="5" style="90" customWidth="1"/>
    <col min="6920" max="6922" width="7.15234375" style="90" customWidth="1"/>
    <col min="6923" max="7166" width="9.15234375" style="90"/>
    <col min="7167" max="7167" width="33.15234375" style="90" bestFit="1" customWidth="1"/>
    <col min="7168" max="7170" width="7.15234375" style="90" customWidth="1"/>
    <col min="7171" max="7171" width="5" style="90" customWidth="1"/>
    <col min="7172" max="7174" width="7.15234375" style="90" customWidth="1"/>
    <col min="7175" max="7175" width="5" style="90" customWidth="1"/>
    <col min="7176" max="7178" width="7.15234375" style="90" customWidth="1"/>
    <col min="7179" max="7422" width="9.15234375" style="90"/>
    <col min="7423" max="7423" width="33.15234375" style="90" bestFit="1" customWidth="1"/>
    <col min="7424" max="7426" width="7.15234375" style="90" customWidth="1"/>
    <col min="7427" max="7427" width="5" style="90" customWidth="1"/>
    <col min="7428" max="7430" width="7.15234375" style="90" customWidth="1"/>
    <col min="7431" max="7431" width="5" style="90" customWidth="1"/>
    <col min="7432" max="7434" width="7.15234375" style="90" customWidth="1"/>
    <col min="7435" max="7678" width="9.15234375" style="90"/>
    <col min="7679" max="7679" width="33.15234375" style="90" bestFit="1" customWidth="1"/>
    <col min="7680" max="7682" width="7.15234375" style="90" customWidth="1"/>
    <col min="7683" max="7683" width="5" style="90" customWidth="1"/>
    <col min="7684" max="7686" width="7.15234375" style="90" customWidth="1"/>
    <col min="7687" max="7687" width="5" style="90" customWidth="1"/>
    <col min="7688" max="7690" width="7.15234375" style="90" customWidth="1"/>
    <col min="7691" max="7934" width="9.15234375" style="90"/>
    <col min="7935" max="7935" width="33.15234375" style="90" bestFit="1" customWidth="1"/>
    <col min="7936" max="7938" width="7.15234375" style="90" customWidth="1"/>
    <col min="7939" max="7939" width="5" style="90" customWidth="1"/>
    <col min="7940" max="7942" width="7.15234375" style="90" customWidth="1"/>
    <col min="7943" max="7943" width="5" style="90" customWidth="1"/>
    <col min="7944" max="7946" width="7.15234375" style="90" customWidth="1"/>
    <col min="7947" max="8190" width="9.15234375" style="90"/>
    <col min="8191" max="8191" width="33.15234375" style="90" bestFit="1" customWidth="1"/>
    <col min="8192" max="8194" width="7.15234375" style="90" customWidth="1"/>
    <col min="8195" max="8195" width="5" style="90" customWidth="1"/>
    <col min="8196" max="8198" width="7.15234375" style="90" customWidth="1"/>
    <col min="8199" max="8199" width="5" style="90" customWidth="1"/>
    <col min="8200" max="8202" width="7.15234375" style="90" customWidth="1"/>
    <col min="8203" max="8446" width="9.15234375" style="90"/>
    <col min="8447" max="8447" width="33.15234375" style="90" bestFit="1" customWidth="1"/>
    <col min="8448" max="8450" width="7.15234375" style="90" customWidth="1"/>
    <col min="8451" max="8451" width="5" style="90" customWidth="1"/>
    <col min="8452" max="8454" width="7.15234375" style="90" customWidth="1"/>
    <col min="8455" max="8455" width="5" style="90" customWidth="1"/>
    <col min="8456" max="8458" width="7.15234375" style="90" customWidth="1"/>
    <col min="8459" max="8702" width="9.15234375" style="90"/>
    <col min="8703" max="8703" width="33.15234375" style="90" bestFit="1" customWidth="1"/>
    <col min="8704" max="8706" width="7.15234375" style="90" customWidth="1"/>
    <col min="8707" max="8707" width="5" style="90" customWidth="1"/>
    <col min="8708" max="8710" width="7.15234375" style="90" customWidth="1"/>
    <col min="8711" max="8711" width="5" style="90" customWidth="1"/>
    <col min="8712" max="8714" width="7.15234375" style="90" customWidth="1"/>
    <col min="8715" max="8958" width="9.15234375" style="90"/>
    <col min="8959" max="8959" width="33.15234375" style="90" bestFit="1" customWidth="1"/>
    <col min="8960" max="8962" width="7.15234375" style="90" customWidth="1"/>
    <col min="8963" max="8963" width="5" style="90" customWidth="1"/>
    <col min="8964" max="8966" width="7.15234375" style="90" customWidth="1"/>
    <col min="8967" max="8967" width="5" style="90" customWidth="1"/>
    <col min="8968" max="8970" width="7.15234375" style="90" customWidth="1"/>
    <col min="8971" max="9214" width="9.15234375" style="90"/>
    <col min="9215" max="9215" width="33.15234375" style="90" bestFit="1" customWidth="1"/>
    <col min="9216" max="9218" width="7.15234375" style="90" customWidth="1"/>
    <col min="9219" max="9219" width="5" style="90" customWidth="1"/>
    <col min="9220" max="9222" width="7.15234375" style="90" customWidth="1"/>
    <col min="9223" max="9223" width="5" style="90" customWidth="1"/>
    <col min="9224" max="9226" width="7.15234375" style="90" customWidth="1"/>
    <col min="9227" max="9470" width="9.15234375" style="90"/>
    <col min="9471" max="9471" width="33.15234375" style="90" bestFit="1" customWidth="1"/>
    <col min="9472" max="9474" width="7.15234375" style="90" customWidth="1"/>
    <col min="9475" max="9475" width="5" style="90" customWidth="1"/>
    <col min="9476" max="9478" width="7.15234375" style="90" customWidth="1"/>
    <col min="9479" max="9479" width="5" style="90" customWidth="1"/>
    <col min="9480" max="9482" width="7.15234375" style="90" customWidth="1"/>
    <col min="9483" max="9726" width="9.15234375" style="90"/>
    <col min="9727" max="9727" width="33.15234375" style="90" bestFit="1" customWidth="1"/>
    <col min="9728" max="9730" width="7.15234375" style="90" customWidth="1"/>
    <col min="9731" max="9731" width="5" style="90" customWidth="1"/>
    <col min="9732" max="9734" width="7.15234375" style="90" customWidth="1"/>
    <col min="9735" max="9735" width="5" style="90" customWidth="1"/>
    <col min="9736" max="9738" width="7.15234375" style="90" customWidth="1"/>
    <col min="9739" max="9982" width="9.15234375" style="90"/>
    <col min="9983" max="9983" width="33.15234375" style="90" bestFit="1" customWidth="1"/>
    <col min="9984" max="9986" width="7.15234375" style="90" customWidth="1"/>
    <col min="9987" max="9987" width="5" style="90" customWidth="1"/>
    <col min="9988" max="9990" width="7.15234375" style="90" customWidth="1"/>
    <col min="9991" max="9991" width="5" style="90" customWidth="1"/>
    <col min="9992" max="9994" width="7.15234375" style="90" customWidth="1"/>
    <col min="9995" max="10238" width="9.15234375" style="90"/>
    <col min="10239" max="10239" width="33.15234375" style="90" bestFit="1" customWidth="1"/>
    <col min="10240" max="10242" width="7.15234375" style="90" customWidth="1"/>
    <col min="10243" max="10243" width="5" style="90" customWidth="1"/>
    <col min="10244" max="10246" width="7.15234375" style="90" customWidth="1"/>
    <col min="10247" max="10247" width="5" style="90" customWidth="1"/>
    <col min="10248" max="10250" width="7.15234375" style="90" customWidth="1"/>
    <col min="10251" max="10494" width="9.15234375" style="90"/>
    <col min="10495" max="10495" width="33.15234375" style="90" bestFit="1" customWidth="1"/>
    <col min="10496" max="10498" width="7.15234375" style="90" customWidth="1"/>
    <col min="10499" max="10499" width="5" style="90" customWidth="1"/>
    <col min="10500" max="10502" width="7.15234375" style="90" customWidth="1"/>
    <col min="10503" max="10503" width="5" style="90" customWidth="1"/>
    <col min="10504" max="10506" width="7.15234375" style="90" customWidth="1"/>
    <col min="10507" max="10750" width="9.15234375" style="90"/>
    <col min="10751" max="10751" width="33.15234375" style="90" bestFit="1" customWidth="1"/>
    <col min="10752" max="10754" width="7.15234375" style="90" customWidth="1"/>
    <col min="10755" max="10755" width="5" style="90" customWidth="1"/>
    <col min="10756" max="10758" width="7.15234375" style="90" customWidth="1"/>
    <col min="10759" max="10759" width="5" style="90" customWidth="1"/>
    <col min="10760" max="10762" width="7.15234375" style="90" customWidth="1"/>
    <col min="10763" max="11006" width="9.15234375" style="90"/>
    <col min="11007" max="11007" width="33.15234375" style="90" bestFit="1" customWidth="1"/>
    <col min="11008" max="11010" width="7.15234375" style="90" customWidth="1"/>
    <col min="11011" max="11011" width="5" style="90" customWidth="1"/>
    <col min="11012" max="11014" width="7.15234375" style="90" customWidth="1"/>
    <col min="11015" max="11015" width="5" style="90" customWidth="1"/>
    <col min="11016" max="11018" width="7.15234375" style="90" customWidth="1"/>
    <col min="11019" max="11262" width="9.15234375" style="90"/>
    <col min="11263" max="11263" width="33.15234375" style="90" bestFit="1" customWidth="1"/>
    <col min="11264" max="11266" width="7.15234375" style="90" customWidth="1"/>
    <col min="11267" max="11267" width="5" style="90" customWidth="1"/>
    <col min="11268" max="11270" width="7.15234375" style="90" customWidth="1"/>
    <col min="11271" max="11271" width="5" style="90" customWidth="1"/>
    <col min="11272" max="11274" width="7.15234375" style="90" customWidth="1"/>
    <col min="11275" max="11518" width="9.15234375" style="90"/>
    <col min="11519" max="11519" width="33.15234375" style="90" bestFit="1" customWidth="1"/>
    <col min="11520" max="11522" width="7.15234375" style="90" customWidth="1"/>
    <col min="11523" max="11523" width="5" style="90" customWidth="1"/>
    <col min="11524" max="11526" width="7.15234375" style="90" customWidth="1"/>
    <col min="11527" max="11527" width="5" style="90" customWidth="1"/>
    <col min="11528" max="11530" width="7.15234375" style="90" customWidth="1"/>
    <col min="11531" max="11774" width="9.15234375" style="90"/>
    <col min="11775" max="11775" width="33.15234375" style="90" bestFit="1" customWidth="1"/>
    <col min="11776" max="11778" width="7.15234375" style="90" customWidth="1"/>
    <col min="11779" max="11779" width="5" style="90" customWidth="1"/>
    <col min="11780" max="11782" width="7.15234375" style="90" customWidth="1"/>
    <col min="11783" max="11783" width="5" style="90" customWidth="1"/>
    <col min="11784" max="11786" width="7.15234375" style="90" customWidth="1"/>
    <col min="11787" max="12030" width="9.15234375" style="90"/>
    <col min="12031" max="12031" width="33.15234375" style="90" bestFit="1" customWidth="1"/>
    <col min="12032" max="12034" width="7.15234375" style="90" customWidth="1"/>
    <col min="12035" max="12035" width="5" style="90" customWidth="1"/>
    <col min="12036" max="12038" width="7.15234375" style="90" customWidth="1"/>
    <col min="12039" max="12039" width="5" style="90" customWidth="1"/>
    <col min="12040" max="12042" width="7.15234375" style="90" customWidth="1"/>
    <col min="12043" max="12286" width="9.15234375" style="90"/>
    <col min="12287" max="12287" width="33.15234375" style="90" bestFit="1" customWidth="1"/>
    <col min="12288" max="12290" width="7.15234375" style="90" customWidth="1"/>
    <col min="12291" max="12291" width="5" style="90" customWidth="1"/>
    <col min="12292" max="12294" width="7.15234375" style="90" customWidth="1"/>
    <col min="12295" max="12295" width="5" style="90" customWidth="1"/>
    <col min="12296" max="12298" width="7.15234375" style="90" customWidth="1"/>
    <col min="12299" max="12542" width="9.15234375" style="90"/>
    <col min="12543" max="12543" width="33.15234375" style="90" bestFit="1" customWidth="1"/>
    <col min="12544" max="12546" width="7.15234375" style="90" customWidth="1"/>
    <col min="12547" max="12547" width="5" style="90" customWidth="1"/>
    <col min="12548" max="12550" width="7.15234375" style="90" customWidth="1"/>
    <col min="12551" max="12551" width="5" style="90" customWidth="1"/>
    <col min="12552" max="12554" width="7.15234375" style="90" customWidth="1"/>
    <col min="12555" max="12798" width="9.15234375" style="90"/>
    <col min="12799" max="12799" width="33.15234375" style="90" bestFit="1" customWidth="1"/>
    <col min="12800" max="12802" width="7.15234375" style="90" customWidth="1"/>
    <col min="12803" max="12803" width="5" style="90" customWidth="1"/>
    <col min="12804" max="12806" width="7.15234375" style="90" customWidth="1"/>
    <col min="12807" max="12807" width="5" style="90" customWidth="1"/>
    <col min="12808" max="12810" width="7.15234375" style="90" customWidth="1"/>
    <col min="12811" max="13054" width="9.15234375" style="90"/>
    <col min="13055" max="13055" width="33.15234375" style="90" bestFit="1" customWidth="1"/>
    <col min="13056" max="13058" width="7.15234375" style="90" customWidth="1"/>
    <col min="13059" max="13059" width="5" style="90" customWidth="1"/>
    <col min="13060" max="13062" width="7.15234375" style="90" customWidth="1"/>
    <col min="13063" max="13063" width="5" style="90" customWidth="1"/>
    <col min="13064" max="13066" width="7.15234375" style="90" customWidth="1"/>
    <col min="13067" max="13310" width="9.15234375" style="90"/>
    <col min="13311" max="13311" width="33.15234375" style="90" bestFit="1" customWidth="1"/>
    <col min="13312" max="13314" width="7.15234375" style="90" customWidth="1"/>
    <col min="13315" max="13315" width="5" style="90" customWidth="1"/>
    <col min="13316" max="13318" width="7.15234375" style="90" customWidth="1"/>
    <col min="13319" max="13319" width="5" style="90" customWidth="1"/>
    <col min="13320" max="13322" width="7.15234375" style="90" customWidth="1"/>
    <col min="13323" max="13566" width="9.15234375" style="90"/>
    <col min="13567" max="13567" width="33.15234375" style="90" bestFit="1" customWidth="1"/>
    <col min="13568" max="13570" width="7.15234375" style="90" customWidth="1"/>
    <col min="13571" max="13571" width="5" style="90" customWidth="1"/>
    <col min="13572" max="13574" width="7.15234375" style="90" customWidth="1"/>
    <col min="13575" max="13575" width="5" style="90" customWidth="1"/>
    <col min="13576" max="13578" width="7.15234375" style="90" customWidth="1"/>
    <col min="13579" max="13822" width="9.15234375" style="90"/>
    <col min="13823" max="13823" width="33.15234375" style="90" bestFit="1" customWidth="1"/>
    <col min="13824" max="13826" width="7.15234375" style="90" customWidth="1"/>
    <col min="13827" max="13827" width="5" style="90" customWidth="1"/>
    <col min="13828" max="13830" width="7.15234375" style="90" customWidth="1"/>
    <col min="13831" max="13831" width="5" style="90" customWidth="1"/>
    <col min="13832" max="13834" width="7.15234375" style="90" customWidth="1"/>
    <col min="13835" max="14078" width="9.15234375" style="90"/>
    <col min="14079" max="14079" width="33.15234375" style="90" bestFit="1" customWidth="1"/>
    <col min="14080" max="14082" width="7.15234375" style="90" customWidth="1"/>
    <col min="14083" max="14083" width="5" style="90" customWidth="1"/>
    <col min="14084" max="14086" width="7.15234375" style="90" customWidth="1"/>
    <col min="14087" max="14087" width="5" style="90" customWidth="1"/>
    <col min="14088" max="14090" width="7.15234375" style="90" customWidth="1"/>
    <col min="14091" max="14334" width="9.15234375" style="90"/>
    <col min="14335" max="14335" width="33.15234375" style="90" bestFit="1" customWidth="1"/>
    <col min="14336" max="14338" width="7.15234375" style="90" customWidth="1"/>
    <col min="14339" max="14339" width="5" style="90" customWidth="1"/>
    <col min="14340" max="14342" width="7.15234375" style="90" customWidth="1"/>
    <col min="14343" max="14343" width="5" style="90" customWidth="1"/>
    <col min="14344" max="14346" width="7.15234375" style="90" customWidth="1"/>
    <col min="14347" max="14590" width="9.15234375" style="90"/>
    <col min="14591" max="14591" width="33.15234375" style="90" bestFit="1" customWidth="1"/>
    <col min="14592" max="14594" width="7.15234375" style="90" customWidth="1"/>
    <col min="14595" max="14595" width="5" style="90" customWidth="1"/>
    <col min="14596" max="14598" width="7.15234375" style="90" customWidth="1"/>
    <col min="14599" max="14599" width="5" style="90" customWidth="1"/>
    <col min="14600" max="14602" width="7.15234375" style="90" customWidth="1"/>
    <col min="14603" max="14846" width="9.15234375" style="90"/>
    <col min="14847" max="14847" width="33.15234375" style="90" bestFit="1" customWidth="1"/>
    <col min="14848" max="14850" width="7.15234375" style="90" customWidth="1"/>
    <col min="14851" max="14851" width="5" style="90" customWidth="1"/>
    <col min="14852" max="14854" width="7.15234375" style="90" customWidth="1"/>
    <col min="14855" max="14855" width="5" style="90" customWidth="1"/>
    <col min="14856" max="14858" width="7.15234375" style="90" customWidth="1"/>
    <col min="14859" max="15102" width="9.15234375" style="90"/>
    <col min="15103" max="15103" width="33.15234375" style="90" bestFit="1" customWidth="1"/>
    <col min="15104" max="15106" width="7.15234375" style="90" customWidth="1"/>
    <col min="15107" max="15107" width="5" style="90" customWidth="1"/>
    <col min="15108" max="15110" width="7.15234375" style="90" customWidth="1"/>
    <col min="15111" max="15111" width="5" style="90" customWidth="1"/>
    <col min="15112" max="15114" width="7.15234375" style="90" customWidth="1"/>
    <col min="15115" max="15358" width="9.15234375" style="90"/>
    <col min="15359" max="15359" width="33.15234375" style="90" bestFit="1" customWidth="1"/>
    <col min="15360" max="15362" width="7.15234375" style="90" customWidth="1"/>
    <col min="15363" max="15363" width="5" style="90" customWidth="1"/>
    <col min="15364" max="15366" width="7.15234375" style="90" customWidth="1"/>
    <col min="15367" max="15367" width="5" style="90" customWidth="1"/>
    <col min="15368" max="15370" width="7.15234375" style="90" customWidth="1"/>
    <col min="15371" max="15614" width="9.15234375" style="90"/>
    <col min="15615" max="15615" width="33.15234375" style="90" bestFit="1" customWidth="1"/>
    <col min="15616" max="15618" width="7.15234375" style="90" customWidth="1"/>
    <col min="15619" max="15619" width="5" style="90" customWidth="1"/>
    <col min="15620" max="15622" width="7.15234375" style="90" customWidth="1"/>
    <col min="15623" max="15623" width="5" style="90" customWidth="1"/>
    <col min="15624" max="15626" width="7.15234375" style="90" customWidth="1"/>
    <col min="15627" max="15870" width="9.15234375" style="90"/>
    <col min="15871" max="15871" width="33.15234375" style="90" bestFit="1" customWidth="1"/>
    <col min="15872" max="15874" width="7.15234375" style="90" customWidth="1"/>
    <col min="15875" max="15875" width="5" style="90" customWidth="1"/>
    <col min="15876" max="15878" width="7.15234375" style="90" customWidth="1"/>
    <col min="15879" max="15879" width="5" style="90" customWidth="1"/>
    <col min="15880" max="15882" width="7.15234375" style="90" customWidth="1"/>
    <col min="15883" max="16126" width="9.15234375" style="90"/>
    <col min="16127" max="16127" width="33.15234375" style="90" bestFit="1" customWidth="1"/>
    <col min="16128" max="16130" width="7.15234375" style="90" customWidth="1"/>
    <col min="16131" max="16131" width="5" style="90" customWidth="1"/>
    <col min="16132" max="16134" width="7.15234375" style="90" customWidth="1"/>
    <col min="16135" max="16135" width="5" style="90" customWidth="1"/>
    <col min="16136" max="16138" width="7.15234375" style="90" customWidth="1"/>
    <col min="16139" max="16384" width="9.15234375" style="90"/>
  </cols>
  <sheetData>
    <row r="1" spans="1:25" ht="15.45" x14ac:dyDescent="0.4">
      <c r="A1" s="18" t="str">
        <f>CONCATENATE("Occupation Table 4  Occuptation composition (SOC2020) by gender, ",B$6,"-",J$6,", ",Info!B5)</f>
        <v>Occupation Table 4  Occuptation composition (SOC2020) by gender, 2015-2035, United Kingdom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5" x14ac:dyDescent="0.3">
      <c r="A2" s="181" t="s">
        <v>535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5" ht="12.9" x14ac:dyDescent="0.35">
      <c r="B3" s="121"/>
      <c r="D3" s="121"/>
      <c r="F3" s="121"/>
      <c r="H3" s="121"/>
      <c r="J3" s="121"/>
      <c r="K3" s="236"/>
      <c r="L3" s="248"/>
      <c r="M3" s="236"/>
    </row>
    <row r="4" spans="1:25" x14ac:dyDescent="0.3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91"/>
      <c r="O4" s="91"/>
      <c r="P4" s="91"/>
      <c r="Q4" s="91"/>
      <c r="R4" s="91"/>
      <c r="S4" s="91"/>
      <c r="T4" s="91" t="s">
        <v>380</v>
      </c>
      <c r="U4" s="91"/>
    </row>
    <row r="5" spans="1:25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5" ht="14.25" customHeight="1" x14ac:dyDescent="0.35">
      <c r="A6" s="241" t="s">
        <v>0</v>
      </c>
      <c r="B6" s="373">
        <v>2015</v>
      </c>
      <c r="C6" s="374"/>
      <c r="D6" s="374"/>
      <c r="E6" s="325"/>
      <c r="F6" s="373">
        <v>2020</v>
      </c>
      <c r="G6" s="374"/>
      <c r="H6" s="374"/>
      <c r="I6" s="325"/>
      <c r="J6" s="373">
        <v>2035</v>
      </c>
      <c r="K6" s="374"/>
      <c r="L6" s="374"/>
      <c r="M6" s="324"/>
      <c r="N6" s="374" t="s">
        <v>99</v>
      </c>
      <c r="O6" s="374"/>
      <c r="P6" s="326"/>
      <c r="Q6" s="374" t="s">
        <v>98</v>
      </c>
      <c r="R6" s="374"/>
      <c r="S6" s="326"/>
      <c r="T6" s="374" t="s">
        <v>32</v>
      </c>
      <c r="U6" s="374"/>
    </row>
    <row r="7" spans="1:25" ht="15" customHeight="1" x14ac:dyDescent="0.3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79"/>
      <c r="T7" s="321" t="str">
        <f>CONCATENATE(B6,"-",RIGHT(F6,2))</f>
        <v>2015-20</v>
      </c>
      <c r="U7" s="321" t="str">
        <f>CONCATENATE(F6,"-",RIGHT(J6,2))</f>
        <v>2020-35</v>
      </c>
    </row>
    <row r="8" spans="1:25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5" x14ac:dyDescent="0.3">
      <c r="A9" s="329" t="str">
        <f>name!D4</f>
        <v>11 Corporate managers and directors</v>
      </c>
      <c r="B9" s="330">
        <v>659.43391192539218</v>
      </c>
      <c r="C9" s="330">
        <v>1488.53741181797</v>
      </c>
      <c r="D9" s="330">
        <f>SUM(B9:C9)</f>
        <v>2147.9713237433621</v>
      </c>
      <c r="E9" s="331"/>
      <c r="F9" s="330">
        <v>882.78203126444043</v>
      </c>
      <c r="G9" s="330">
        <v>1720.8329322223399</v>
      </c>
      <c r="H9" s="330">
        <f>SUM(F9:G9)</f>
        <v>2603.6149634867802</v>
      </c>
      <c r="I9" s="331"/>
      <c r="J9" s="330">
        <v>1036.5752465545781</v>
      </c>
      <c r="K9" s="330">
        <v>1644.7022880612631</v>
      </c>
      <c r="L9" s="330">
        <f>SUM(J9:K9)</f>
        <v>2681.2775346158414</v>
      </c>
      <c r="M9" s="236"/>
      <c r="N9" s="328">
        <f>IF(B9&gt;0,(EXP(LN(F9/B9)/($F$6-$B$6))-1)*100,0)</f>
        <v>6.007463119106049</v>
      </c>
      <c r="O9" s="328">
        <f>IF(F9&gt;0,(EXP(LN(J9/F9)/($J$6-$F$6))-1)*100,0)</f>
        <v>1.0764134629706268</v>
      </c>
      <c r="P9" s="328"/>
      <c r="Q9" s="328">
        <f>IF(C9&gt;0,(EXP(LN(G9/C9)/($F$6-$B$6))-1)*100,0)</f>
        <v>2.9427559523809821</v>
      </c>
      <c r="R9" s="328">
        <f>IF(G9&gt;0,(EXP(LN(K9/G9)/($J$6-$F$6))-1)*100,0)</f>
        <v>-0.30120578635519646</v>
      </c>
      <c r="S9" s="327"/>
      <c r="T9" s="328">
        <f>IF(D9&gt;0,(EXP(LN(H9/D9)/($F$6-$B$6))-1)*100,0)</f>
        <v>3.9225168006375988</v>
      </c>
      <c r="U9" s="328">
        <f>IF(H9&gt;0,(EXP(LN(L9/H9)/($J$6-$F$6))-1)*100,0)</f>
        <v>0.19614226132440571</v>
      </c>
      <c r="W9" s="93"/>
      <c r="X9" s="93"/>
      <c r="Y9" s="93"/>
    </row>
    <row r="10" spans="1:25" x14ac:dyDescent="0.3">
      <c r="A10" s="329" t="str">
        <f>name!D5</f>
        <v>12 Other managers and proprietors</v>
      </c>
      <c r="B10" s="330">
        <v>416.84109867776584</v>
      </c>
      <c r="C10" s="330">
        <v>640.61271591505101</v>
      </c>
      <c r="D10" s="330">
        <f t="shared" ref="D10:D34" si="0">SUM(B10:C10)</f>
        <v>1057.4538145928168</v>
      </c>
      <c r="E10" s="331"/>
      <c r="F10" s="330">
        <v>477.0329101483984</v>
      </c>
      <c r="G10" s="330">
        <v>665.91132841955607</v>
      </c>
      <c r="H10" s="330">
        <f t="shared" ref="H10:H34" si="1">SUM(F10:G10)</f>
        <v>1142.9442385679545</v>
      </c>
      <c r="I10" s="331"/>
      <c r="J10" s="330">
        <v>663.11737901932031</v>
      </c>
      <c r="K10" s="330">
        <v>973.8539567186217</v>
      </c>
      <c r="L10" s="330">
        <f t="shared" ref="L10:L34" si="2">SUM(J10:K10)</f>
        <v>1636.9713357379419</v>
      </c>
      <c r="M10" s="236"/>
      <c r="N10" s="328">
        <f t="shared" ref="N10:N36" si="3">IF(B10&gt;0,(EXP(LN(F10/B10)/($F$6-$B$6))-1)*100,0)</f>
        <v>2.7343226709901414</v>
      </c>
      <c r="O10" s="328">
        <f t="shared" ref="O10:O36" si="4">IF(F10&gt;0,(EXP(LN(J10/F10)/($J$6-$F$6))-1)*100,0)</f>
        <v>2.220061495341219</v>
      </c>
      <c r="P10" s="328"/>
      <c r="Q10" s="328">
        <f t="shared" ref="Q10:Q36" si="5">IF(C10&gt;0,(EXP(LN(G10/C10)/($F$6-$B$6))-1)*100,0)</f>
        <v>0.77763669352595155</v>
      </c>
      <c r="R10" s="328">
        <f t="shared" ref="R10:R36" si="6">IF(G10&gt;0,(EXP(LN(K10/G10)/($J$6-$F$6))-1)*100,0)</f>
        <v>2.5664117162725653</v>
      </c>
      <c r="S10" s="327"/>
      <c r="T10" s="328">
        <f t="shared" ref="T10:T36" si="7">IF(D10&gt;0,(EXP(LN(H10/D10)/($F$6-$B$6))-1)*100,0)</f>
        <v>1.5670238762415023</v>
      </c>
      <c r="U10" s="328">
        <f t="shared" ref="U10:U36" si="8">IF(H10&gt;0,(EXP(LN(L10/H10)/($J$6-$F$6))-1)*100,0)</f>
        <v>2.4238434770714523</v>
      </c>
    </row>
    <row r="11" spans="1:25" x14ac:dyDescent="0.3">
      <c r="A11" s="329" t="str">
        <f>name!D6</f>
        <v>21 Science, research, engineering and technology professionals</v>
      </c>
      <c r="B11" s="330">
        <v>371.52369112881331</v>
      </c>
      <c r="C11" s="330">
        <v>1432.9207422192851</v>
      </c>
      <c r="D11" s="330">
        <f t="shared" si="0"/>
        <v>1804.4444333480983</v>
      </c>
      <c r="E11" s="331"/>
      <c r="F11" s="330">
        <v>506.41451291559548</v>
      </c>
      <c r="G11" s="330">
        <v>1662.0748855520801</v>
      </c>
      <c r="H11" s="330">
        <f t="shared" si="1"/>
        <v>2168.4893984676755</v>
      </c>
      <c r="I11" s="331"/>
      <c r="J11" s="330">
        <v>718.01768529070887</v>
      </c>
      <c r="K11" s="330">
        <v>1844.9651379133611</v>
      </c>
      <c r="L11" s="330">
        <f t="shared" si="2"/>
        <v>2562.98282320407</v>
      </c>
      <c r="M11" s="236"/>
      <c r="N11" s="328">
        <f t="shared" si="3"/>
        <v>6.3907636285694736</v>
      </c>
      <c r="O11" s="328">
        <f t="shared" si="4"/>
        <v>2.3548909379822458</v>
      </c>
      <c r="P11" s="328"/>
      <c r="Q11" s="328">
        <f t="shared" si="5"/>
        <v>3.0114934507345481</v>
      </c>
      <c r="R11" s="328">
        <f t="shared" si="6"/>
        <v>0.6983849388027652</v>
      </c>
      <c r="S11" s="327"/>
      <c r="T11" s="328">
        <f t="shared" si="7"/>
        <v>3.7439448814436727</v>
      </c>
      <c r="U11" s="328">
        <f t="shared" si="8"/>
        <v>1.1205041449081632</v>
      </c>
    </row>
    <row r="12" spans="1:25" x14ac:dyDescent="0.3">
      <c r="A12" s="329" t="str">
        <f>name!D7</f>
        <v>22 Health professionals</v>
      </c>
      <c r="B12" s="330">
        <v>1083.192320786605</v>
      </c>
      <c r="C12" s="330">
        <v>348.51242946675166</v>
      </c>
      <c r="D12" s="330">
        <f t="shared" si="0"/>
        <v>1431.7047502533567</v>
      </c>
      <c r="E12" s="331"/>
      <c r="F12" s="330">
        <v>1214.0779121629612</v>
      </c>
      <c r="G12" s="330">
        <v>438.61157204045008</v>
      </c>
      <c r="H12" s="330">
        <f t="shared" si="1"/>
        <v>1652.6894842034112</v>
      </c>
      <c r="I12" s="331"/>
      <c r="J12" s="330">
        <v>1445.984441016122</v>
      </c>
      <c r="K12" s="330">
        <v>516.79353321025303</v>
      </c>
      <c r="L12" s="330">
        <f t="shared" si="2"/>
        <v>1962.7779742263751</v>
      </c>
      <c r="M12" s="236"/>
      <c r="N12" s="328">
        <f t="shared" si="3"/>
        <v>2.3076707418887565</v>
      </c>
      <c r="O12" s="328">
        <f t="shared" si="4"/>
        <v>1.1721868575655714</v>
      </c>
      <c r="P12" s="328"/>
      <c r="Q12" s="328">
        <f t="shared" si="5"/>
        <v>4.7061914093193824</v>
      </c>
      <c r="R12" s="328">
        <f t="shared" si="6"/>
        <v>1.099529003158084</v>
      </c>
      <c r="S12" s="327"/>
      <c r="T12" s="328">
        <f t="shared" si="7"/>
        <v>2.9123652027058577</v>
      </c>
      <c r="U12" s="328">
        <f t="shared" si="8"/>
        <v>1.1529751203581684</v>
      </c>
    </row>
    <row r="13" spans="1:25" x14ac:dyDescent="0.3">
      <c r="A13" s="329" t="str">
        <f>name!D8</f>
        <v>23 Teaching and other educational professionals</v>
      </c>
      <c r="B13" s="330">
        <v>1089.8378534021531</v>
      </c>
      <c r="C13" s="330">
        <v>557.14083635597501</v>
      </c>
      <c r="D13" s="330">
        <f t="shared" si="0"/>
        <v>1646.978689758128</v>
      </c>
      <c r="E13" s="331"/>
      <c r="F13" s="330">
        <v>1228.1284682655059</v>
      </c>
      <c r="G13" s="330">
        <v>586.26652337732412</v>
      </c>
      <c r="H13" s="330">
        <f t="shared" si="1"/>
        <v>1814.3949916428301</v>
      </c>
      <c r="I13" s="331"/>
      <c r="J13" s="330">
        <v>1396.6214538050767</v>
      </c>
      <c r="K13" s="330">
        <v>685.40402395056765</v>
      </c>
      <c r="L13" s="330">
        <f t="shared" si="2"/>
        <v>2082.0254777556443</v>
      </c>
      <c r="M13" s="236"/>
      <c r="N13" s="328">
        <f t="shared" si="3"/>
        <v>2.4180215319055565</v>
      </c>
      <c r="O13" s="328">
        <f t="shared" si="4"/>
        <v>0.8607811486152972</v>
      </c>
      <c r="P13" s="328"/>
      <c r="Q13" s="328">
        <f t="shared" si="5"/>
        <v>1.0243397703224577</v>
      </c>
      <c r="R13" s="328">
        <f t="shared" si="6"/>
        <v>1.0470029568453221</v>
      </c>
      <c r="S13" s="327"/>
      <c r="T13" s="328">
        <f t="shared" si="7"/>
        <v>1.9550569832339715</v>
      </c>
      <c r="U13" s="328">
        <f t="shared" si="8"/>
        <v>0.92148061686943006</v>
      </c>
    </row>
    <row r="14" spans="1:25" x14ac:dyDescent="0.3">
      <c r="A14" s="329" t="str">
        <f>name!D9</f>
        <v>24 Business, media and public service professionals</v>
      </c>
      <c r="B14" s="330">
        <v>833.5863074695111</v>
      </c>
      <c r="C14" s="330">
        <v>1168.767664704611</v>
      </c>
      <c r="D14" s="330">
        <f t="shared" si="0"/>
        <v>2002.3539721741222</v>
      </c>
      <c r="E14" s="331"/>
      <c r="F14" s="330">
        <v>1156.9300593073121</v>
      </c>
      <c r="G14" s="330">
        <v>1407.0757765791584</v>
      </c>
      <c r="H14" s="330">
        <f t="shared" si="1"/>
        <v>2564.0058358864708</v>
      </c>
      <c r="I14" s="331"/>
      <c r="J14" s="330">
        <v>1504.374184587836</v>
      </c>
      <c r="K14" s="330">
        <v>1729.656620679872</v>
      </c>
      <c r="L14" s="330">
        <f t="shared" si="2"/>
        <v>3234.0308052677083</v>
      </c>
      <c r="M14" s="236"/>
      <c r="N14" s="328">
        <f t="shared" si="3"/>
        <v>6.7754244645379602</v>
      </c>
      <c r="O14" s="328">
        <f t="shared" si="4"/>
        <v>1.7661280843652927</v>
      </c>
      <c r="P14" s="328"/>
      <c r="Q14" s="328">
        <f t="shared" si="5"/>
        <v>3.7810020645823839</v>
      </c>
      <c r="R14" s="328">
        <f t="shared" si="6"/>
        <v>1.3855731083277423</v>
      </c>
      <c r="S14" s="327"/>
      <c r="T14" s="328">
        <f t="shared" si="7"/>
        <v>5.0692497406298109</v>
      </c>
      <c r="U14" s="328">
        <f t="shared" si="8"/>
        <v>1.5597624086441053</v>
      </c>
    </row>
    <row r="15" spans="1:25" x14ac:dyDescent="0.3">
      <c r="A15" s="329" t="str">
        <f>name!D10</f>
        <v>31 Science, engineering and technology associate professionals</v>
      </c>
      <c r="B15" s="330">
        <v>148.5810251429665</v>
      </c>
      <c r="C15" s="330">
        <v>394.55308818822698</v>
      </c>
      <c r="D15" s="330">
        <f t="shared" si="0"/>
        <v>543.13411333119348</v>
      </c>
      <c r="E15" s="331"/>
      <c r="F15" s="330">
        <v>193.87189344039913</v>
      </c>
      <c r="G15" s="330">
        <v>500.28833279764387</v>
      </c>
      <c r="H15" s="330">
        <f t="shared" si="1"/>
        <v>694.16022623804304</v>
      </c>
      <c r="I15" s="331"/>
      <c r="J15" s="330">
        <v>238.57338953704709</v>
      </c>
      <c r="K15" s="330">
        <v>421.58132941767383</v>
      </c>
      <c r="L15" s="330">
        <f t="shared" si="2"/>
        <v>660.15471895472092</v>
      </c>
      <c r="M15" s="236"/>
      <c r="N15" s="328">
        <f t="shared" si="3"/>
        <v>5.4654719124629381</v>
      </c>
      <c r="O15" s="328">
        <f t="shared" si="4"/>
        <v>1.3928062669277042</v>
      </c>
      <c r="P15" s="328"/>
      <c r="Q15" s="328">
        <f t="shared" si="5"/>
        <v>4.863170804134076</v>
      </c>
      <c r="R15" s="328">
        <f t="shared" si="6"/>
        <v>-1.1346595373290969</v>
      </c>
      <c r="S15" s="327"/>
      <c r="T15" s="328">
        <f t="shared" si="7"/>
        <v>5.029314027228482</v>
      </c>
      <c r="U15" s="328">
        <f t="shared" si="8"/>
        <v>-0.33429715990578313</v>
      </c>
    </row>
    <row r="16" spans="1:25" x14ac:dyDescent="0.3">
      <c r="A16" s="329" t="str">
        <f>name!D11</f>
        <v>32 Health and social care associate professionals</v>
      </c>
      <c r="B16" s="330">
        <v>456.67642025589413</v>
      </c>
      <c r="C16" s="330">
        <v>138.27212934363146</v>
      </c>
      <c r="D16" s="330">
        <f t="shared" si="0"/>
        <v>594.94854959952556</v>
      </c>
      <c r="E16" s="331"/>
      <c r="F16" s="330">
        <v>527.36911066459652</v>
      </c>
      <c r="G16" s="330">
        <v>156.97759783482422</v>
      </c>
      <c r="H16" s="330">
        <f t="shared" si="1"/>
        <v>684.34670849942074</v>
      </c>
      <c r="I16" s="331"/>
      <c r="J16" s="330">
        <v>612.23713619788953</v>
      </c>
      <c r="K16" s="330">
        <v>153.78648779451717</v>
      </c>
      <c r="L16" s="330">
        <f t="shared" si="2"/>
        <v>766.02362399240667</v>
      </c>
      <c r="M16" s="236"/>
      <c r="N16" s="328">
        <f t="shared" si="3"/>
        <v>2.9203418563705119</v>
      </c>
      <c r="O16" s="328">
        <f t="shared" si="4"/>
        <v>0.99975772817904041</v>
      </c>
      <c r="P16" s="328"/>
      <c r="Q16" s="328">
        <f t="shared" si="5"/>
        <v>2.5700590676784874</v>
      </c>
      <c r="R16" s="328">
        <f t="shared" si="6"/>
        <v>-0.1368256994833672</v>
      </c>
      <c r="S16" s="327"/>
      <c r="T16" s="328">
        <f t="shared" si="7"/>
        <v>2.8393574654617559</v>
      </c>
      <c r="U16" s="328">
        <f t="shared" si="8"/>
        <v>0.75448760189014141</v>
      </c>
    </row>
    <row r="17" spans="1:21" x14ac:dyDescent="0.3">
      <c r="A17" s="329" t="str">
        <f>name!D12</f>
        <v>33 Protective service occupations</v>
      </c>
      <c r="B17" s="330">
        <v>83.036121563037412</v>
      </c>
      <c r="C17" s="330">
        <v>280.31060788525781</v>
      </c>
      <c r="D17" s="330">
        <f t="shared" si="0"/>
        <v>363.34672944829521</v>
      </c>
      <c r="E17" s="331"/>
      <c r="F17" s="330">
        <v>104.48406298614599</v>
      </c>
      <c r="G17" s="330">
        <v>292.46834058914482</v>
      </c>
      <c r="H17" s="330">
        <f t="shared" si="1"/>
        <v>396.95240357529082</v>
      </c>
      <c r="I17" s="331"/>
      <c r="J17" s="330">
        <v>182.96371238156686</v>
      </c>
      <c r="K17" s="330">
        <v>357.77705834718284</v>
      </c>
      <c r="L17" s="330">
        <f t="shared" si="2"/>
        <v>540.74077072874968</v>
      </c>
      <c r="M17" s="236"/>
      <c r="N17" s="328">
        <f t="shared" si="3"/>
        <v>4.7023909636914496</v>
      </c>
      <c r="O17" s="328">
        <f t="shared" si="4"/>
        <v>3.8056504483941822</v>
      </c>
      <c r="P17" s="328"/>
      <c r="Q17" s="328">
        <f t="shared" si="5"/>
        <v>0.85277803703087685</v>
      </c>
      <c r="R17" s="328">
        <f t="shared" si="6"/>
        <v>1.3527589413654839</v>
      </c>
      <c r="S17" s="327"/>
      <c r="T17" s="328">
        <f t="shared" si="7"/>
        <v>1.7849191764324868</v>
      </c>
      <c r="U17" s="328">
        <f t="shared" si="8"/>
        <v>2.082205698798778</v>
      </c>
    </row>
    <row r="18" spans="1:21" x14ac:dyDescent="0.3">
      <c r="A18" s="329" t="str">
        <f>name!D13</f>
        <v>34 Culture, media and sports occupations</v>
      </c>
      <c r="B18" s="330">
        <v>312.98185099036266</v>
      </c>
      <c r="C18" s="330">
        <v>378.01213024048917</v>
      </c>
      <c r="D18" s="330">
        <f t="shared" si="0"/>
        <v>690.99398123085189</v>
      </c>
      <c r="E18" s="331"/>
      <c r="F18" s="330">
        <v>370.20708073960736</v>
      </c>
      <c r="G18" s="330">
        <v>382.48993957074305</v>
      </c>
      <c r="H18" s="330">
        <f t="shared" si="1"/>
        <v>752.69702031035035</v>
      </c>
      <c r="I18" s="331"/>
      <c r="J18" s="330">
        <v>408.26652089850245</v>
      </c>
      <c r="K18" s="330">
        <v>422.97114045864595</v>
      </c>
      <c r="L18" s="330">
        <f t="shared" si="2"/>
        <v>831.23766135714845</v>
      </c>
      <c r="M18" s="236"/>
      <c r="N18" s="328">
        <f t="shared" si="3"/>
        <v>3.4153755136413277</v>
      </c>
      <c r="O18" s="328">
        <f t="shared" si="4"/>
        <v>0.65451714195476907</v>
      </c>
      <c r="P18" s="328"/>
      <c r="Q18" s="328">
        <f t="shared" si="5"/>
        <v>0.23579887844127345</v>
      </c>
      <c r="R18" s="328">
        <f t="shared" si="6"/>
        <v>0.67293140817616948</v>
      </c>
      <c r="S18" s="327"/>
      <c r="T18" s="328">
        <f t="shared" si="7"/>
        <v>1.7253485179053563</v>
      </c>
      <c r="U18" s="328">
        <f t="shared" si="8"/>
        <v>0.66388041453961932</v>
      </c>
    </row>
    <row r="19" spans="1:21" x14ac:dyDescent="0.3">
      <c r="A19" s="329" t="str">
        <f>name!D14</f>
        <v>35 Business and public service associate professionals</v>
      </c>
      <c r="B19" s="330">
        <v>940.08118843553086</v>
      </c>
      <c r="C19" s="330">
        <v>1086.9658802670947</v>
      </c>
      <c r="D19" s="330">
        <f t="shared" si="0"/>
        <v>2027.0470687026254</v>
      </c>
      <c r="E19" s="331"/>
      <c r="F19" s="330">
        <v>1069.3339214157434</v>
      </c>
      <c r="G19" s="330">
        <v>1184.4336164975182</v>
      </c>
      <c r="H19" s="330">
        <f t="shared" si="1"/>
        <v>2253.7675379132615</v>
      </c>
      <c r="I19" s="331"/>
      <c r="J19" s="330">
        <v>1168.9722356011355</v>
      </c>
      <c r="K19" s="330">
        <v>1111.1879352883907</v>
      </c>
      <c r="L19" s="330">
        <f t="shared" si="2"/>
        <v>2280.1601708895259</v>
      </c>
      <c r="M19" s="236"/>
      <c r="N19" s="328">
        <f t="shared" si="3"/>
        <v>2.6099784237866519</v>
      </c>
      <c r="O19" s="328">
        <f t="shared" si="4"/>
        <v>0.59569377638366561</v>
      </c>
      <c r="P19" s="328"/>
      <c r="Q19" s="328">
        <f t="shared" si="5"/>
        <v>1.7323232697434632</v>
      </c>
      <c r="R19" s="328">
        <f t="shared" si="6"/>
        <v>-0.42466271057735039</v>
      </c>
      <c r="S19" s="327"/>
      <c r="T19" s="328">
        <f t="shared" si="7"/>
        <v>2.1431053674809686</v>
      </c>
      <c r="U19" s="328">
        <f t="shared" si="8"/>
        <v>7.7646220584481895E-2</v>
      </c>
    </row>
    <row r="20" spans="1:21" x14ac:dyDescent="0.3">
      <c r="A20" s="329" t="str">
        <f>name!D15</f>
        <v>41 Administrative occupations</v>
      </c>
      <c r="B20" s="330">
        <v>2089.6353870565431</v>
      </c>
      <c r="C20" s="330">
        <v>893.66210959378532</v>
      </c>
      <c r="D20" s="330">
        <f t="shared" si="0"/>
        <v>2983.2974966503284</v>
      </c>
      <c r="E20" s="331"/>
      <c r="F20" s="330">
        <v>2060.9002547299101</v>
      </c>
      <c r="G20" s="330">
        <v>1004.9447572906457</v>
      </c>
      <c r="H20" s="330">
        <f t="shared" si="1"/>
        <v>3065.8450120205557</v>
      </c>
      <c r="I20" s="331"/>
      <c r="J20" s="330">
        <v>1647.1278153864282</v>
      </c>
      <c r="K20" s="330">
        <v>1037.3803456113635</v>
      </c>
      <c r="L20" s="330">
        <f t="shared" si="2"/>
        <v>2684.5081609977915</v>
      </c>
      <c r="M20" s="236"/>
      <c r="N20" s="328">
        <f t="shared" si="3"/>
        <v>-0.27655070419365657</v>
      </c>
      <c r="O20" s="328">
        <f t="shared" si="4"/>
        <v>-1.4829598904517627</v>
      </c>
      <c r="P20" s="328"/>
      <c r="Q20" s="328">
        <f t="shared" si="5"/>
        <v>2.3749656005743303</v>
      </c>
      <c r="R20" s="328">
        <f t="shared" si="6"/>
        <v>0.21199816441863639</v>
      </c>
      <c r="S20" s="327"/>
      <c r="T20" s="328">
        <f t="shared" si="7"/>
        <v>0.54737258682779899</v>
      </c>
      <c r="U20" s="328">
        <f t="shared" si="8"/>
        <v>-0.88159560569438522</v>
      </c>
    </row>
    <row r="21" spans="1:21" x14ac:dyDescent="0.3">
      <c r="A21" s="329" t="str">
        <f>name!D16</f>
        <v>42 Secretarial and related occupations</v>
      </c>
      <c r="B21" s="330">
        <v>695.00697002620927</v>
      </c>
      <c r="C21" s="330">
        <v>57.308113796816293</v>
      </c>
      <c r="D21" s="330">
        <f t="shared" si="0"/>
        <v>752.31508382302559</v>
      </c>
      <c r="E21" s="331"/>
      <c r="F21" s="330">
        <v>632.60656565700947</v>
      </c>
      <c r="G21" s="330">
        <v>43.291709779888208</v>
      </c>
      <c r="H21" s="330">
        <f t="shared" si="1"/>
        <v>675.89827543689762</v>
      </c>
      <c r="I21" s="331"/>
      <c r="J21" s="330">
        <v>500.874974782295</v>
      </c>
      <c r="K21" s="330">
        <v>69.579679642121931</v>
      </c>
      <c r="L21" s="330">
        <f t="shared" si="2"/>
        <v>570.45465442441696</v>
      </c>
      <c r="M21" s="236"/>
      <c r="N21" s="328">
        <f t="shared" si="3"/>
        <v>-1.8638746484290314</v>
      </c>
      <c r="O21" s="328">
        <f t="shared" si="4"/>
        <v>-1.5445618492594959</v>
      </c>
      <c r="P21" s="328"/>
      <c r="Q21" s="328">
        <f t="shared" si="5"/>
        <v>-5.4551831775710653</v>
      </c>
      <c r="R21" s="328">
        <f t="shared" si="6"/>
        <v>3.2139769992395761</v>
      </c>
      <c r="S21" s="327"/>
      <c r="T21" s="328">
        <f t="shared" si="7"/>
        <v>-2.1194696646936406</v>
      </c>
      <c r="U21" s="328">
        <f t="shared" si="8"/>
        <v>-1.1243573359091985</v>
      </c>
    </row>
    <row r="22" spans="1:21" x14ac:dyDescent="0.3">
      <c r="A22" s="329" t="str">
        <f>name!D17</f>
        <v>51 Skilled agricultural and related trades</v>
      </c>
      <c r="B22" s="330">
        <v>62.798235382114889</v>
      </c>
      <c r="C22" s="330">
        <v>341.95723307717464</v>
      </c>
      <c r="D22" s="330">
        <f t="shared" si="0"/>
        <v>404.75546845928955</v>
      </c>
      <c r="E22" s="331"/>
      <c r="F22" s="330">
        <v>72.495122254634566</v>
      </c>
      <c r="G22" s="330">
        <v>303.97513289187032</v>
      </c>
      <c r="H22" s="330">
        <f t="shared" si="1"/>
        <v>376.47025514650488</v>
      </c>
      <c r="I22" s="331"/>
      <c r="J22" s="330">
        <v>99.749245401773436</v>
      </c>
      <c r="K22" s="330">
        <v>323.74337055390657</v>
      </c>
      <c r="L22" s="330">
        <f t="shared" si="2"/>
        <v>423.49261595567998</v>
      </c>
      <c r="M22" s="236"/>
      <c r="N22" s="328">
        <f t="shared" si="3"/>
        <v>2.9134812362613838</v>
      </c>
      <c r="O22" s="328">
        <f t="shared" si="4"/>
        <v>2.1503962158497814</v>
      </c>
      <c r="P22" s="328"/>
      <c r="Q22" s="328">
        <f t="shared" si="5"/>
        <v>-2.3272866653946012</v>
      </c>
      <c r="R22" s="328">
        <f t="shared" si="6"/>
        <v>0.4209182989781457</v>
      </c>
      <c r="S22" s="327"/>
      <c r="T22" s="328">
        <f t="shared" si="7"/>
        <v>-1.4384354784026998</v>
      </c>
      <c r="U22" s="328">
        <f t="shared" si="8"/>
        <v>0.78773333885659991</v>
      </c>
    </row>
    <row r="23" spans="1:21" x14ac:dyDescent="0.3">
      <c r="A23" s="329" t="str">
        <f>name!D18</f>
        <v>52 Skilled metal, electrical and electronic trades</v>
      </c>
      <c r="B23" s="330">
        <v>20.989329983770912</v>
      </c>
      <c r="C23" s="330">
        <v>1222.0144277699078</v>
      </c>
      <c r="D23" s="330">
        <f t="shared" si="0"/>
        <v>1243.0037577536787</v>
      </c>
      <c r="E23" s="331"/>
      <c r="F23" s="330">
        <v>27.183479451981629</v>
      </c>
      <c r="G23" s="330">
        <v>1074.7938787991336</v>
      </c>
      <c r="H23" s="330">
        <f t="shared" si="1"/>
        <v>1101.9773582511152</v>
      </c>
      <c r="I23" s="331"/>
      <c r="J23" s="330">
        <v>78.175111327874617</v>
      </c>
      <c r="K23" s="330">
        <v>951.98728285514289</v>
      </c>
      <c r="L23" s="330">
        <f t="shared" si="2"/>
        <v>1030.1623941830176</v>
      </c>
      <c r="M23" s="236"/>
      <c r="N23" s="328">
        <f t="shared" si="3"/>
        <v>5.3079828289576581</v>
      </c>
      <c r="O23" s="328">
        <f t="shared" si="4"/>
        <v>7.2961727274221344</v>
      </c>
      <c r="P23" s="328"/>
      <c r="Q23" s="328">
        <f t="shared" si="5"/>
        <v>-2.5347569389927549</v>
      </c>
      <c r="R23" s="328">
        <f t="shared" si="6"/>
        <v>-0.80562070923732021</v>
      </c>
      <c r="S23" s="327"/>
      <c r="T23" s="328">
        <f t="shared" si="7"/>
        <v>-2.3797206803341076</v>
      </c>
      <c r="U23" s="328">
        <f t="shared" si="8"/>
        <v>-0.44825705159885487</v>
      </c>
    </row>
    <row r="24" spans="1:21" x14ac:dyDescent="0.3">
      <c r="A24" s="329" t="str">
        <f>name!D19</f>
        <v>53 Skilled construction and building trades</v>
      </c>
      <c r="B24" s="330">
        <v>17.323212747966721</v>
      </c>
      <c r="C24" s="330">
        <v>1068.4797666132677</v>
      </c>
      <c r="D24" s="330">
        <f t="shared" si="0"/>
        <v>1085.8029793612343</v>
      </c>
      <c r="E24" s="331"/>
      <c r="F24" s="330">
        <v>21.466602930270341</v>
      </c>
      <c r="G24" s="330">
        <v>881.14209680591478</v>
      </c>
      <c r="H24" s="330">
        <f t="shared" si="1"/>
        <v>902.60869973618514</v>
      </c>
      <c r="I24" s="331"/>
      <c r="J24" s="330">
        <v>29.075349293264136</v>
      </c>
      <c r="K24" s="330">
        <v>859.7158864814952</v>
      </c>
      <c r="L24" s="330">
        <f t="shared" si="2"/>
        <v>888.79123577475934</v>
      </c>
      <c r="M24" s="236"/>
      <c r="N24" s="328">
        <f t="shared" si="3"/>
        <v>4.3823275903746239</v>
      </c>
      <c r="O24" s="328">
        <f t="shared" si="4"/>
        <v>2.0432090535263736</v>
      </c>
      <c r="P24" s="328"/>
      <c r="Q24" s="328">
        <f t="shared" si="5"/>
        <v>-3.7820876906670686</v>
      </c>
      <c r="R24" s="328">
        <f t="shared" si="6"/>
        <v>-0.16397829630504512</v>
      </c>
      <c r="S24" s="327"/>
      <c r="T24" s="328">
        <f t="shared" si="7"/>
        <v>-3.6282606773358372</v>
      </c>
      <c r="U24" s="328">
        <f t="shared" si="8"/>
        <v>-0.10279212158673667</v>
      </c>
    </row>
    <row r="25" spans="1:21" x14ac:dyDescent="0.3">
      <c r="A25" s="329" t="str">
        <f>name!D20</f>
        <v>54 Textiles, printing and other skilled trades</v>
      </c>
      <c r="B25" s="330">
        <v>266.67835950371887</v>
      </c>
      <c r="C25" s="330">
        <v>488.84840414917664</v>
      </c>
      <c r="D25" s="330">
        <f t="shared" si="0"/>
        <v>755.52676365289551</v>
      </c>
      <c r="E25" s="331"/>
      <c r="F25" s="330">
        <v>262.60414855853298</v>
      </c>
      <c r="G25" s="330">
        <v>385.2678051461524</v>
      </c>
      <c r="H25" s="330">
        <f t="shared" si="1"/>
        <v>647.87195370468544</v>
      </c>
      <c r="I25" s="331"/>
      <c r="J25" s="330">
        <v>266.91433153629032</v>
      </c>
      <c r="K25" s="330">
        <v>380.69227862888886</v>
      </c>
      <c r="L25" s="330">
        <f t="shared" si="2"/>
        <v>647.60661016517918</v>
      </c>
      <c r="M25" s="236"/>
      <c r="N25" s="328">
        <f t="shared" si="3"/>
        <v>-0.30743697008926985</v>
      </c>
      <c r="O25" s="328">
        <f t="shared" si="4"/>
        <v>0.10859219525820585</v>
      </c>
      <c r="P25" s="328"/>
      <c r="Q25" s="328">
        <f t="shared" si="5"/>
        <v>-4.6506573307949832</v>
      </c>
      <c r="R25" s="328">
        <f t="shared" si="6"/>
        <v>-7.9617016202471191E-2</v>
      </c>
      <c r="S25" s="327"/>
      <c r="T25" s="328">
        <f t="shared" si="7"/>
        <v>-3.0276622829640165</v>
      </c>
      <c r="U25" s="328">
        <f t="shared" si="8"/>
        <v>-2.7309333392122603E-3</v>
      </c>
    </row>
    <row r="26" spans="1:21" x14ac:dyDescent="0.3">
      <c r="A26" s="329" t="str">
        <f>name!D21</f>
        <v>61 Caring personal service occupations</v>
      </c>
      <c r="B26" s="330">
        <v>2010.4218944359411</v>
      </c>
      <c r="C26" s="330">
        <v>368.0655078680532</v>
      </c>
      <c r="D26" s="330">
        <f t="shared" si="0"/>
        <v>2378.4874023039943</v>
      </c>
      <c r="E26" s="331"/>
      <c r="F26" s="330">
        <v>1996.2177157781721</v>
      </c>
      <c r="G26" s="330">
        <v>369.85769879148097</v>
      </c>
      <c r="H26" s="330">
        <f t="shared" si="1"/>
        <v>2366.0754145696528</v>
      </c>
      <c r="I26" s="331"/>
      <c r="J26" s="330">
        <v>2298.9050741830715</v>
      </c>
      <c r="K26" s="330">
        <v>532.91813162272513</v>
      </c>
      <c r="L26" s="330">
        <f t="shared" si="2"/>
        <v>2831.8232058057965</v>
      </c>
      <c r="M26" s="236"/>
      <c r="N26" s="328">
        <f t="shared" si="3"/>
        <v>-0.14170649724553064</v>
      </c>
      <c r="O26" s="328">
        <f t="shared" si="4"/>
        <v>0.94563451392257747</v>
      </c>
      <c r="P26" s="328"/>
      <c r="Q26" s="328">
        <f t="shared" si="5"/>
        <v>9.7195223227464211E-2</v>
      </c>
      <c r="R26" s="328">
        <f t="shared" si="6"/>
        <v>2.4648846682154169</v>
      </c>
      <c r="S26" s="327"/>
      <c r="T26" s="328">
        <f t="shared" si="7"/>
        <v>-0.10458729033835379</v>
      </c>
      <c r="U26" s="328">
        <f t="shared" si="8"/>
        <v>1.2051245215293882</v>
      </c>
    </row>
    <row r="27" spans="1:21" x14ac:dyDescent="0.3">
      <c r="A27" s="329" t="str">
        <f>name!D22</f>
        <v>62 Leisure, travel and related personal service occupations</v>
      </c>
      <c r="B27" s="330">
        <v>510.85354703529703</v>
      </c>
      <c r="C27" s="330">
        <v>224.08956255449885</v>
      </c>
      <c r="D27" s="330">
        <f t="shared" si="0"/>
        <v>734.94310958979588</v>
      </c>
      <c r="E27" s="331"/>
      <c r="F27" s="330">
        <v>489.85808860890154</v>
      </c>
      <c r="G27" s="330">
        <v>239.15645027242459</v>
      </c>
      <c r="H27" s="330">
        <f t="shared" si="1"/>
        <v>729.01453888132619</v>
      </c>
      <c r="I27" s="331"/>
      <c r="J27" s="330">
        <v>498.77788939527414</v>
      </c>
      <c r="K27" s="330">
        <v>271.05536182923242</v>
      </c>
      <c r="L27" s="330">
        <f t="shared" si="2"/>
        <v>769.83325122450651</v>
      </c>
      <c r="M27" s="236"/>
      <c r="N27" s="328">
        <f t="shared" si="3"/>
        <v>-0.83583162723896987</v>
      </c>
      <c r="O27" s="328">
        <f t="shared" si="4"/>
        <v>0.12037339837793759</v>
      </c>
      <c r="P27" s="328"/>
      <c r="Q27" s="328">
        <f t="shared" si="5"/>
        <v>1.3099483574241733</v>
      </c>
      <c r="R27" s="328">
        <f t="shared" si="6"/>
        <v>0.83819431335858674</v>
      </c>
      <c r="S27" s="327"/>
      <c r="T27" s="328">
        <f t="shared" si="7"/>
        <v>-0.16185724750081842</v>
      </c>
      <c r="U27" s="328">
        <f t="shared" si="8"/>
        <v>0.3638621043261514</v>
      </c>
    </row>
    <row r="28" spans="1:21" x14ac:dyDescent="0.3">
      <c r="A28" s="329" t="str">
        <f>name!D23</f>
        <v>63 Community and civil enforcement occupations</v>
      </c>
      <c r="B28" s="330">
        <v>8.3488400198241113</v>
      </c>
      <c r="C28" s="330">
        <v>26.822677839217658</v>
      </c>
      <c r="D28" s="330">
        <f t="shared" si="0"/>
        <v>35.171517859041771</v>
      </c>
      <c r="E28" s="331"/>
      <c r="F28" s="330">
        <v>8.8629238220010098</v>
      </c>
      <c r="G28" s="330">
        <v>29.587882763207844</v>
      </c>
      <c r="H28" s="330">
        <f t="shared" si="1"/>
        <v>38.450806585208852</v>
      </c>
      <c r="I28" s="331"/>
      <c r="J28" s="330">
        <v>11.552948990227389</v>
      </c>
      <c r="K28" s="330">
        <v>22.090009419199141</v>
      </c>
      <c r="L28" s="330">
        <f>SUM(J28:K28)</f>
        <v>33.642958409426527</v>
      </c>
      <c r="M28" s="236"/>
      <c r="N28" s="328">
        <f t="shared" si="3"/>
        <v>1.2022517028665636</v>
      </c>
      <c r="O28" s="328">
        <f t="shared" si="4"/>
        <v>1.7827989067690675</v>
      </c>
      <c r="P28" s="328"/>
      <c r="Q28" s="328">
        <f t="shared" si="5"/>
        <v>1.9817244042366733</v>
      </c>
      <c r="R28" s="328">
        <f t="shared" si="6"/>
        <v>-1.9294071246404809</v>
      </c>
      <c r="S28" s="327"/>
      <c r="T28" s="328">
        <f t="shared" si="7"/>
        <v>1.798849244366707</v>
      </c>
      <c r="U28" s="328">
        <f t="shared" si="8"/>
        <v>-0.88655273075050056</v>
      </c>
    </row>
    <row r="29" spans="1:21" x14ac:dyDescent="0.3">
      <c r="A29" s="329" t="str">
        <f>name!D24</f>
        <v>71 Sales occupations</v>
      </c>
      <c r="B29" s="330">
        <v>1424.5732282309941</v>
      </c>
      <c r="C29" s="330">
        <v>917.60133423102843</v>
      </c>
      <c r="D29" s="330">
        <f t="shared" si="0"/>
        <v>2342.1745624620225</v>
      </c>
      <c r="E29" s="331"/>
      <c r="F29" s="330">
        <v>1289.3567743362776</v>
      </c>
      <c r="G29" s="330">
        <v>892.98198416227251</v>
      </c>
      <c r="H29" s="330">
        <f t="shared" si="1"/>
        <v>2182.3387584985503</v>
      </c>
      <c r="I29" s="331"/>
      <c r="J29" s="330">
        <v>1103.1947246468051</v>
      </c>
      <c r="K29" s="330">
        <v>823.84181487414082</v>
      </c>
      <c r="L29" s="330">
        <f t="shared" si="2"/>
        <v>1927.036539520946</v>
      </c>
      <c r="M29" s="236"/>
      <c r="N29" s="328">
        <f t="shared" si="3"/>
        <v>-1.9748161320246371</v>
      </c>
      <c r="O29" s="328">
        <f t="shared" si="4"/>
        <v>-1.0341699976613272</v>
      </c>
      <c r="P29" s="328"/>
      <c r="Q29" s="328">
        <f t="shared" si="5"/>
        <v>-0.54245564082918696</v>
      </c>
      <c r="R29" s="328">
        <f t="shared" si="6"/>
        <v>-0.53581182627092661</v>
      </c>
      <c r="S29" s="327"/>
      <c r="T29" s="328">
        <f t="shared" si="7"/>
        <v>-1.4037082644850263</v>
      </c>
      <c r="U29" s="328">
        <f t="shared" si="8"/>
        <v>-0.825994930498819</v>
      </c>
    </row>
    <row r="30" spans="1:21" x14ac:dyDescent="0.3">
      <c r="A30" s="329" t="str">
        <f>name!D25</f>
        <v>72 Customer service occupations</v>
      </c>
      <c r="B30" s="330">
        <v>326.75736905205434</v>
      </c>
      <c r="C30" s="330">
        <v>218.32879769496239</v>
      </c>
      <c r="D30" s="330">
        <f t="shared" si="0"/>
        <v>545.0861667470167</v>
      </c>
      <c r="E30" s="331"/>
      <c r="F30" s="330">
        <v>367.30021516489961</v>
      </c>
      <c r="G30" s="330">
        <v>237.44794155271015</v>
      </c>
      <c r="H30" s="330">
        <f t="shared" si="1"/>
        <v>604.74815671760973</v>
      </c>
      <c r="I30" s="331"/>
      <c r="J30" s="330">
        <v>501.86899996142643</v>
      </c>
      <c r="K30" s="330">
        <v>387.52098173476327</v>
      </c>
      <c r="L30" s="330">
        <f t="shared" si="2"/>
        <v>889.38998169618969</v>
      </c>
      <c r="M30" s="236"/>
      <c r="N30" s="328">
        <f t="shared" si="3"/>
        <v>2.3668073155877156</v>
      </c>
      <c r="O30" s="328">
        <f t="shared" si="4"/>
        <v>2.1028690708645215</v>
      </c>
      <c r="P30" s="328"/>
      <c r="Q30" s="328">
        <f t="shared" si="5"/>
        <v>1.6930978108633532</v>
      </c>
      <c r="R30" s="328">
        <f t="shared" si="6"/>
        <v>3.3193790773238696</v>
      </c>
      <c r="S30" s="327"/>
      <c r="T30" s="328">
        <f t="shared" si="7"/>
        <v>2.0990917076666671</v>
      </c>
      <c r="U30" s="328">
        <f t="shared" si="8"/>
        <v>2.6048394906809769</v>
      </c>
    </row>
    <row r="31" spans="1:21" x14ac:dyDescent="0.3">
      <c r="A31" s="329" t="str">
        <f>name!D26</f>
        <v>81 Process, plant and machine operatives</v>
      </c>
      <c r="B31" s="330">
        <v>194.23354967303402</v>
      </c>
      <c r="C31" s="330">
        <v>710.30502953367295</v>
      </c>
      <c r="D31" s="330">
        <f t="shared" si="0"/>
        <v>904.53857920670703</v>
      </c>
      <c r="E31" s="331"/>
      <c r="F31" s="330">
        <v>173.65745437286304</v>
      </c>
      <c r="G31" s="330">
        <v>591.41640268122455</v>
      </c>
      <c r="H31" s="330">
        <f t="shared" si="1"/>
        <v>765.07385705408763</v>
      </c>
      <c r="I31" s="331"/>
      <c r="J31" s="330">
        <v>222.16699204180659</v>
      </c>
      <c r="K31" s="330">
        <v>684.66526960856299</v>
      </c>
      <c r="L31" s="330">
        <f t="shared" si="2"/>
        <v>906.83226165036956</v>
      </c>
      <c r="M31" s="236"/>
      <c r="N31" s="328">
        <f t="shared" si="3"/>
        <v>-2.214640516953803</v>
      </c>
      <c r="O31" s="328">
        <f t="shared" si="4"/>
        <v>1.6558572306938135</v>
      </c>
      <c r="P31" s="328"/>
      <c r="Q31" s="328">
        <f t="shared" si="5"/>
        <v>-3.5971895636261353</v>
      </c>
      <c r="R31" s="328">
        <f t="shared" si="6"/>
        <v>0.98084384160737059</v>
      </c>
      <c r="S31" s="327"/>
      <c r="T31" s="328">
        <f t="shared" si="7"/>
        <v>-3.2935917585062979</v>
      </c>
      <c r="U31" s="328">
        <f t="shared" si="8"/>
        <v>1.1396795632297341</v>
      </c>
    </row>
    <row r="32" spans="1:21" x14ac:dyDescent="0.3">
      <c r="A32" s="329" t="str">
        <f>name!D27</f>
        <v>82 Transport and mobile machine drivers and operatives</v>
      </c>
      <c r="B32" s="330">
        <v>73.952688732186189</v>
      </c>
      <c r="C32" s="330">
        <v>1134.5263509512913</v>
      </c>
      <c r="D32" s="330">
        <f t="shared" si="0"/>
        <v>1208.4790396834776</v>
      </c>
      <c r="E32" s="331"/>
      <c r="F32" s="330">
        <v>70.367915442644886</v>
      </c>
      <c r="G32" s="330">
        <v>1121.830455666314</v>
      </c>
      <c r="H32" s="330">
        <f t="shared" si="1"/>
        <v>1192.198371108959</v>
      </c>
      <c r="I32" s="331"/>
      <c r="J32" s="330">
        <v>118.74249604980453</v>
      </c>
      <c r="K32" s="330">
        <v>1153.3367925900011</v>
      </c>
      <c r="L32" s="330">
        <f t="shared" si="2"/>
        <v>1272.0792886398056</v>
      </c>
      <c r="M32" s="236"/>
      <c r="N32" s="328">
        <f t="shared" si="3"/>
        <v>-0.98884118584898761</v>
      </c>
      <c r="O32" s="328">
        <f t="shared" si="4"/>
        <v>3.5496811302046183</v>
      </c>
      <c r="P32" s="328"/>
      <c r="Q32" s="328">
        <f t="shared" si="5"/>
        <v>-0.22481820939069808</v>
      </c>
      <c r="R32" s="328">
        <f t="shared" si="6"/>
        <v>0.18482133849673232</v>
      </c>
      <c r="S32" s="327"/>
      <c r="T32" s="328">
        <f t="shared" si="7"/>
        <v>-0.27090445824271558</v>
      </c>
      <c r="U32" s="328">
        <f t="shared" si="8"/>
        <v>0.4332948412486326</v>
      </c>
    </row>
    <row r="33" spans="1:21" x14ac:dyDescent="0.3">
      <c r="A33" s="329" t="str">
        <f>name!D28</f>
        <v>91 Elementary trades and related occupations</v>
      </c>
      <c r="B33" s="330">
        <v>134.44725579260273</v>
      </c>
      <c r="C33" s="330">
        <v>451.87954918913374</v>
      </c>
      <c r="D33" s="330">
        <f t="shared" si="0"/>
        <v>586.32680498173647</v>
      </c>
      <c r="E33" s="331"/>
      <c r="F33" s="330">
        <v>98.449514381590134</v>
      </c>
      <c r="G33" s="330">
        <v>366.35911682474841</v>
      </c>
      <c r="H33" s="330">
        <f t="shared" si="1"/>
        <v>464.80863120633853</v>
      </c>
      <c r="I33" s="331"/>
      <c r="J33" s="330">
        <v>82.278514727169892</v>
      </c>
      <c r="K33" s="330">
        <v>285.97562053211072</v>
      </c>
      <c r="L33" s="330">
        <f t="shared" si="2"/>
        <v>368.25413525928059</v>
      </c>
      <c r="M33" s="236"/>
      <c r="N33" s="328">
        <f t="shared" si="3"/>
        <v>-6.0423107950756672</v>
      </c>
      <c r="O33" s="328">
        <f t="shared" si="4"/>
        <v>-1.1890993923947102</v>
      </c>
      <c r="P33" s="328"/>
      <c r="Q33" s="328">
        <f t="shared" si="5"/>
        <v>-4.1092173475315352</v>
      </c>
      <c r="R33" s="328">
        <f t="shared" si="6"/>
        <v>-1.6378226262367956</v>
      </c>
      <c r="S33" s="327"/>
      <c r="T33" s="328">
        <f t="shared" si="7"/>
        <v>-4.5388005312858137</v>
      </c>
      <c r="U33" s="328">
        <f t="shared" si="8"/>
        <v>-1.5403630899259446</v>
      </c>
    </row>
    <row r="34" spans="1:21" x14ac:dyDescent="0.3">
      <c r="A34" s="329" t="str">
        <f>name!D29</f>
        <v>92 Elementary administration and service occupations</v>
      </c>
      <c r="B34" s="330">
        <v>1719.2383425497221</v>
      </c>
      <c r="C34" s="330">
        <v>1666.4604987337166</v>
      </c>
      <c r="D34" s="330">
        <f t="shared" si="0"/>
        <v>3385.6988412834389</v>
      </c>
      <c r="E34" s="331"/>
      <c r="F34" s="330">
        <v>1600.9272611996569</v>
      </c>
      <c r="G34" s="330">
        <v>1532.5978410910091</v>
      </c>
      <c r="H34" s="330">
        <f t="shared" si="1"/>
        <v>3133.5251022906659</v>
      </c>
      <c r="I34" s="331"/>
      <c r="J34" s="330">
        <v>1519.8291473869019</v>
      </c>
      <c r="K34" s="330">
        <v>1565.7526621758986</v>
      </c>
      <c r="L34" s="330">
        <f t="shared" si="2"/>
        <v>3085.5818095628006</v>
      </c>
      <c r="M34" s="236"/>
      <c r="N34" s="328">
        <f t="shared" si="3"/>
        <v>-1.4158486194470798</v>
      </c>
      <c r="O34" s="328">
        <f t="shared" si="4"/>
        <v>-0.34596730999413294</v>
      </c>
      <c r="P34" s="328"/>
      <c r="Q34" s="328">
        <f t="shared" si="5"/>
        <v>-1.660807652046381</v>
      </c>
      <c r="R34" s="328">
        <f t="shared" si="6"/>
        <v>0.1427845854768961</v>
      </c>
      <c r="S34" s="327"/>
      <c r="T34" s="328">
        <f t="shared" si="7"/>
        <v>-1.5361142495457836</v>
      </c>
      <c r="U34" s="328">
        <f t="shared" si="8"/>
        <v>-0.10273631651782633</v>
      </c>
    </row>
    <row r="35" spans="1:21" x14ac:dyDescent="0.3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7"/>
      <c r="O35" s="328"/>
      <c r="P35" s="328"/>
      <c r="Q35" s="328"/>
      <c r="R35" s="328"/>
      <c r="S35" s="327"/>
      <c r="T35" s="328"/>
      <c r="U35" s="328"/>
    </row>
    <row r="36" spans="1:21" x14ac:dyDescent="0.3">
      <c r="A36" s="332" t="str">
        <f>name!D3</f>
        <v>All occupations</v>
      </c>
      <c r="B36" s="333">
        <f>SUM(B9:B34)</f>
        <v>15951.030000000013</v>
      </c>
      <c r="C36" s="333">
        <f t="shared" ref="C36:D36" si="9">SUM(C9:C34)</f>
        <v>17704.955000000049</v>
      </c>
      <c r="D36" s="333">
        <f t="shared" si="9"/>
        <v>33655.985000000059</v>
      </c>
      <c r="E36" s="333"/>
      <c r="F36" s="333">
        <f>SUM(F9:F34)</f>
        <v>16902.886000000053</v>
      </c>
      <c r="G36" s="333">
        <f t="shared" ref="G36:H36" si="10">SUM(G9:G34)</f>
        <v>18072.08199999978</v>
      </c>
      <c r="H36" s="333">
        <f t="shared" si="10"/>
        <v>34974.967999999833</v>
      </c>
      <c r="I36" s="333"/>
      <c r="J36" s="333">
        <f>SUM(J9:J34)</f>
        <v>18354.937000000195</v>
      </c>
      <c r="K36" s="333">
        <f t="shared" ref="K36:L36" si="11">SUM(K9:K34)</f>
        <v>19212.934999999903</v>
      </c>
      <c r="L36" s="333">
        <f t="shared" si="11"/>
        <v>37567.872000000098</v>
      </c>
      <c r="M36" s="258"/>
      <c r="N36" s="334">
        <f t="shared" si="3"/>
        <v>1.1659644392060464</v>
      </c>
      <c r="O36" s="334">
        <f t="shared" si="4"/>
        <v>0.55094017770871417</v>
      </c>
      <c r="P36" s="334"/>
      <c r="Q36" s="334">
        <f t="shared" si="5"/>
        <v>0.41131905746778497</v>
      </c>
      <c r="R36" s="334">
        <f t="shared" si="6"/>
        <v>0.40893676419082592</v>
      </c>
      <c r="S36" s="334"/>
      <c r="T36" s="334">
        <f t="shared" si="7"/>
        <v>0.77179721851199368</v>
      </c>
      <c r="U36" s="334">
        <f t="shared" si="8"/>
        <v>0.47791580152365398</v>
      </c>
    </row>
    <row r="37" spans="1:21" x14ac:dyDescent="0.3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3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3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3">
      <c r="A40" s="241"/>
      <c r="B40" s="373"/>
      <c r="C40" s="373"/>
      <c r="D40" s="373"/>
      <c r="E40" s="253"/>
      <c r="F40" s="373"/>
      <c r="G40" s="373"/>
      <c r="H40" s="373"/>
      <c r="I40" s="253"/>
      <c r="J40" s="373"/>
      <c r="K40" s="373"/>
      <c r="L40" s="373"/>
      <c r="M40" s="236"/>
    </row>
    <row r="41" spans="1:21" x14ac:dyDescent="0.3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3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3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3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3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3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3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3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3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3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3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3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3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3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3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3">
      <c r="A57" s="241"/>
      <c r="B57" s="373"/>
      <c r="C57" s="373"/>
      <c r="D57" s="373"/>
      <c r="E57" s="253"/>
      <c r="F57" s="373"/>
      <c r="G57" s="373"/>
      <c r="H57" s="373"/>
      <c r="I57" s="253"/>
      <c r="J57" s="373"/>
      <c r="K57" s="373"/>
      <c r="L57" s="373"/>
      <c r="M57" s="236"/>
    </row>
    <row r="58" spans="1:13" x14ac:dyDescent="0.3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3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3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3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3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3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3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3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3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3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3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3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3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3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3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3">
      <c r="A74" s="241"/>
      <c r="B74" s="373"/>
      <c r="C74" s="373"/>
      <c r="D74" s="373"/>
      <c r="E74" s="253"/>
      <c r="F74" s="373"/>
      <c r="G74" s="373"/>
      <c r="H74" s="373"/>
      <c r="I74" s="253"/>
      <c r="J74" s="373"/>
      <c r="K74" s="373"/>
      <c r="L74" s="373"/>
      <c r="M74" s="236"/>
    </row>
    <row r="75" spans="1:13" x14ac:dyDescent="0.3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3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3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3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3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3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3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3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3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3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3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3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3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3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3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3">
      <c r="A91" s="241"/>
      <c r="B91" s="373"/>
      <c r="C91" s="373"/>
      <c r="D91" s="373"/>
      <c r="E91" s="253"/>
      <c r="F91" s="373"/>
      <c r="G91" s="373"/>
      <c r="H91" s="373"/>
      <c r="I91" s="253"/>
      <c r="J91" s="373"/>
      <c r="K91" s="373"/>
      <c r="L91" s="373"/>
      <c r="M91" s="236"/>
    </row>
    <row r="92" spans="1:13" x14ac:dyDescent="0.3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3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3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3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3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3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3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3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3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3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3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3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3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3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3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3">
      <c r="A108" s="241"/>
      <c r="B108" s="373"/>
      <c r="C108" s="373"/>
      <c r="D108" s="373"/>
      <c r="E108" s="253"/>
      <c r="F108" s="373"/>
      <c r="G108" s="373"/>
      <c r="H108" s="373"/>
      <c r="I108" s="253"/>
      <c r="J108" s="373"/>
      <c r="K108" s="373"/>
      <c r="L108" s="373"/>
      <c r="M108" s="236"/>
    </row>
    <row r="109" spans="1:13" x14ac:dyDescent="0.3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3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3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3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3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3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3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3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3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3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3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3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3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3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3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3">
      <c r="A125" s="241"/>
      <c r="B125" s="373"/>
      <c r="C125" s="373"/>
      <c r="D125" s="373"/>
      <c r="E125" s="253"/>
      <c r="F125" s="373"/>
      <c r="G125" s="373"/>
      <c r="H125" s="373"/>
      <c r="I125" s="253"/>
      <c r="J125" s="373"/>
      <c r="K125" s="373"/>
      <c r="L125" s="373"/>
      <c r="M125" s="236"/>
    </row>
    <row r="126" spans="1:13" x14ac:dyDescent="0.3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3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3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3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3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3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3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3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3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3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3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3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3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3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3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3">
      <c r="A142" s="241"/>
      <c r="B142" s="373"/>
      <c r="C142" s="373"/>
      <c r="D142" s="373"/>
      <c r="E142" s="253"/>
      <c r="F142" s="373"/>
      <c r="G142" s="373"/>
      <c r="H142" s="373"/>
      <c r="I142" s="253"/>
      <c r="J142" s="373"/>
      <c r="K142" s="373"/>
      <c r="L142" s="373"/>
      <c r="M142" s="236"/>
    </row>
    <row r="143" spans="1:13" x14ac:dyDescent="0.3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3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3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3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3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3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3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3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3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3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3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3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3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3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3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3">
      <c r="A159" s="241"/>
      <c r="B159" s="373"/>
      <c r="C159" s="373"/>
      <c r="D159" s="373"/>
      <c r="E159" s="253"/>
      <c r="F159" s="373"/>
      <c r="G159" s="373"/>
      <c r="H159" s="373"/>
      <c r="I159" s="253"/>
      <c r="J159" s="373"/>
      <c r="K159" s="373"/>
      <c r="L159" s="373"/>
      <c r="M159" s="236"/>
    </row>
    <row r="160" spans="1:13" x14ac:dyDescent="0.3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3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3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3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3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3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3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3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3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3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3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3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3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3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3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3">
      <c r="A176" s="241"/>
      <c r="B176" s="373"/>
      <c r="C176" s="373"/>
      <c r="D176" s="373"/>
      <c r="E176" s="253"/>
      <c r="F176" s="373"/>
      <c r="G176" s="373"/>
      <c r="H176" s="373"/>
      <c r="I176" s="253"/>
      <c r="J176" s="373"/>
      <c r="K176" s="373"/>
      <c r="L176" s="373"/>
      <c r="M176" s="236"/>
    </row>
    <row r="177" spans="1:13" x14ac:dyDescent="0.3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3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3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3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3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3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3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3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3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3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3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3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3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3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3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3">
      <c r="A193" s="241"/>
      <c r="B193" s="373"/>
      <c r="C193" s="373"/>
      <c r="D193" s="373"/>
      <c r="E193" s="253"/>
      <c r="F193" s="373"/>
      <c r="G193" s="373"/>
      <c r="H193" s="373"/>
      <c r="I193" s="253"/>
      <c r="J193" s="373"/>
      <c r="K193" s="373"/>
      <c r="L193" s="373"/>
      <c r="M193" s="236"/>
    </row>
    <row r="194" spans="1:13" x14ac:dyDescent="0.3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3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3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3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3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3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3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3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3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3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3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3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3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3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3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3">
      <c r="A210" s="241"/>
      <c r="B210" s="373"/>
      <c r="C210" s="373"/>
      <c r="D210" s="373"/>
      <c r="E210" s="253"/>
      <c r="F210" s="373"/>
      <c r="G210" s="373"/>
      <c r="H210" s="373"/>
      <c r="I210" s="253"/>
      <c r="J210" s="373"/>
      <c r="K210" s="373"/>
      <c r="L210" s="373"/>
      <c r="M210" s="236"/>
    </row>
    <row r="211" spans="1:13" x14ac:dyDescent="0.3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3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3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3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3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3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3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3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3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3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3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3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3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3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3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3">
      <c r="A227" s="241"/>
      <c r="B227" s="373"/>
      <c r="C227" s="373"/>
      <c r="D227" s="373"/>
      <c r="E227" s="253"/>
      <c r="F227" s="373"/>
      <c r="G227" s="373"/>
      <c r="H227" s="373"/>
      <c r="I227" s="253"/>
      <c r="J227" s="373"/>
      <c r="K227" s="373"/>
      <c r="L227" s="373"/>
      <c r="M227" s="236"/>
    </row>
    <row r="228" spans="1:13" x14ac:dyDescent="0.3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3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3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3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3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3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3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3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3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3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3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3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3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3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3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3">
      <c r="A244" s="241"/>
      <c r="B244" s="373"/>
      <c r="C244" s="373"/>
      <c r="D244" s="373"/>
      <c r="E244" s="253"/>
      <c r="F244" s="373"/>
      <c r="G244" s="373"/>
      <c r="H244" s="373"/>
      <c r="I244" s="253"/>
      <c r="J244" s="373"/>
      <c r="K244" s="373"/>
      <c r="L244" s="373"/>
      <c r="M244" s="236"/>
    </row>
    <row r="245" spans="1:13" x14ac:dyDescent="0.3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3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3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3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3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3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3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3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3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3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3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3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3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3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3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3">
      <c r="A261" s="241"/>
      <c r="B261" s="373"/>
      <c r="C261" s="373"/>
      <c r="D261" s="373"/>
      <c r="E261" s="253"/>
      <c r="F261" s="373"/>
      <c r="G261" s="373"/>
      <c r="H261" s="373"/>
      <c r="I261" s="253"/>
      <c r="J261" s="373"/>
      <c r="K261" s="373"/>
      <c r="L261" s="373"/>
      <c r="M261" s="236"/>
    </row>
    <row r="262" spans="1:13" x14ac:dyDescent="0.3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3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3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3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3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3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3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3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3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3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3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3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3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3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3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3">
      <c r="A278" s="241"/>
      <c r="B278" s="373"/>
      <c r="C278" s="373"/>
      <c r="D278" s="373"/>
      <c r="E278" s="253"/>
      <c r="F278" s="373"/>
      <c r="G278" s="373"/>
      <c r="H278" s="373"/>
      <c r="I278" s="253"/>
      <c r="J278" s="373"/>
      <c r="K278" s="373"/>
      <c r="L278" s="373"/>
      <c r="M278" s="236"/>
    </row>
    <row r="279" spans="1:13" x14ac:dyDescent="0.3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3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3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3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3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3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3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3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3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3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3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3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3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3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3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3">
      <c r="A295" s="241"/>
      <c r="B295" s="373"/>
      <c r="C295" s="373"/>
      <c r="D295" s="373"/>
      <c r="E295" s="253"/>
      <c r="F295" s="373"/>
      <c r="G295" s="373"/>
      <c r="H295" s="373"/>
      <c r="I295" s="253"/>
      <c r="J295" s="373"/>
      <c r="K295" s="373"/>
      <c r="L295" s="373"/>
      <c r="M295" s="236"/>
    </row>
    <row r="296" spans="1:13" x14ac:dyDescent="0.3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3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3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3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3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3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3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3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3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3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3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3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3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3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3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3">
      <c r="A312" s="241"/>
      <c r="B312" s="373"/>
      <c r="C312" s="373"/>
      <c r="D312" s="373"/>
      <c r="E312" s="253"/>
      <c r="F312" s="373"/>
      <c r="G312" s="373"/>
      <c r="H312" s="373"/>
      <c r="I312" s="253"/>
      <c r="J312" s="373"/>
      <c r="K312" s="373"/>
      <c r="L312" s="373"/>
      <c r="M312" s="236"/>
    </row>
    <row r="313" spans="1:13" x14ac:dyDescent="0.3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3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3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3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3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3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3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3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3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3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3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3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3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3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3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3">
      <c r="A329" s="241"/>
      <c r="B329" s="373"/>
      <c r="C329" s="373"/>
      <c r="D329" s="373"/>
      <c r="E329" s="253"/>
      <c r="F329" s="373"/>
      <c r="G329" s="373"/>
      <c r="H329" s="373"/>
      <c r="I329" s="253"/>
      <c r="J329" s="373"/>
      <c r="K329" s="373"/>
      <c r="L329" s="373"/>
      <c r="M329" s="236"/>
    </row>
    <row r="330" spans="1:13" x14ac:dyDescent="0.3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3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3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3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3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3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3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3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3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3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3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3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3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3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3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3">
      <c r="A346" s="241"/>
      <c r="B346" s="373"/>
      <c r="C346" s="373"/>
      <c r="D346" s="373"/>
      <c r="E346" s="253"/>
      <c r="F346" s="373"/>
      <c r="G346" s="373"/>
      <c r="H346" s="373"/>
      <c r="I346" s="253"/>
      <c r="J346" s="373"/>
      <c r="K346" s="373"/>
      <c r="L346" s="373"/>
      <c r="M346" s="236"/>
    </row>
    <row r="347" spans="1:13" x14ac:dyDescent="0.3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3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3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3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3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3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3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3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3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3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3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3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3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3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3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3">
      <c r="A363" s="241"/>
      <c r="B363" s="373"/>
      <c r="C363" s="373"/>
      <c r="D363" s="373"/>
      <c r="E363" s="253"/>
      <c r="F363" s="373"/>
      <c r="G363" s="373"/>
      <c r="H363" s="373"/>
      <c r="I363" s="253"/>
      <c r="J363" s="373"/>
      <c r="K363" s="373"/>
      <c r="L363" s="373"/>
      <c r="M363" s="236"/>
    </row>
    <row r="364" spans="1:13" x14ac:dyDescent="0.3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3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3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3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3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3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3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3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3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3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3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3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3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3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3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3">
      <c r="A380" s="241"/>
      <c r="B380" s="373"/>
      <c r="C380" s="373"/>
      <c r="D380" s="373"/>
      <c r="E380" s="253"/>
      <c r="F380" s="373"/>
      <c r="G380" s="373"/>
      <c r="H380" s="373"/>
      <c r="I380" s="253"/>
      <c r="J380" s="373"/>
      <c r="K380" s="373"/>
      <c r="L380" s="373"/>
      <c r="M380" s="236"/>
    </row>
    <row r="381" spans="1:13" x14ac:dyDescent="0.3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3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3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3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3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3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3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3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3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3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3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3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3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3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3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3">
      <c r="A397" s="241"/>
      <c r="B397" s="373"/>
      <c r="C397" s="373"/>
      <c r="D397" s="373"/>
      <c r="E397" s="253"/>
      <c r="F397" s="373"/>
      <c r="G397" s="373"/>
      <c r="H397" s="373"/>
      <c r="I397" s="253"/>
      <c r="J397" s="373"/>
      <c r="K397" s="373"/>
      <c r="L397" s="373"/>
      <c r="M397" s="236"/>
    </row>
    <row r="398" spans="1:13" x14ac:dyDescent="0.3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3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3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3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3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3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3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3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3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3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3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3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3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3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3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3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3">
      <c r="A414" s="241"/>
      <c r="B414" s="373"/>
      <c r="C414" s="373"/>
      <c r="D414" s="373"/>
      <c r="E414" s="253"/>
      <c r="F414" s="373"/>
      <c r="G414" s="373"/>
      <c r="H414" s="373"/>
      <c r="I414" s="253"/>
      <c r="J414" s="373"/>
      <c r="K414" s="373"/>
      <c r="L414" s="373"/>
      <c r="M414" s="236"/>
    </row>
    <row r="415" spans="1:13" x14ac:dyDescent="0.3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3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3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3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3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3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3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3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3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3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3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3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3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3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3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3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3">
      <c r="A431" s="241"/>
      <c r="B431" s="373"/>
      <c r="C431" s="373"/>
      <c r="D431" s="373"/>
      <c r="E431" s="253"/>
      <c r="F431" s="373"/>
      <c r="G431" s="373"/>
      <c r="H431" s="373"/>
      <c r="I431" s="253"/>
      <c r="J431" s="373"/>
      <c r="K431" s="373"/>
      <c r="L431" s="373"/>
      <c r="M431" s="236"/>
    </row>
    <row r="432" spans="1:13" x14ac:dyDescent="0.3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3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3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3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3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3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3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3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3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3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3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3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3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3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3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3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3">
      <c r="A448" s="241"/>
      <c r="B448" s="373"/>
      <c r="C448" s="373"/>
      <c r="D448" s="373"/>
      <c r="E448" s="253"/>
      <c r="F448" s="373"/>
      <c r="G448" s="373"/>
      <c r="H448" s="373"/>
      <c r="I448" s="253"/>
      <c r="J448" s="373"/>
      <c r="K448" s="373"/>
      <c r="L448" s="373"/>
      <c r="M448" s="236"/>
    </row>
    <row r="449" spans="1:13" x14ac:dyDescent="0.3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3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3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3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3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3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3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3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3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3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3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3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3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3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3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3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3">
      <c r="A465" s="241"/>
      <c r="B465" s="373"/>
      <c r="C465" s="373"/>
      <c r="D465" s="373"/>
      <c r="E465" s="253"/>
      <c r="F465" s="373"/>
      <c r="G465" s="373"/>
      <c r="H465" s="373"/>
      <c r="I465" s="253"/>
      <c r="J465" s="373"/>
      <c r="K465" s="373"/>
      <c r="L465" s="373"/>
      <c r="M465" s="236"/>
    </row>
    <row r="466" spans="1:13" x14ac:dyDescent="0.3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3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3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3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3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3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3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3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3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3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3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3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3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3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3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3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3">
      <c r="A482" s="241"/>
      <c r="B482" s="373"/>
      <c r="C482" s="373"/>
      <c r="D482" s="373"/>
      <c r="E482" s="253"/>
      <c r="F482" s="373"/>
      <c r="G482" s="373"/>
      <c r="H482" s="373"/>
      <c r="I482" s="253"/>
      <c r="J482" s="373"/>
      <c r="K482" s="373"/>
      <c r="L482" s="373"/>
      <c r="M482" s="236"/>
    </row>
    <row r="483" spans="1:13" x14ac:dyDescent="0.3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3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3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3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3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3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3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3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3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3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3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3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3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3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3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3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3">
      <c r="A499" s="241"/>
      <c r="B499" s="373"/>
      <c r="C499" s="373"/>
      <c r="D499" s="373"/>
      <c r="E499" s="253"/>
      <c r="F499" s="373"/>
      <c r="G499" s="373"/>
      <c r="H499" s="373"/>
      <c r="I499" s="253"/>
      <c r="J499" s="373"/>
      <c r="K499" s="373"/>
      <c r="L499" s="373"/>
      <c r="M499" s="236"/>
    </row>
    <row r="500" spans="1:13" x14ac:dyDescent="0.3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3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3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3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3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3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3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3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3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3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3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3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3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3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3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3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3">
      <c r="A516" s="241"/>
      <c r="B516" s="373"/>
      <c r="C516" s="373"/>
      <c r="D516" s="373"/>
      <c r="E516" s="253"/>
      <c r="F516" s="373"/>
      <c r="G516" s="373"/>
      <c r="H516" s="373"/>
      <c r="I516" s="253"/>
      <c r="J516" s="373"/>
      <c r="K516" s="373"/>
      <c r="L516" s="373"/>
      <c r="M516" s="236"/>
    </row>
    <row r="517" spans="1:13" x14ac:dyDescent="0.3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3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3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3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3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3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3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3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3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3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3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3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3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3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3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3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3">
      <c r="A533" s="241"/>
      <c r="B533" s="373"/>
      <c r="C533" s="373"/>
      <c r="D533" s="373"/>
      <c r="E533" s="253"/>
      <c r="F533" s="373"/>
      <c r="G533" s="373"/>
      <c r="H533" s="373"/>
      <c r="I533" s="253"/>
      <c r="J533" s="373"/>
      <c r="K533" s="373"/>
      <c r="L533" s="373"/>
      <c r="M533" s="236"/>
    </row>
    <row r="534" spans="1:13" x14ac:dyDescent="0.3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3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3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3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3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3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3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3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3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3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3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3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3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3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3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3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3">
      <c r="A550" s="241"/>
      <c r="B550" s="373"/>
      <c r="C550" s="373"/>
      <c r="D550" s="373"/>
      <c r="E550" s="253"/>
      <c r="F550" s="373"/>
      <c r="G550" s="373"/>
      <c r="H550" s="373"/>
      <c r="I550" s="253"/>
      <c r="J550" s="373"/>
      <c r="K550" s="373"/>
      <c r="L550" s="373"/>
      <c r="M550" s="236"/>
    </row>
    <row r="551" spans="1:13" x14ac:dyDescent="0.3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3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3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3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3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3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3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3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3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3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3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3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3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3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3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3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3">
      <c r="A567" s="241"/>
      <c r="B567" s="373"/>
      <c r="C567" s="373"/>
      <c r="D567" s="373"/>
      <c r="E567" s="253"/>
      <c r="F567" s="373"/>
      <c r="G567" s="373"/>
      <c r="H567" s="373"/>
      <c r="I567" s="253"/>
      <c r="J567" s="373"/>
      <c r="K567" s="373"/>
      <c r="L567" s="373"/>
      <c r="M567" s="236"/>
    </row>
    <row r="568" spans="1:13" x14ac:dyDescent="0.3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3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3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3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3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3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3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3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3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3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3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3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3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3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3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3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3">
      <c r="A584" s="241"/>
      <c r="B584" s="373"/>
      <c r="C584" s="373"/>
      <c r="D584" s="373"/>
      <c r="E584" s="253"/>
      <c r="F584" s="373"/>
      <c r="G584" s="373"/>
      <c r="H584" s="373"/>
      <c r="I584" s="253"/>
      <c r="J584" s="373"/>
      <c r="K584" s="373"/>
      <c r="L584" s="373"/>
      <c r="M584" s="236"/>
    </row>
    <row r="585" spans="1:13" x14ac:dyDescent="0.3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3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3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3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3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3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3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3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3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3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3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3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3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3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3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3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3">
      <c r="A601" s="241"/>
      <c r="B601" s="373"/>
      <c r="C601" s="373"/>
      <c r="D601" s="373"/>
      <c r="E601" s="253"/>
      <c r="F601" s="373"/>
      <c r="G601" s="373"/>
      <c r="H601" s="373"/>
      <c r="I601" s="253"/>
      <c r="J601" s="373"/>
      <c r="K601" s="373"/>
      <c r="L601" s="373"/>
      <c r="M601" s="236"/>
    </row>
    <row r="602" spans="1:13" x14ac:dyDescent="0.3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3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3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3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3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3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3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3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3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3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3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3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3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3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3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3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3">
      <c r="A618" s="241"/>
      <c r="B618" s="373"/>
      <c r="C618" s="373"/>
      <c r="D618" s="373"/>
      <c r="E618" s="253"/>
      <c r="F618" s="373"/>
      <c r="G618" s="373"/>
      <c r="H618" s="373"/>
      <c r="I618" s="253"/>
      <c r="J618" s="373"/>
      <c r="K618" s="373"/>
      <c r="L618" s="373"/>
      <c r="M618" s="236"/>
    </row>
    <row r="619" spans="1:13" x14ac:dyDescent="0.3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3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3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3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3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3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3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3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3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3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3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3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3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3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3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3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3">
      <c r="A635" s="241"/>
      <c r="B635" s="373"/>
      <c r="C635" s="373"/>
      <c r="D635" s="373"/>
      <c r="E635" s="253"/>
      <c r="F635" s="373"/>
      <c r="G635" s="373"/>
      <c r="H635" s="373"/>
      <c r="I635" s="253"/>
      <c r="J635" s="373"/>
      <c r="K635" s="373"/>
      <c r="L635" s="373"/>
      <c r="M635" s="236"/>
    </row>
    <row r="636" spans="1:13" x14ac:dyDescent="0.3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3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3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3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3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3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3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3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3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3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3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3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3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3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3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3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3">
      <c r="A652" s="241"/>
      <c r="B652" s="373"/>
      <c r="C652" s="373"/>
      <c r="D652" s="373"/>
      <c r="E652" s="253"/>
      <c r="F652" s="373"/>
      <c r="G652" s="373"/>
      <c r="H652" s="373"/>
      <c r="I652" s="253"/>
      <c r="J652" s="373"/>
      <c r="K652" s="373"/>
      <c r="L652" s="373"/>
      <c r="M652" s="236"/>
    </row>
    <row r="653" spans="1:13" x14ac:dyDescent="0.3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3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3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3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3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3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3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3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3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3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3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3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3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3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3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3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3">
      <c r="A669" s="241"/>
      <c r="B669" s="373"/>
      <c r="C669" s="373"/>
      <c r="D669" s="373"/>
      <c r="E669" s="253"/>
      <c r="F669" s="373"/>
      <c r="G669" s="373"/>
      <c r="H669" s="373"/>
      <c r="I669" s="253"/>
      <c r="J669" s="373"/>
      <c r="K669" s="373"/>
      <c r="L669" s="373"/>
      <c r="M669" s="236"/>
    </row>
    <row r="670" spans="1:13" x14ac:dyDescent="0.3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3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3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3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3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3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3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3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3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3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3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3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3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3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3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3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3">
      <c r="A686" s="241"/>
      <c r="B686" s="373"/>
      <c r="C686" s="373"/>
      <c r="D686" s="373"/>
      <c r="E686" s="253"/>
      <c r="F686" s="373"/>
      <c r="G686" s="373"/>
      <c r="H686" s="373"/>
      <c r="I686" s="253"/>
      <c r="J686" s="373"/>
      <c r="K686" s="373"/>
      <c r="L686" s="373"/>
      <c r="M686" s="236"/>
    </row>
    <row r="687" spans="1:13" x14ac:dyDescent="0.3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3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3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3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3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3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3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3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3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3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3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3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3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3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3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3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3">
      <c r="A703" s="241"/>
      <c r="B703" s="373"/>
      <c r="C703" s="373"/>
      <c r="D703" s="373"/>
      <c r="E703" s="253"/>
      <c r="F703" s="373"/>
      <c r="G703" s="373"/>
      <c r="H703" s="373"/>
      <c r="I703" s="253"/>
      <c r="J703" s="373"/>
      <c r="K703" s="373"/>
      <c r="L703" s="373"/>
      <c r="M703" s="236"/>
    </row>
    <row r="704" spans="1:13" x14ac:dyDescent="0.3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3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3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3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3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3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3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3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3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3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3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3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3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3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3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3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3">
      <c r="A720" s="241"/>
      <c r="B720" s="373"/>
      <c r="C720" s="373"/>
      <c r="D720" s="373"/>
      <c r="E720" s="253"/>
      <c r="F720" s="373"/>
      <c r="G720" s="373"/>
      <c r="H720" s="373"/>
      <c r="I720" s="253"/>
      <c r="J720" s="373"/>
      <c r="K720" s="373"/>
      <c r="L720" s="373"/>
      <c r="M720" s="236"/>
    </row>
    <row r="721" spans="1:13" x14ac:dyDescent="0.3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3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3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3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3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3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3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3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3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3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3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3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3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3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3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3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3">
      <c r="A737" s="241"/>
      <c r="B737" s="373"/>
      <c r="C737" s="373"/>
      <c r="D737" s="373"/>
      <c r="E737" s="253"/>
      <c r="F737" s="373"/>
      <c r="G737" s="373"/>
      <c r="H737" s="373"/>
      <c r="I737" s="253"/>
      <c r="J737" s="373"/>
      <c r="K737" s="373"/>
      <c r="L737" s="373"/>
      <c r="M737" s="236"/>
    </row>
    <row r="738" spans="1:13" x14ac:dyDescent="0.3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3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3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3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3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3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3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3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3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3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3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3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3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3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3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3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3">
      <c r="A754" s="241"/>
      <c r="B754" s="373"/>
      <c r="C754" s="373"/>
      <c r="D754" s="373"/>
      <c r="E754" s="253"/>
      <c r="F754" s="373"/>
      <c r="G754" s="373"/>
      <c r="H754" s="373"/>
      <c r="I754" s="253"/>
      <c r="J754" s="373"/>
      <c r="K754" s="373"/>
      <c r="L754" s="373"/>
      <c r="M754" s="236"/>
    </row>
    <row r="755" spans="1:13" x14ac:dyDescent="0.3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3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3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3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3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3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3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3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3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3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3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3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3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3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3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3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3">
      <c r="A771" s="241"/>
      <c r="B771" s="373"/>
      <c r="C771" s="373"/>
      <c r="D771" s="373"/>
      <c r="E771" s="253"/>
      <c r="F771" s="373"/>
      <c r="G771" s="373"/>
      <c r="H771" s="373"/>
      <c r="I771" s="253"/>
      <c r="J771" s="373"/>
      <c r="K771" s="373"/>
      <c r="L771" s="373"/>
      <c r="M771" s="236"/>
    </row>
    <row r="772" spans="1:13" x14ac:dyDescent="0.3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3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3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3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3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3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3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3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3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3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3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3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3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3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3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3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3">
      <c r="A788" s="241"/>
      <c r="B788" s="373"/>
      <c r="C788" s="373"/>
      <c r="D788" s="373"/>
      <c r="E788" s="253"/>
      <c r="F788" s="373"/>
      <c r="G788" s="373"/>
      <c r="H788" s="373"/>
      <c r="I788" s="253"/>
      <c r="J788" s="373"/>
      <c r="K788" s="373"/>
      <c r="L788" s="373"/>
      <c r="M788" s="236"/>
    </row>
    <row r="789" spans="1:13" x14ac:dyDescent="0.3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3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3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3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3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3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3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3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3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3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3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3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3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3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3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3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3">
      <c r="A805" s="241"/>
      <c r="B805" s="373"/>
      <c r="C805" s="373"/>
      <c r="D805" s="373"/>
      <c r="E805" s="253"/>
      <c r="F805" s="373"/>
      <c r="G805" s="373"/>
      <c r="H805" s="373"/>
      <c r="I805" s="253"/>
      <c r="J805" s="373"/>
      <c r="K805" s="373"/>
      <c r="L805" s="373"/>
      <c r="M805" s="236"/>
    </row>
    <row r="806" spans="1:13" x14ac:dyDescent="0.3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3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3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3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3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3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3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3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3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3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3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3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3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3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3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3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3">
      <c r="A822" s="241"/>
      <c r="B822" s="373"/>
      <c r="C822" s="373"/>
      <c r="D822" s="373"/>
      <c r="E822" s="253"/>
      <c r="F822" s="373"/>
      <c r="G822" s="373"/>
      <c r="H822" s="373"/>
      <c r="I822" s="253"/>
      <c r="J822" s="373"/>
      <c r="K822" s="373"/>
      <c r="L822" s="373"/>
      <c r="M822" s="236"/>
    </row>
    <row r="823" spans="1:13" x14ac:dyDescent="0.3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3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3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3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3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3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3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3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3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3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3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3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3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3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3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3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3">
      <c r="A839" s="241"/>
      <c r="B839" s="373"/>
      <c r="C839" s="373"/>
      <c r="D839" s="373"/>
      <c r="E839" s="253"/>
      <c r="F839" s="373"/>
      <c r="G839" s="373"/>
      <c r="H839" s="373"/>
      <c r="I839" s="253"/>
      <c r="J839" s="373"/>
      <c r="K839" s="373"/>
      <c r="L839" s="373"/>
      <c r="M839" s="236"/>
    </row>
    <row r="840" spans="1:13" x14ac:dyDescent="0.3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3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3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3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3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3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3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3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3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3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3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3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3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3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3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3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3">
      <c r="A856" s="241"/>
      <c r="B856" s="373"/>
      <c r="C856" s="373"/>
      <c r="D856" s="373"/>
      <c r="E856" s="253"/>
      <c r="F856" s="373"/>
      <c r="G856" s="373"/>
      <c r="H856" s="373"/>
      <c r="I856" s="253"/>
      <c r="J856" s="373"/>
      <c r="K856" s="373"/>
      <c r="L856" s="373"/>
      <c r="M856" s="236"/>
    </row>
    <row r="857" spans="1:13" x14ac:dyDescent="0.3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3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3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3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3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3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3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3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3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3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3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3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3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3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3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3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3">
      <c r="A873" s="241"/>
      <c r="B873" s="373"/>
      <c r="C873" s="373"/>
      <c r="D873" s="373"/>
      <c r="E873" s="253"/>
      <c r="F873" s="373"/>
      <c r="G873" s="373"/>
      <c r="H873" s="373"/>
      <c r="I873" s="253"/>
      <c r="J873" s="373"/>
      <c r="K873" s="373"/>
      <c r="L873" s="373"/>
      <c r="M873" s="236"/>
    </row>
    <row r="874" spans="1:13" x14ac:dyDescent="0.3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3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3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3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3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3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3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3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3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3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3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3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3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3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3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3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3">
      <c r="A890" s="241"/>
      <c r="B890" s="373"/>
      <c r="C890" s="373"/>
      <c r="D890" s="373"/>
      <c r="E890" s="253"/>
      <c r="F890" s="373"/>
      <c r="G890" s="373"/>
      <c r="H890" s="373"/>
      <c r="I890" s="253"/>
      <c r="J890" s="373"/>
      <c r="K890" s="373"/>
      <c r="L890" s="373"/>
      <c r="M890" s="236"/>
    </row>
    <row r="891" spans="1:13" x14ac:dyDescent="0.3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3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3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3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3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3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3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3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3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3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3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3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3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3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3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3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3">
      <c r="A907" s="241"/>
      <c r="B907" s="373"/>
      <c r="C907" s="373"/>
      <c r="D907" s="373"/>
      <c r="E907" s="253"/>
      <c r="F907" s="373"/>
      <c r="G907" s="373"/>
      <c r="H907" s="373"/>
      <c r="I907" s="253"/>
      <c r="J907" s="373"/>
      <c r="K907" s="373"/>
      <c r="L907" s="373"/>
      <c r="M907" s="236"/>
    </row>
    <row r="908" spans="1:13" x14ac:dyDescent="0.3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3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3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3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3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3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3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3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3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3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3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3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3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3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3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3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3">
      <c r="A924" s="241"/>
      <c r="B924" s="373"/>
      <c r="C924" s="373"/>
      <c r="D924" s="373"/>
      <c r="E924" s="253"/>
      <c r="F924" s="373"/>
      <c r="G924" s="373"/>
      <c r="H924" s="373"/>
      <c r="I924" s="253"/>
      <c r="J924" s="373"/>
      <c r="K924" s="373"/>
      <c r="L924" s="373"/>
      <c r="M924" s="236"/>
    </row>
    <row r="925" spans="1:13" x14ac:dyDescent="0.3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3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3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3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3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3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3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3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3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3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3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3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3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3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3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3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3">
      <c r="A941" s="241"/>
      <c r="B941" s="373"/>
      <c r="C941" s="373"/>
      <c r="D941" s="373"/>
      <c r="E941" s="253"/>
      <c r="F941" s="373"/>
      <c r="G941" s="373"/>
      <c r="H941" s="373"/>
      <c r="I941" s="253"/>
      <c r="J941" s="373"/>
      <c r="K941" s="373"/>
      <c r="L941" s="373"/>
      <c r="M941" s="236"/>
    </row>
    <row r="942" spans="1:13" x14ac:dyDescent="0.3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3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3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3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3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3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3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3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3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3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3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3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3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3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3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3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3">
      <c r="A958" s="241"/>
      <c r="B958" s="373"/>
      <c r="C958" s="373"/>
      <c r="D958" s="373"/>
      <c r="E958" s="253"/>
      <c r="F958" s="373"/>
      <c r="G958" s="373"/>
      <c r="H958" s="373"/>
      <c r="I958" s="253"/>
      <c r="J958" s="373"/>
      <c r="K958" s="373"/>
      <c r="L958" s="373"/>
      <c r="M958" s="236"/>
    </row>
    <row r="959" spans="1:13" x14ac:dyDescent="0.3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3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3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3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3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3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3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3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3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3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3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3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3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3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3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3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3">
      <c r="A975" s="241"/>
      <c r="B975" s="373"/>
      <c r="C975" s="373"/>
      <c r="D975" s="373"/>
      <c r="E975" s="253"/>
      <c r="F975" s="373"/>
      <c r="G975" s="373"/>
      <c r="H975" s="373"/>
      <c r="I975" s="253"/>
      <c r="J975" s="373"/>
      <c r="K975" s="373"/>
      <c r="L975" s="373"/>
      <c r="M975" s="236"/>
    </row>
    <row r="976" spans="1:13" x14ac:dyDescent="0.3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3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3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3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3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3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3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3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3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3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3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3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3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3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3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3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3">
      <c r="A992" s="241"/>
      <c r="B992" s="373"/>
      <c r="C992" s="373"/>
      <c r="D992" s="373"/>
      <c r="E992" s="253"/>
      <c r="F992" s="373"/>
      <c r="G992" s="373"/>
      <c r="H992" s="373"/>
      <c r="I992" s="253"/>
      <c r="J992" s="373"/>
      <c r="K992" s="373"/>
      <c r="L992" s="373"/>
      <c r="M992" s="236"/>
    </row>
    <row r="993" spans="1:13" x14ac:dyDescent="0.3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3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3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3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3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3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3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3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3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3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3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3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3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3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3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3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3">
      <c r="A1009" s="241"/>
      <c r="B1009" s="373"/>
      <c r="C1009" s="373"/>
      <c r="D1009" s="373"/>
      <c r="E1009" s="253"/>
      <c r="F1009" s="373"/>
      <c r="G1009" s="373"/>
      <c r="H1009" s="373"/>
      <c r="I1009" s="253"/>
      <c r="J1009" s="373"/>
      <c r="K1009" s="373"/>
      <c r="L1009" s="373"/>
      <c r="M1009" s="236"/>
    </row>
    <row r="1010" spans="1:13" x14ac:dyDescent="0.3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3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3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3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3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3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3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3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3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3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3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3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3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3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3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3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3">
      <c r="A1026" s="241"/>
      <c r="B1026" s="373"/>
      <c r="C1026" s="373"/>
      <c r="D1026" s="373"/>
      <c r="E1026" s="253"/>
      <c r="F1026" s="373"/>
      <c r="G1026" s="373"/>
      <c r="H1026" s="373"/>
      <c r="I1026" s="253"/>
      <c r="J1026" s="373"/>
      <c r="K1026" s="373"/>
      <c r="L1026" s="373"/>
      <c r="M1026" s="236"/>
    </row>
    <row r="1027" spans="1:13" x14ac:dyDescent="0.3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3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3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3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3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3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3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3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3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3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3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3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3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3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3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3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3">
      <c r="A1043" s="241"/>
      <c r="B1043" s="373"/>
      <c r="C1043" s="373"/>
      <c r="D1043" s="373"/>
      <c r="E1043" s="253"/>
      <c r="F1043" s="373"/>
      <c r="G1043" s="373"/>
      <c r="H1043" s="373"/>
      <c r="I1043" s="253"/>
      <c r="J1043" s="373"/>
      <c r="K1043" s="373"/>
      <c r="L1043" s="373"/>
      <c r="M1043" s="236"/>
    </row>
    <row r="1044" spans="1:13" x14ac:dyDescent="0.3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3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3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3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3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3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3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3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3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3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3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3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3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3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3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3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3">
      <c r="A1060" s="241"/>
      <c r="B1060" s="373"/>
      <c r="C1060" s="373"/>
      <c r="D1060" s="373"/>
      <c r="E1060" s="253"/>
      <c r="F1060" s="373"/>
      <c r="G1060" s="373"/>
      <c r="H1060" s="373"/>
      <c r="I1060" s="253"/>
      <c r="J1060" s="373"/>
      <c r="K1060" s="373"/>
      <c r="L1060" s="373"/>
      <c r="M1060" s="236"/>
    </row>
    <row r="1061" spans="1:13" x14ac:dyDescent="0.3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3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3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3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3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3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3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3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3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3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3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3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3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3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3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3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3">
      <c r="A1077" s="241"/>
      <c r="B1077" s="373"/>
      <c r="C1077" s="373"/>
      <c r="D1077" s="373"/>
      <c r="E1077" s="253"/>
      <c r="F1077" s="373"/>
      <c r="G1077" s="373"/>
      <c r="H1077" s="373"/>
      <c r="I1077" s="253"/>
      <c r="J1077" s="373"/>
      <c r="K1077" s="373"/>
      <c r="L1077" s="373"/>
      <c r="M1077" s="236"/>
    </row>
    <row r="1078" spans="1:13" x14ac:dyDescent="0.3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3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3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3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3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3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3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3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3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3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3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3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3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3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3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3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3">
      <c r="A1094" s="241"/>
      <c r="B1094" s="373"/>
      <c r="C1094" s="373"/>
      <c r="D1094" s="373"/>
      <c r="E1094" s="253"/>
      <c r="F1094" s="373"/>
      <c r="G1094" s="373"/>
      <c r="H1094" s="373"/>
      <c r="I1094" s="253"/>
      <c r="J1094" s="373"/>
      <c r="K1094" s="373"/>
      <c r="L1094" s="373"/>
      <c r="M1094" s="236"/>
    </row>
    <row r="1095" spans="1:13" x14ac:dyDescent="0.3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3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3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3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3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3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3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3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3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3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3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3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3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3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3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3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3">
      <c r="A1111" s="241"/>
      <c r="B1111" s="373"/>
      <c r="C1111" s="373"/>
      <c r="D1111" s="373"/>
      <c r="E1111" s="253"/>
      <c r="F1111" s="373"/>
      <c r="G1111" s="373"/>
      <c r="H1111" s="373"/>
      <c r="I1111" s="253"/>
      <c r="J1111" s="373"/>
      <c r="K1111" s="373"/>
      <c r="L1111" s="373"/>
      <c r="M1111" s="236"/>
    </row>
    <row r="1112" spans="1:13" x14ac:dyDescent="0.3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3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3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3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3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3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3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3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3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3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3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3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3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3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3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3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3">
      <c r="A1128" s="241"/>
      <c r="B1128" s="373"/>
      <c r="C1128" s="373"/>
      <c r="D1128" s="373"/>
      <c r="E1128" s="253"/>
      <c r="F1128" s="373"/>
      <c r="G1128" s="373"/>
      <c r="H1128" s="373"/>
      <c r="I1128" s="253"/>
      <c r="J1128" s="373"/>
      <c r="K1128" s="373"/>
      <c r="L1128" s="373"/>
      <c r="M1128" s="236"/>
    </row>
    <row r="1129" spans="1:13" x14ac:dyDescent="0.3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3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3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3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3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3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3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3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3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3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3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3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3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3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3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3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3">
      <c r="A1145" s="241"/>
      <c r="B1145" s="373"/>
      <c r="C1145" s="373"/>
      <c r="D1145" s="373"/>
      <c r="E1145" s="253"/>
      <c r="F1145" s="373"/>
      <c r="G1145" s="373"/>
      <c r="H1145" s="373"/>
      <c r="I1145" s="253"/>
      <c r="J1145" s="373"/>
      <c r="K1145" s="373"/>
      <c r="L1145" s="373"/>
      <c r="M1145" s="236"/>
    </row>
    <row r="1146" spans="1:13" x14ac:dyDescent="0.3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3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3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3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3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3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3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3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3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3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3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3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3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3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3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3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3">
      <c r="A1162" s="241"/>
      <c r="B1162" s="373"/>
      <c r="C1162" s="373"/>
      <c r="D1162" s="373"/>
      <c r="E1162" s="253"/>
      <c r="F1162" s="373"/>
      <c r="G1162" s="373"/>
      <c r="H1162" s="373"/>
      <c r="I1162" s="253"/>
      <c r="J1162" s="373"/>
      <c r="K1162" s="373"/>
      <c r="L1162" s="373"/>
      <c r="M1162" s="236"/>
    </row>
    <row r="1163" spans="1:13" x14ac:dyDescent="0.3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3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3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3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3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3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3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3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3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3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3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3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3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3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3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3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3">
      <c r="A1179" s="241"/>
      <c r="B1179" s="373"/>
      <c r="C1179" s="373"/>
      <c r="D1179" s="373"/>
      <c r="E1179" s="253"/>
      <c r="F1179" s="373"/>
      <c r="G1179" s="373"/>
      <c r="H1179" s="373"/>
      <c r="I1179" s="253"/>
      <c r="J1179" s="373"/>
      <c r="K1179" s="373"/>
      <c r="L1179" s="373"/>
      <c r="M1179" s="236"/>
    </row>
    <row r="1180" spans="1:13" x14ac:dyDescent="0.3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3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3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3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3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3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3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3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3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3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3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3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3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3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3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3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3">
      <c r="A1196" s="241"/>
      <c r="B1196" s="373"/>
      <c r="C1196" s="373"/>
      <c r="D1196" s="373"/>
      <c r="E1196" s="253"/>
      <c r="F1196" s="373"/>
      <c r="G1196" s="373"/>
      <c r="H1196" s="373"/>
      <c r="I1196" s="253"/>
      <c r="J1196" s="373"/>
      <c r="K1196" s="373"/>
      <c r="L1196" s="373"/>
      <c r="M1196" s="236"/>
    </row>
    <row r="1197" spans="1:13" x14ac:dyDescent="0.3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3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3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3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3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3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3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3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3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3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3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3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3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3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3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3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3">
      <c r="A1213" s="241"/>
      <c r="B1213" s="373"/>
      <c r="C1213" s="373"/>
      <c r="D1213" s="373"/>
      <c r="E1213" s="253"/>
      <c r="F1213" s="373"/>
      <c r="G1213" s="373"/>
      <c r="H1213" s="373"/>
      <c r="I1213" s="253"/>
      <c r="J1213" s="373"/>
      <c r="K1213" s="373"/>
      <c r="L1213" s="373"/>
      <c r="M1213" s="236"/>
    </row>
    <row r="1214" spans="1:13" x14ac:dyDescent="0.3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3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3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3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3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3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3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3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3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3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3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3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3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3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3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3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3">
      <c r="A1230" s="241"/>
      <c r="B1230" s="373"/>
      <c r="C1230" s="373"/>
      <c r="D1230" s="373"/>
      <c r="E1230" s="253"/>
      <c r="F1230" s="373"/>
      <c r="G1230" s="373"/>
      <c r="H1230" s="373"/>
      <c r="I1230" s="253"/>
      <c r="J1230" s="373"/>
      <c r="K1230" s="373"/>
      <c r="L1230" s="373"/>
      <c r="M1230" s="236"/>
    </row>
    <row r="1231" spans="1:13" x14ac:dyDescent="0.3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3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3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3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3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3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3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3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3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3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3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3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3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3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3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3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3">
      <c r="A1247" s="241"/>
      <c r="B1247" s="373"/>
      <c r="C1247" s="373"/>
      <c r="D1247" s="373"/>
      <c r="E1247" s="253"/>
      <c r="F1247" s="373"/>
      <c r="G1247" s="373"/>
      <c r="H1247" s="373"/>
      <c r="I1247" s="253"/>
      <c r="J1247" s="373"/>
      <c r="K1247" s="373"/>
      <c r="L1247" s="373"/>
      <c r="M1247" s="236"/>
    </row>
    <row r="1248" spans="1:13" x14ac:dyDescent="0.3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3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3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3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3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3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3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3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3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3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3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3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3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3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3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3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3">
      <c r="A1264" s="241"/>
      <c r="B1264" s="373"/>
      <c r="C1264" s="373"/>
      <c r="D1264" s="373"/>
      <c r="E1264" s="253"/>
      <c r="F1264" s="373"/>
      <c r="G1264" s="373"/>
      <c r="H1264" s="373"/>
      <c r="I1264" s="253"/>
      <c r="J1264" s="373"/>
      <c r="K1264" s="373"/>
      <c r="L1264" s="373"/>
      <c r="M1264" s="236"/>
    </row>
    <row r="1265" spans="1:13" x14ac:dyDescent="0.3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3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3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3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3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3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3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3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3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3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3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3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3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3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3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3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3">
      <c r="A1281" s="241"/>
      <c r="B1281" s="373"/>
      <c r="C1281" s="373"/>
      <c r="D1281" s="373"/>
      <c r="E1281" s="253"/>
      <c r="F1281" s="373"/>
      <c r="G1281" s="373"/>
      <c r="H1281" s="373"/>
      <c r="I1281" s="253"/>
      <c r="J1281" s="373"/>
      <c r="K1281" s="373"/>
      <c r="L1281" s="373"/>
      <c r="M1281" s="236"/>
    </row>
    <row r="1282" spans="1:13" x14ac:dyDescent="0.3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3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3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3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3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3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3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3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3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3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3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3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3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3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3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3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3">
      <c r="A1298" s="241"/>
      <c r="B1298" s="373"/>
      <c r="C1298" s="373"/>
      <c r="D1298" s="373"/>
      <c r="E1298" s="253"/>
      <c r="F1298" s="373"/>
      <c r="G1298" s="373"/>
      <c r="H1298" s="373"/>
      <c r="I1298" s="253"/>
      <c r="J1298" s="373"/>
      <c r="K1298" s="373"/>
      <c r="L1298" s="373"/>
      <c r="M1298" s="236"/>
    </row>
    <row r="1299" spans="1:13" x14ac:dyDescent="0.3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3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3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3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3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3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3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3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3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3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3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3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3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3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8" max="20" man="1"/>
  </rowBreaks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AU54"/>
  <sheetViews>
    <sheetView showGridLines="0" zoomScale="85" zoomScaleNormal="85" workbookViewId="0"/>
  </sheetViews>
  <sheetFormatPr defaultColWidth="9.15234375" defaultRowHeight="12.45" x14ac:dyDescent="0.3"/>
  <cols>
    <col min="1" max="1" width="39.3046875" customWidth="1"/>
    <col min="2" max="2" width="6.69140625" bestFit="1" customWidth="1"/>
    <col min="3" max="4" width="5.69140625" bestFit="1" customWidth="1"/>
    <col min="5" max="5" width="6.69140625" bestFit="1" customWidth="1"/>
    <col min="6" max="6" width="2.84375" customWidth="1"/>
    <col min="7" max="7" width="6.69140625" bestFit="1" customWidth="1"/>
    <col min="8" max="9" width="5.69140625" bestFit="1" customWidth="1"/>
    <col min="10" max="10" width="6.69140625" bestFit="1" customWidth="1"/>
    <col min="11" max="11" width="2.84375" customWidth="1"/>
    <col min="12" max="13" width="6.69140625" bestFit="1" customWidth="1"/>
    <col min="14" max="14" width="5.69140625" bestFit="1" customWidth="1"/>
    <col min="15" max="15" width="6.69140625" bestFit="1" customWidth="1"/>
    <col min="16" max="16" width="6.69140625" customWidth="1"/>
    <col min="17" max="17" width="39.3046875" customWidth="1"/>
    <col min="18" max="18" width="6.69140625" customWidth="1"/>
    <col min="19" max="20" width="5.69140625" customWidth="1"/>
    <col min="21" max="21" width="6.69140625" customWidth="1"/>
    <col min="22" max="22" width="2.84375" customWidth="1"/>
    <col min="23" max="23" width="6.69140625" customWidth="1"/>
    <col min="24" max="25" width="5.69140625" customWidth="1"/>
    <col min="26" max="26" width="6.69140625" customWidth="1"/>
    <col min="27" max="27" width="2.84375" customWidth="1"/>
    <col min="28" max="29" width="6.69140625" customWidth="1"/>
    <col min="30" max="30" width="5.69140625" customWidth="1"/>
    <col min="31" max="31" width="6.69140625" customWidth="1"/>
    <col min="32" max="32" width="6.84375" customWidth="1"/>
    <col min="33" max="33" width="39.3046875" customWidth="1"/>
    <col min="34" max="34" width="6.69140625" customWidth="1"/>
    <col min="35" max="36" width="5.69140625" customWidth="1"/>
    <col min="37" max="37" width="6.69140625" customWidth="1"/>
    <col min="38" max="38" width="2.84375" customWidth="1"/>
    <col min="39" max="39" width="6.69140625" customWidth="1"/>
    <col min="40" max="41" width="5.69140625" customWidth="1"/>
    <col min="42" max="42" width="6.69140625" customWidth="1"/>
    <col min="43" max="43" width="2.84375" customWidth="1"/>
    <col min="44" max="45" width="6.69140625" customWidth="1"/>
    <col min="46" max="46" width="5.69140625" customWidth="1"/>
    <col min="47" max="47" width="6.69140625" customWidth="1"/>
  </cols>
  <sheetData>
    <row r="1" spans="1:47" ht="15.45" x14ac:dyDescent="0.4">
      <c r="A1" s="18" t="str">
        <f>CONCATENATE("Occupation Table 5  Employment Change by Status (SOC 2020), ",B$5,"-",L$5,", ",Info!B5)</f>
        <v>Occupation Table 5  Employment Change by Status (SOC 2020), 2015-2035, United Kingdom</v>
      </c>
      <c r="Q1" s="18" t="str">
        <f>CONCATENATE("Occupation Table 5.1  Males: Employment Change by Status (SOC 2020), ",B$5,"-",L$5,", ",Info!B5)</f>
        <v>Occupation Table 5.1  Males: Employment Change by Status (SOC 2020), 2015-2035, United Kingdom</v>
      </c>
      <c r="AG1" s="18" t="str">
        <f>CONCATENATE("Occupation Table 5.2  Females: Employment Change by Status (SOC 2020), ",R$5,"-",AB$5,", ",Info!B5)</f>
        <v>Occupation Table 5.2  Females: Employment Change by Status (SOC 2020), 2015-2035, United Kingdom</v>
      </c>
    </row>
    <row r="2" spans="1:47" x14ac:dyDescent="0.3">
      <c r="A2" s="1" t="s">
        <v>534</v>
      </c>
    </row>
    <row r="3" spans="1:47" x14ac:dyDescent="0.3">
      <c r="O3" s="15" t="s">
        <v>35</v>
      </c>
      <c r="AE3" s="15" t="s">
        <v>35</v>
      </c>
      <c r="AU3" s="15" t="s">
        <v>35</v>
      </c>
    </row>
    <row r="4" spans="1:47" x14ac:dyDescent="0.3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</row>
    <row r="5" spans="1:47" x14ac:dyDescent="0.3">
      <c r="B5" s="376">
        <v>2015</v>
      </c>
      <c r="C5" s="376"/>
      <c r="D5" s="376"/>
      <c r="E5" s="376"/>
      <c r="F5" s="1"/>
      <c r="G5" s="376">
        <v>2020</v>
      </c>
      <c r="H5" s="376"/>
      <c r="I5" s="376"/>
      <c r="J5" s="376"/>
      <c r="K5" s="1"/>
      <c r="L5" s="376">
        <v>2035</v>
      </c>
      <c r="M5" s="376"/>
      <c r="N5" s="376"/>
      <c r="O5" s="376"/>
      <c r="R5" s="376">
        <f>B5</f>
        <v>2015</v>
      </c>
      <c r="S5" s="376"/>
      <c r="T5" s="376"/>
      <c r="U5" s="376"/>
      <c r="V5" s="1"/>
      <c r="W5" s="376">
        <f>G5</f>
        <v>2020</v>
      </c>
      <c r="X5" s="376"/>
      <c r="Y5" s="376"/>
      <c r="Z5" s="376"/>
      <c r="AA5" s="1"/>
      <c r="AB5" s="376">
        <f>L5</f>
        <v>2035</v>
      </c>
      <c r="AC5" s="376"/>
      <c r="AD5" s="376"/>
      <c r="AE5" s="376"/>
      <c r="AH5" s="376">
        <f>B5</f>
        <v>2015</v>
      </c>
      <c r="AI5" s="376"/>
      <c r="AJ5" s="376"/>
      <c r="AK5" s="376"/>
      <c r="AL5" s="1"/>
      <c r="AM5" s="376">
        <f>G5</f>
        <v>2020</v>
      </c>
      <c r="AN5" s="376"/>
      <c r="AO5" s="376"/>
      <c r="AP5" s="376"/>
      <c r="AQ5" s="1"/>
      <c r="AR5" s="376">
        <f>L5</f>
        <v>2035</v>
      </c>
      <c r="AS5" s="376"/>
      <c r="AT5" s="376"/>
      <c r="AU5" s="376"/>
    </row>
    <row r="6" spans="1:47" x14ac:dyDescent="0.3">
      <c r="A6" s="40" t="s">
        <v>13</v>
      </c>
      <c r="B6" s="337" t="s">
        <v>339</v>
      </c>
      <c r="C6" s="337" t="s">
        <v>341</v>
      </c>
      <c r="D6" s="337" t="s">
        <v>337</v>
      </c>
      <c r="E6" s="337" t="s">
        <v>32</v>
      </c>
      <c r="F6" s="338"/>
      <c r="G6" s="337" t="s">
        <v>339</v>
      </c>
      <c r="H6" s="337" t="s">
        <v>341</v>
      </c>
      <c r="I6" s="337" t="s">
        <v>337</v>
      </c>
      <c r="J6" s="337" t="s">
        <v>32</v>
      </c>
      <c r="K6" s="338"/>
      <c r="L6" s="337" t="s">
        <v>339</v>
      </c>
      <c r="M6" s="337" t="s">
        <v>341</v>
      </c>
      <c r="N6" s="337" t="s">
        <v>337</v>
      </c>
      <c r="O6" s="337" t="s">
        <v>32</v>
      </c>
      <c r="Q6" s="40" t="s">
        <v>13</v>
      </c>
      <c r="R6" s="337" t="s">
        <v>339</v>
      </c>
      <c r="S6" s="337" t="s">
        <v>341</v>
      </c>
      <c r="T6" s="337" t="s">
        <v>337</v>
      </c>
      <c r="U6" s="337" t="s">
        <v>32</v>
      </c>
      <c r="V6" s="338"/>
      <c r="W6" s="337" t="s">
        <v>339</v>
      </c>
      <c r="X6" s="337" t="s">
        <v>341</v>
      </c>
      <c r="Y6" s="337" t="s">
        <v>337</v>
      </c>
      <c r="Z6" s="337" t="s">
        <v>32</v>
      </c>
      <c r="AA6" s="338"/>
      <c r="AB6" s="337" t="s">
        <v>339</v>
      </c>
      <c r="AC6" s="337" t="s">
        <v>341</v>
      </c>
      <c r="AD6" s="337" t="s">
        <v>337</v>
      </c>
      <c r="AE6" s="337" t="s">
        <v>32</v>
      </c>
      <c r="AG6" s="40" t="s">
        <v>13</v>
      </c>
      <c r="AH6" s="337" t="s">
        <v>339</v>
      </c>
      <c r="AI6" s="337" t="s">
        <v>341</v>
      </c>
      <c r="AJ6" s="337" t="s">
        <v>337</v>
      </c>
      <c r="AK6" s="337" t="s">
        <v>32</v>
      </c>
      <c r="AL6" s="338"/>
      <c r="AM6" s="337" t="s">
        <v>339</v>
      </c>
      <c r="AN6" s="337" t="s">
        <v>341</v>
      </c>
      <c r="AO6" s="337" t="s">
        <v>337</v>
      </c>
      <c r="AP6" s="337" t="s">
        <v>32</v>
      </c>
      <c r="AQ6" s="338"/>
      <c r="AR6" s="337" t="s">
        <v>339</v>
      </c>
      <c r="AS6" s="337" t="s">
        <v>341</v>
      </c>
      <c r="AT6" s="337" t="s">
        <v>337</v>
      </c>
      <c r="AU6" s="337" t="s">
        <v>32</v>
      </c>
    </row>
    <row r="7" spans="1:47" x14ac:dyDescent="0.3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3">
      <c r="A8" t="str">
        <f>name!E4</f>
        <v>Managers, directors and senior officials</v>
      </c>
      <c r="B8" s="11">
        <v>2304.3472835539219</v>
      </c>
      <c r="C8" s="11">
        <v>321.55495875577003</v>
      </c>
      <c r="D8" s="11">
        <v>579.52289602648489</v>
      </c>
      <c r="E8" s="11">
        <f>SUM(B8:D8)</f>
        <v>3205.425138336177</v>
      </c>
      <c r="F8" s="11"/>
      <c r="G8" s="11">
        <v>2603.71367606787</v>
      </c>
      <c r="H8" s="11">
        <v>495.36996654949195</v>
      </c>
      <c r="I8" s="11">
        <v>647.475559437372</v>
      </c>
      <c r="J8" s="11">
        <f>SUM(G8:I8)</f>
        <v>3746.5592020547338</v>
      </c>
      <c r="K8" s="11"/>
      <c r="L8" s="11">
        <v>2932.6542482712216</v>
      </c>
      <c r="M8" s="11">
        <v>634.02354552569261</v>
      </c>
      <c r="N8" s="11">
        <v>751.57107655686423</v>
      </c>
      <c r="O8" s="11">
        <f>SUM(L8:N8)</f>
        <v>4318.2488703537783</v>
      </c>
      <c r="Q8" s="10" t="str">
        <f>name!E4</f>
        <v>Managers, directors and senior officials</v>
      </c>
      <c r="R8" s="11">
        <v>1621.2633077742116</v>
      </c>
      <c r="S8" s="11">
        <v>117.2418002144979</v>
      </c>
      <c r="T8" s="11">
        <v>390.64501974431113</v>
      </c>
      <c r="U8" s="11">
        <f>SUM(R8:T8)</f>
        <v>2129.1501277330208</v>
      </c>
      <c r="V8" s="11"/>
      <c r="W8" s="11">
        <v>1792.9899058881324</v>
      </c>
      <c r="X8" s="11">
        <v>185.84959649733972</v>
      </c>
      <c r="Y8" s="11">
        <v>407.90475825642329</v>
      </c>
      <c r="Z8" s="11">
        <f>SUM(W8:Y8)</f>
        <v>2386.7442606418954</v>
      </c>
      <c r="AA8" s="11"/>
      <c r="AB8" s="11">
        <v>1884.3202219057246</v>
      </c>
      <c r="AC8" s="11">
        <v>250.29392928558599</v>
      </c>
      <c r="AD8" s="11">
        <v>483.94209358857478</v>
      </c>
      <c r="AE8" s="11">
        <f>SUM(AB8:AD8)</f>
        <v>2618.5562447798852</v>
      </c>
      <c r="AG8" s="10" t="str">
        <f>name!E4</f>
        <v>Managers, directors and senior officials</v>
      </c>
      <c r="AH8" s="11">
        <v>683.08397577971152</v>
      </c>
      <c r="AI8" s="11">
        <v>204.31315854127197</v>
      </c>
      <c r="AJ8" s="11">
        <v>188.87787628217356</v>
      </c>
      <c r="AK8" s="11">
        <f>SUM(AH8:AJ8)</f>
        <v>1076.2750106031569</v>
      </c>
      <c r="AL8" s="11"/>
      <c r="AM8" s="11">
        <v>810.72377017973906</v>
      </c>
      <c r="AN8" s="11">
        <v>309.52037005215266</v>
      </c>
      <c r="AO8" s="11">
        <v>239.57080118094811</v>
      </c>
      <c r="AP8" s="11">
        <f>SUM(AM8:AO8)</f>
        <v>1359.81494141284</v>
      </c>
      <c r="AQ8" s="11"/>
      <c r="AR8" s="11">
        <v>1048.3340263655014</v>
      </c>
      <c r="AS8" s="11">
        <v>383.729616240106</v>
      </c>
      <c r="AT8" s="11">
        <v>267.62898296828934</v>
      </c>
      <c r="AU8" s="11">
        <f>SUM(AR8:AT8)</f>
        <v>1699.6926255738967</v>
      </c>
    </row>
    <row r="9" spans="1:47" x14ac:dyDescent="0.3">
      <c r="A9" t="str">
        <f>name!E5</f>
        <v>Professional occupations</v>
      </c>
      <c r="B9" s="11">
        <v>4807.4923098009804</v>
      </c>
      <c r="C9" s="11">
        <v>1274.6237243986975</v>
      </c>
      <c r="D9" s="11">
        <v>803.36581133403456</v>
      </c>
      <c r="E9" s="11">
        <f t="shared" ref="E9:E18" si="0">SUM(B9:D9)</f>
        <v>6885.4818455337127</v>
      </c>
      <c r="F9" s="11"/>
      <c r="G9" s="11">
        <v>5765.0959573611062</v>
      </c>
      <c r="H9" s="11">
        <v>1578.07211787902</v>
      </c>
      <c r="I9" s="11">
        <v>856.41163496026809</v>
      </c>
      <c r="J9" s="11">
        <f t="shared" ref="J9:J16" si="1">SUM(G9:I9)</f>
        <v>8199.5797102003944</v>
      </c>
      <c r="K9" s="11"/>
      <c r="L9" s="11">
        <v>7006.6374209516616</v>
      </c>
      <c r="M9" s="11">
        <v>1975.5384709592754</v>
      </c>
      <c r="N9" s="11">
        <v>859.64118854286642</v>
      </c>
      <c r="O9" s="11">
        <f t="shared" ref="O9:O16" si="2">SUM(L9:N9)</f>
        <v>9841.817080453804</v>
      </c>
      <c r="Q9" s="10" t="str">
        <f>name!E5</f>
        <v>Professional occupations</v>
      </c>
      <c r="R9" s="11">
        <v>2751.9552332523317</v>
      </c>
      <c r="S9" s="11">
        <v>246.78190587322828</v>
      </c>
      <c r="T9" s="11">
        <v>508.60453362106625</v>
      </c>
      <c r="U9" s="11">
        <f t="shared" ref="U9:U16" si="3">SUM(R9:T9)</f>
        <v>3507.3416727466265</v>
      </c>
      <c r="V9" s="11"/>
      <c r="W9" s="11">
        <v>3242.487765652555</v>
      </c>
      <c r="X9" s="11">
        <v>366.31915626259763</v>
      </c>
      <c r="Y9" s="11">
        <v>485.22183563386307</v>
      </c>
      <c r="Z9" s="11">
        <f t="shared" ref="Z9:Z16" si="4">SUM(W9:Y9)</f>
        <v>4094.0287575490156</v>
      </c>
      <c r="AA9" s="11"/>
      <c r="AB9" s="11">
        <v>3819.0332724922996</v>
      </c>
      <c r="AC9" s="11">
        <v>500.66243631593932</v>
      </c>
      <c r="AD9" s="11">
        <v>457.12360694581702</v>
      </c>
      <c r="AE9" s="11">
        <f t="shared" ref="AE9:AE16" si="5">SUM(AB9:AD9)</f>
        <v>4776.8193157540563</v>
      </c>
      <c r="AG9" s="10" t="str">
        <f>name!E5</f>
        <v>Professional occupations</v>
      </c>
      <c r="AH9" s="11">
        <v>2055.537076548645</v>
      </c>
      <c r="AI9" s="11">
        <v>1027.8418185254691</v>
      </c>
      <c r="AJ9" s="11">
        <v>294.76127771296842</v>
      </c>
      <c r="AK9" s="11">
        <f t="shared" ref="AK9:AK18" si="6">SUM(AH9:AJ9)</f>
        <v>3378.1401727870825</v>
      </c>
      <c r="AL9" s="11"/>
      <c r="AM9" s="11">
        <v>2522.6081917085439</v>
      </c>
      <c r="AN9" s="11">
        <v>1211.7529616164225</v>
      </c>
      <c r="AO9" s="11">
        <v>371.18979932640519</v>
      </c>
      <c r="AP9" s="11">
        <f t="shared" ref="AP9:AP18" si="7">SUM(AM9:AO9)</f>
        <v>4105.5509526513715</v>
      </c>
      <c r="AQ9" s="11"/>
      <c r="AR9" s="11">
        <v>3187.6041484593616</v>
      </c>
      <c r="AS9" s="11">
        <v>1474.876034643336</v>
      </c>
      <c r="AT9" s="11">
        <v>402.51758159704923</v>
      </c>
      <c r="AU9" s="11">
        <f t="shared" ref="AU9:AU18" si="8">SUM(AR9:AT9)</f>
        <v>5064.9977646997468</v>
      </c>
    </row>
    <row r="10" spans="1:47" x14ac:dyDescent="0.3">
      <c r="A10" t="str">
        <f>name!E6</f>
        <v>Associate professional occupations</v>
      </c>
      <c r="B10" s="11">
        <v>2807.3289094850616</v>
      </c>
      <c r="C10" s="11">
        <v>773.39955148243143</v>
      </c>
      <c r="D10" s="11">
        <v>638.74198134499807</v>
      </c>
      <c r="E10" s="11">
        <f t="shared" si="0"/>
        <v>4219.4704423124913</v>
      </c>
      <c r="F10" s="11"/>
      <c r="G10" s="11">
        <v>3219.9050238916921</v>
      </c>
      <c r="H10" s="11">
        <v>915.47760986452136</v>
      </c>
      <c r="I10" s="11">
        <v>646.54126278015042</v>
      </c>
      <c r="J10" s="11">
        <f t="shared" si="1"/>
        <v>4781.9238965363638</v>
      </c>
      <c r="K10" s="11"/>
      <c r="L10" s="11">
        <v>3394.4567133818446</v>
      </c>
      <c r="M10" s="11">
        <v>995.87609665664843</v>
      </c>
      <c r="N10" s="11">
        <v>687.98413588405265</v>
      </c>
      <c r="O10" s="11">
        <f t="shared" si="2"/>
        <v>5078.3169459225464</v>
      </c>
      <c r="Q10" s="10" t="str">
        <f>name!E6</f>
        <v>Associate professional occupations</v>
      </c>
      <c r="R10" s="11">
        <v>1749.5154085351182</v>
      </c>
      <c r="S10" s="11">
        <v>190.05862531062675</v>
      </c>
      <c r="T10" s="11">
        <v>338.53980207895302</v>
      </c>
      <c r="U10" s="11">
        <f t="shared" si="3"/>
        <v>2278.1138359246979</v>
      </c>
      <c r="V10" s="11"/>
      <c r="W10" s="11">
        <v>1942.2710879649967</v>
      </c>
      <c r="X10" s="11">
        <v>258.54284904810197</v>
      </c>
      <c r="Y10" s="11">
        <v>315.84389027677406</v>
      </c>
      <c r="Z10" s="11">
        <f t="shared" si="4"/>
        <v>2516.6578272898723</v>
      </c>
      <c r="AA10" s="11"/>
      <c r="AB10" s="11">
        <v>1902.1108365020784</v>
      </c>
      <c r="AC10" s="11">
        <v>243.36117467903134</v>
      </c>
      <c r="AD10" s="11">
        <v>321.83194012529952</v>
      </c>
      <c r="AE10" s="11">
        <f t="shared" si="5"/>
        <v>2467.3039513064095</v>
      </c>
      <c r="AG10" s="10" t="str">
        <f>name!E6</f>
        <v>Associate professional occupations</v>
      </c>
      <c r="AH10" s="11">
        <v>1057.8135009499422</v>
      </c>
      <c r="AI10" s="11">
        <v>583.34092617180477</v>
      </c>
      <c r="AJ10" s="11">
        <v>300.2021792660446</v>
      </c>
      <c r="AK10" s="11">
        <f t="shared" si="6"/>
        <v>1941.3566063877915</v>
      </c>
      <c r="AL10" s="11"/>
      <c r="AM10" s="11">
        <v>1277.6339359266972</v>
      </c>
      <c r="AN10" s="11">
        <v>656.93476081641859</v>
      </c>
      <c r="AO10" s="11">
        <v>330.69737250337636</v>
      </c>
      <c r="AP10" s="11">
        <f t="shared" si="7"/>
        <v>2265.266069246492</v>
      </c>
      <c r="AQ10" s="11"/>
      <c r="AR10" s="11">
        <v>1492.3458768797657</v>
      </c>
      <c r="AS10" s="11">
        <v>752.51492197761661</v>
      </c>
      <c r="AT10" s="11">
        <v>366.15219575875312</v>
      </c>
      <c r="AU10" s="11">
        <f t="shared" si="8"/>
        <v>2611.0129946161351</v>
      </c>
    </row>
    <row r="11" spans="1:47" x14ac:dyDescent="0.3">
      <c r="A11" t="str">
        <f>name!E7</f>
        <v>Administrative and secretarial occupations</v>
      </c>
      <c r="B11" s="11">
        <v>2133.3121485168058</v>
      </c>
      <c r="C11" s="11">
        <v>1443.43077258217</v>
      </c>
      <c r="D11" s="11">
        <v>158.86965937438163</v>
      </c>
      <c r="E11" s="11">
        <f t="shared" si="0"/>
        <v>3735.6125804733574</v>
      </c>
      <c r="F11" s="11"/>
      <c r="G11" s="11">
        <v>2139.1536481974422</v>
      </c>
      <c r="H11" s="11">
        <v>1453.8980218423605</v>
      </c>
      <c r="I11" s="11">
        <v>148.69161741765825</v>
      </c>
      <c r="J11" s="11">
        <f t="shared" si="1"/>
        <v>3741.7432874574611</v>
      </c>
      <c r="K11" s="11"/>
      <c r="L11" s="11">
        <v>1848.7631001582067</v>
      </c>
      <c r="M11" s="11">
        <v>1255.226909803622</v>
      </c>
      <c r="N11" s="11">
        <v>150.97280546037669</v>
      </c>
      <c r="O11" s="11">
        <f t="shared" si="2"/>
        <v>3254.9628154222055</v>
      </c>
      <c r="Q11" s="10" t="str">
        <f>name!E7</f>
        <v>Administrative and secretarial occupations</v>
      </c>
      <c r="R11" s="11">
        <v>722.25234061287074</v>
      </c>
      <c r="S11" s="11">
        <v>183.47527605165166</v>
      </c>
      <c r="T11" s="11">
        <v>45.242606726079892</v>
      </c>
      <c r="U11" s="11">
        <f t="shared" si="3"/>
        <v>950.97022339060231</v>
      </c>
      <c r="V11" s="11"/>
      <c r="W11" s="11">
        <v>785.58812832623789</v>
      </c>
      <c r="X11" s="11">
        <v>226.36398410107526</v>
      </c>
      <c r="Y11" s="11">
        <v>36.284354643221029</v>
      </c>
      <c r="Z11" s="11">
        <f t="shared" si="4"/>
        <v>1048.2364670705342</v>
      </c>
      <c r="AA11" s="11"/>
      <c r="AB11" s="11">
        <v>835.99707160079424</v>
      </c>
      <c r="AC11" s="11">
        <v>220.68484801825977</v>
      </c>
      <c r="AD11" s="11">
        <v>50.278105634430439</v>
      </c>
      <c r="AE11" s="11">
        <f t="shared" si="5"/>
        <v>1106.9600252534844</v>
      </c>
      <c r="AG11" s="10" t="str">
        <f>name!E7</f>
        <v>Administrative and secretarial occupations</v>
      </c>
      <c r="AH11" s="11">
        <v>1411.0598079039348</v>
      </c>
      <c r="AI11" s="11">
        <v>1259.9554965305197</v>
      </c>
      <c r="AJ11" s="11">
        <v>113.6270526483016</v>
      </c>
      <c r="AK11" s="11">
        <f t="shared" si="6"/>
        <v>2784.642357082756</v>
      </c>
      <c r="AL11" s="11"/>
      <c r="AM11" s="11">
        <v>1353.5655198712038</v>
      </c>
      <c r="AN11" s="11">
        <v>1227.5340377412863</v>
      </c>
      <c r="AO11" s="11">
        <v>112.40726277443737</v>
      </c>
      <c r="AP11" s="11">
        <f t="shared" si="7"/>
        <v>2693.5068203869273</v>
      </c>
      <c r="AQ11" s="11"/>
      <c r="AR11" s="11">
        <v>1012.766028557412</v>
      </c>
      <c r="AS11" s="11">
        <v>1034.5420617853624</v>
      </c>
      <c r="AT11" s="11">
        <v>100.69469982594622</v>
      </c>
      <c r="AU11" s="11">
        <f t="shared" si="8"/>
        <v>2148.0027901687208</v>
      </c>
    </row>
    <row r="12" spans="1:47" x14ac:dyDescent="0.3">
      <c r="A12" t="str">
        <f>name!E8</f>
        <v>Skilled trades occupations</v>
      </c>
      <c r="B12" s="11">
        <v>2050.2422672392886</v>
      </c>
      <c r="C12" s="11">
        <v>323.19108740410348</v>
      </c>
      <c r="D12" s="11">
        <v>1115.6556145837055</v>
      </c>
      <c r="E12" s="11">
        <f t="shared" si="0"/>
        <v>3489.0889692270976</v>
      </c>
      <c r="F12" s="11"/>
      <c r="G12" s="11">
        <v>1737.4404849048467</v>
      </c>
      <c r="H12" s="11">
        <v>287.08197203976971</v>
      </c>
      <c r="I12" s="11">
        <v>1004.4058098938749</v>
      </c>
      <c r="J12" s="11">
        <f t="shared" si="1"/>
        <v>3028.9282668384913</v>
      </c>
      <c r="K12" s="11"/>
      <c r="L12" s="11">
        <v>1543.5712499609124</v>
      </c>
      <c r="M12" s="11">
        <v>336.1357806102161</v>
      </c>
      <c r="N12" s="11">
        <v>1110.3458255075077</v>
      </c>
      <c r="O12" s="11">
        <f t="shared" si="2"/>
        <v>2990.0528560786361</v>
      </c>
      <c r="Q12" s="10" t="str">
        <f>name!E8</f>
        <v>Skilled trades occupations</v>
      </c>
      <c r="R12" s="11">
        <v>1900.8882324007554</v>
      </c>
      <c r="S12" s="11">
        <v>210.25307773974311</v>
      </c>
      <c r="T12" s="11">
        <v>1010.1585214690273</v>
      </c>
      <c r="U12" s="11">
        <f t="shared" si="3"/>
        <v>3121.2998316095259</v>
      </c>
      <c r="V12" s="11"/>
      <c r="W12" s="11">
        <v>1584.4371119701411</v>
      </c>
      <c r="X12" s="11">
        <v>176.08127405423465</v>
      </c>
      <c r="Y12" s="11">
        <v>884.66052761869491</v>
      </c>
      <c r="Z12" s="11">
        <f t="shared" si="4"/>
        <v>2645.1789136430707</v>
      </c>
      <c r="AA12" s="11"/>
      <c r="AB12" s="11">
        <v>1354.8664659333792</v>
      </c>
      <c r="AC12" s="11">
        <v>205.38791423197867</v>
      </c>
      <c r="AD12" s="11">
        <v>955.88443835407429</v>
      </c>
      <c r="AE12" s="11">
        <f t="shared" si="5"/>
        <v>2516.1388185194319</v>
      </c>
      <c r="AG12" s="10" t="str">
        <f>name!E8</f>
        <v>Skilled trades occupations</v>
      </c>
      <c r="AH12" s="11">
        <v>149.35403483853304</v>
      </c>
      <c r="AI12" s="11">
        <v>112.93800966436021</v>
      </c>
      <c r="AJ12" s="11">
        <v>105.49709311467794</v>
      </c>
      <c r="AK12" s="11">
        <f t="shared" si="6"/>
        <v>367.78913761757121</v>
      </c>
      <c r="AL12" s="11"/>
      <c r="AM12" s="11">
        <v>153.00337293470523</v>
      </c>
      <c r="AN12" s="11">
        <v>111.00069798553503</v>
      </c>
      <c r="AO12" s="11">
        <v>119.74528227517952</v>
      </c>
      <c r="AP12" s="11">
        <f t="shared" si="7"/>
        <v>383.74935319541976</v>
      </c>
      <c r="AQ12" s="11"/>
      <c r="AR12" s="11">
        <v>188.70478402753221</v>
      </c>
      <c r="AS12" s="11">
        <v>130.7478663782376</v>
      </c>
      <c r="AT12" s="11">
        <v>154.46138715343335</v>
      </c>
      <c r="AU12" s="11">
        <f t="shared" si="8"/>
        <v>473.91403755920317</v>
      </c>
    </row>
    <row r="13" spans="1:47" x14ac:dyDescent="0.3">
      <c r="A13" t="str">
        <f>name!E9</f>
        <v>Caring, leisure and other service occupations</v>
      </c>
      <c r="B13" s="11">
        <v>1470.8391864753787</v>
      </c>
      <c r="C13" s="11">
        <v>1364.1476529730055</v>
      </c>
      <c r="D13" s="11">
        <v>313.6151903044501</v>
      </c>
      <c r="E13" s="11">
        <f t="shared" si="0"/>
        <v>3148.6020297528344</v>
      </c>
      <c r="F13" s="11"/>
      <c r="G13" s="11">
        <v>1440.1478239471276</v>
      </c>
      <c r="H13" s="11">
        <v>1339.9430340121708</v>
      </c>
      <c r="I13" s="11">
        <v>353.44990207688733</v>
      </c>
      <c r="J13" s="11">
        <f t="shared" si="1"/>
        <v>3133.5407600361855</v>
      </c>
      <c r="K13" s="11"/>
      <c r="L13" s="11">
        <v>1750.3678566720523</v>
      </c>
      <c r="M13" s="11">
        <v>1462.2601881507574</v>
      </c>
      <c r="N13" s="11">
        <v>422.67137061692677</v>
      </c>
      <c r="O13" s="11">
        <f t="shared" si="2"/>
        <v>3635.2994154397365</v>
      </c>
      <c r="Q13" s="10" t="str">
        <f>name!E9</f>
        <v>Caring, leisure and other service occupations</v>
      </c>
      <c r="R13" s="11">
        <v>388.60232147045258</v>
      </c>
      <c r="S13" s="11">
        <v>178.1275679429335</v>
      </c>
      <c r="T13" s="11">
        <v>52.247858848383835</v>
      </c>
      <c r="U13" s="11">
        <f t="shared" si="3"/>
        <v>618.97774826176999</v>
      </c>
      <c r="V13" s="11"/>
      <c r="W13" s="11">
        <v>385.27552099923133</v>
      </c>
      <c r="X13" s="11">
        <v>199.84361702801499</v>
      </c>
      <c r="Y13" s="11">
        <v>53.482893799866176</v>
      </c>
      <c r="Z13" s="11">
        <f t="shared" si="4"/>
        <v>638.60203182711246</v>
      </c>
      <c r="AA13" s="11"/>
      <c r="AB13" s="11">
        <v>498.2915169948734</v>
      </c>
      <c r="AC13" s="11">
        <v>247.90882991923826</v>
      </c>
      <c r="AD13" s="11">
        <v>79.863155957045464</v>
      </c>
      <c r="AE13" s="11">
        <f t="shared" si="5"/>
        <v>826.06350287115708</v>
      </c>
      <c r="AG13" s="10" t="str">
        <f>name!E9</f>
        <v>Caring, leisure and other service occupations</v>
      </c>
      <c r="AH13" s="11">
        <v>1082.236865004925</v>
      </c>
      <c r="AI13" s="11">
        <v>1186.0200850300716</v>
      </c>
      <c r="AJ13" s="11">
        <v>261.36733145606638</v>
      </c>
      <c r="AK13" s="11">
        <f t="shared" si="6"/>
        <v>2529.6242814910629</v>
      </c>
      <c r="AL13" s="11"/>
      <c r="AM13" s="11">
        <v>1054.872302947897</v>
      </c>
      <c r="AN13" s="11">
        <v>1140.0994169841549</v>
      </c>
      <c r="AO13" s="11">
        <v>299.96700827702114</v>
      </c>
      <c r="AP13" s="11">
        <f t="shared" si="7"/>
        <v>2494.9387282090734</v>
      </c>
      <c r="AQ13" s="11"/>
      <c r="AR13" s="11">
        <v>1252.0763396771788</v>
      </c>
      <c r="AS13" s="11">
        <v>1214.3513582315188</v>
      </c>
      <c r="AT13" s="11">
        <v>342.80821465988117</v>
      </c>
      <c r="AU13" s="11">
        <f t="shared" si="8"/>
        <v>2809.2359125685789</v>
      </c>
    </row>
    <row r="14" spans="1:47" x14ac:dyDescent="0.3">
      <c r="A14" t="str">
        <f>name!E10</f>
        <v>Sales and customer service occupations</v>
      </c>
      <c r="B14" s="11">
        <v>1058.5513638245193</v>
      </c>
      <c r="C14" s="11">
        <v>1635.8957569698716</v>
      </c>
      <c r="D14" s="11">
        <v>192.81360841464951</v>
      </c>
      <c r="E14" s="11">
        <f t="shared" si="0"/>
        <v>2887.2607292090402</v>
      </c>
      <c r="F14" s="11"/>
      <c r="G14" s="11">
        <v>1004.2907140887327</v>
      </c>
      <c r="H14" s="11">
        <v>1643.2868755231782</v>
      </c>
      <c r="I14" s="11">
        <v>139.50932560424815</v>
      </c>
      <c r="J14" s="11">
        <f t="shared" si="1"/>
        <v>2787.086915216159</v>
      </c>
      <c r="K14" s="11"/>
      <c r="L14" s="11">
        <v>1028.6319580325912</v>
      </c>
      <c r="M14" s="11">
        <v>1666.9547994200009</v>
      </c>
      <c r="N14" s="11">
        <v>120.83976376454451</v>
      </c>
      <c r="O14" s="11">
        <f t="shared" si="2"/>
        <v>2816.4265212171363</v>
      </c>
      <c r="Q14" s="10" t="str">
        <f>name!E10</f>
        <v>Sales and customer service occupations</v>
      </c>
      <c r="R14" s="11">
        <v>529.42368546721229</v>
      </c>
      <c r="S14" s="11">
        <v>494.7268705062998</v>
      </c>
      <c r="T14" s="11">
        <v>111.77957595247962</v>
      </c>
      <c r="U14" s="11">
        <f t="shared" si="3"/>
        <v>1135.9301319259919</v>
      </c>
      <c r="V14" s="11"/>
      <c r="W14" s="11">
        <v>516.97292857870207</v>
      </c>
      <c r="X14" s="11">
        <v>531.47698553267003</v>
      </c>
      <c r="Y14" s="11">
        <v>81.980011603609682</v>
      </c>
      <c r="Z14" s="11">
        <f t="shared" si="4"/>
        <v>1130.4299257149817</v>
      </c>
      <c r="AA14" s="11"/>
      <c r="AB14" s="11">
        <v>573.667260951353</v>
      </c>
      <c r="AC14" s="11">
        <v>565.5892583020717</v>
      </c>
      <c r="AD14" s="11">
        <v>72.106277355480444</v>
      </c>
      <c r="AE14" s="11">
        <f t="shared" si="5"/>
        <v>1211.3627966089052</v>
      </c>
      <c r="AG14" s="10" t="str">
        <f>name!E10</f>
        <v>Sales and customer service occupations</v>
      </c>
      <c r="AH14" s="11">
        <v>529.12767835730699</v>
      </c>
      <c r="AI14" s="11">
        <v>1141.1688864635755</v>
      </c>
      <c r="AJ14" s="11">
        <v>81.034032462169705</v>
      </c>
      <c r="AK14" s="11">
        <f t="shared" si="6"/>
        <v>1751.3305972830522</v>
      </c>
      <c r="AL14" s="11"/>
      <c r="AM14" s="11">
        <v>487.31778551003009</v>
      </c>
      <c r="AN14" s="11">
        <v>1111.8098899905076</v>
      </c>
      <c r="AO14" s="11">
        <v>57.529314000638543</v>
      </c>
      <c r="AP14" s="11">
        <f t="shared" si="7"/>
        <v>1656.6569895011762</v>
      </c>
      <c r="AQ14" s="11"/>
      <c r="AR14" s="11">
        <v>454.96469708123777</v>
      </c>
      <c r="AS14" s="11">
        <v>1101.3655411179273</v>
      </c>
      <c r="AT14" s="11">
        <v>48.733486409064135</v>
      </c>
      <c r="AU14" s="11">
        <f t="shared" si="8"/>
        <v>1605.0637246082292</v>
      </c>
    </row>
    <row r="15" spans="1:47" x14ac:dyDescent="0.3">
      <c r="A15" t="str">
        <f>name!E11</f>
        <v>Process, plant and machine operatives</v>
      </c>
      <c r="B15" s="11">
        <v>1515.3350469413401</v>
      </c>
      <c r="C15" s="11">
        <v>276.22396755128432</v>
      </c>
      <c r="D15" s="11">
        <v>321.45860439755762</v>
      </c>
      <c r="E15" s="11">
        <f t="shared" si="0"/>
        <v>2113.0176188901823</v>
      </c>
      <c r="F15" s="11"/>
      <c r="G15" s="11">
        <v>1301.4542561403453</v>
      </c>
      <c r="H15" s="11">
        <v>321.14554500737756</v>
      </c>
      <c r="I15" s="11">
        <v>334.67242701532462</v>
      </c>
      <c r="J15" s="11">
        <f t="shared" si="1"/>
        <v>1957.2722281630472</v>
      </c>
      <c r="K15" s="11"/>
      <c r="L15" s="11">
        <v>1330.8561161671589</v>
      </c>
      <c r="M15" s="11">
        <v>431.96552680603889</v>
      </c>
      <c r="N15" s="11">
        <v>416.0899073169781</v>
      </c>
      <c r="O15" s="11">
        <f t="shared" si="2"/>
        <v>2178.9115502901759</v>
      </c>
      <c r="Q15" s="10" t="str">
        <f>name!E11</f>
        <v>Process, plant and machine operatives</v>
      </c>
      <c r="R15" s="11">
        <v>1351.2703579474953</v>
      </c>
      <c r="S15" s="11">
        <v>204.14604792071836</v>
      </c>
      <c r="T15" s="11">
        <v>289.41497461674794</v>
      </c>
      <c r="U15" s="11">
        <f t="shared" si="3"/>
        <v>1844.8313804849615</v>
      </c>
      <c r="V15" s="11"/>
      <c r="W15" s="11">
        <v>1164.8144560903161</v>
      </c>
      <c r="X15" s="11">
        <v>256.06720027512603</v>
      </c>
      <c r="Y15" s="11">
        <v>292.36520198209774</v>
      </c>
      <c r="Z15" s="11">
        <f t="shared" si="4"/>
        <v>1713.2468583475397</v>
      </c>
      <c r="AA15" s="11"/>
      <c r="AB15" s="11">
        <v>1166.135147255158</v>
      </c>
      <c r="AC15" s="11">
        <v>308.40440674934598</v>
      </c>
      <c r="AD15" s="11">
        <v>363.462508194061</v>
      </c>
      <c r="AE15" s="11">
        <f t="shared" si="5"/>
        <v>1838.002062198565</v>
      </c>
      <c r="AG15" s="10" t="str">
        <f>name!E11</f>
        <v>Process, plant and machine operatives</v>
      </c>
      <c r="AH15" s="11">
        <v>164.06468899384365</v>
      </c>
      <c r="AI15" s="11">
        <v>72.077919630565972</v>
      </c>
      <c r="AJ15" s="11">
        <v>32.043629780810008</v>
      </c>
      <c r="AK15" s="11">
        <f t="shared" si="6"/>
        <v>268.18623840521963</v>
      </c>
      <c r="AL15" s="11"/>
      <c r="AM15" s="11">
        <v>136.63980005002904</v>
      </c>
      <c r="AN15" s="11">
        <v>65.078344732252262</v>
      </c>
      <c r="AO15" s="11">
        <v>42.307225033226622</v>
      </c>
      <c r="AP15" s="11">
        <f t="shared" si="7"/>
        <v>244.0253698155079</v>
      </c>
      <c r="AQ15" s="11"/>
      <c r="AR15" s="11">
        <v>164.72096891200096</v>
      </c>
      <c r="AS15" s="11">
        <v>123.56112005669227</v>
      </c>
      <c r="AT15" s="11">
        <v>52.627399122917517</v>
      </c>
      <c r="AU15" s="11">
        <f t="shared" si="8"/>
        <v>340.90948809161074</v>
      </c>
    </row>
    <row r="16" spans="1:47" x14ac:dyDescent="0.3">
      <c r="A16" t="str">
        <f>name!E12</f>
        <v>Elementary occupations</v>
      </c>
      <c r="B16" s="11">
        <v>1662.1524841214973</v>
      </c>
      <c r="C16" s="11">
        <v>2042.9305279253508</v>
      </c>
      <c r="D16" s="11">
        <v>266.94263421832989</v>
      </c>
      <c r="E16" s="11">
        <f t="shared" si="0"/>
        <v>3972.0256462651778</v>
      </c>
      <c r="F16" s="11"/>
      <c r="G16" s="11">
        <v>1430.2354153916244</v>
      </c>
      <c r="H16" s="11">
        <v>1935.2728572927974</v>
      </c>
      <c r="I16" s="11">
        <v>232.82546081258681</v>
      </c>
      <c r="J16" s="11">
        <f t="shared" si="1"/>
        <v>3598.3337334970088</v>
      </c>
      <c r="K16" s="11"/>
      <c r="L16" s="11">
        <v>1396.0563364131672</v>
      </c>
      <c r="M16" s="11">
        <v>1749.5816820481982</v>
      </c>
      <c r="N16" s="11">
        <v>308.19792636071452</v>
      </c>
      <c r="O16" s="11">
        <f t="shared" si="2"/>
        <v>3453.8359448220799</v>
      </c>
      <c r="Q16" s="10" t="str">
        <f>name!E12</f>
        <v>Elementary occupations</v>
      </c>
      <c r="R16" s="11">
        <v>1238.2781125202664</v>
      </c>
      <c r="S16" s="11">
        <v>742.67582845313405</v>
      </c>
      <c r="T16" s="11">
        <v>137.38610694945018</v>
      </c>
      <c r="U16" s="11">
        <f t="shared" si="3"/>
        <v>2118.3400479228508</v>
      </c>
      <c r="V16" s="11"/>
      <c r="W16" s="11">
        <v>1050.9420945262368</v>
      </c>
      <c r="X16" s="11">
        <v>724.71233720133569</v>
      </c>
      <c r="Y16" s="11">
        <v>123.30252618818936</v>
      </c>
      <c r="Z16" s="11">
        <f t="shared" si="4"/>
        <v>1898.9569579157619</v>
      </c>
      <c r="AA16" s="11"/>
      <c r="AB16" s="11">
        <v>974.08620635738646</v>
      </c>
      <c r="AC16" s="11">
        <v>707.71320250159215</v>
      </c>
      <c r="AD16" s="11">
        <v>169.92887384902983</v>
      </c>
      <c r="AE16" s="11">
        <f t="shared" si="5"/>
        <v>1851.7282827080082</v>
      </c>
      <c r="AG16" s="10" t="str">
        <f>name!E12</f>
        <v>Elementary occupations</v>
      </c>
      <c r="AH16" s="11">
        <v>423.87437160122914</v>
      </c>
      <c r="AI16" s="11">
        <v>1300.2546994722165</v>
      </c>
      <c r="AJ16" s="11">
        <v>129.55652726887988</v>
      </c>
      <c r="AK16" s="11">
        <f t="shared" si="6"/>
        <v>1853.6855983423254</v>
      </c>
      <c r="AL16" s="11"/>
      <c r="AM16" s="11">
        <v>379.29332086538625</v>
      </c>
      <c r="AN16" s="11">
        <v>1210.5605200914622</v>
      </c>
      <c r="AO16" s="11">
        <v>109.52293462439721</v>
      </c>
      <c r="AP16" s="11">
        <f t="shared" si="7"/>
        <v>1699.3767755812457</v>
      </c>
      <c r="AQ16" s="11"/>
      <c r="AR16" s="11">
        <v>421.97013005578094</v>
      </c>
      <c r="AS16" s="11">
        <v>1041.8684795466056</v>
      </c>
      <c r="AT16" s="11">
        <v>138.26905251168463</v>
      </c>
      <c r="AU16" s="11">
        <f t="shared" si="8"/>
        <v>1602.107662114071</v>
      </c>
    </row>
    <row r="17" spans="1:47" x14ac:dyDescent="0.3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3">
      <c r="A18" s="23" t="str">
        <f>name!E3</f>
        <v>All occupations</v>
      </c>
      <c r="B18" s="33">
        <f>SUM(B8:B16)</f>
        <v>19809.600999958795</v>
      </c>
      <c r="C18" s="33">
        <f t="shared" ref="C18:D18" si="9">SUM(C8:C16)</f>
        <v>9455.3980000426836</v>
      </c>
      <c r="D18" s="33">
        <f t="shared" si="9"/>
        <v>4390.9859999985911</v>
      </c>
      <c r="E18" s="33">
        <f t="shared" si="0"/>
        <v>33655.985000000073</v>
      </c>
      <c r="F18" s="33"/>
      <c r="G18" s="33">
        <f>SUM(G8:G16)</f>
        <v>20641.436999990787</v>
      </c>
      <c r="H18" s="33">
        <f t="shared" ref="H18:I18" si="10">SUM(H8:H16)</f>
        <v>9969.5480000106872</v>
      </c>
      <c r="I18" s="33">
        <f t="shared" si="10"/>
        <v>4363.9829999983713</v>
      </c>
      <c r="J18" s="33">
        <f t="shared" ref="J18" si="11">SUM(G18:I18)</f>
        <v>34974.967999999848</v>
      </c>
      <c r="K18" s="33"/>
      <c r="L18" s="33">
        <f>SUM(L8:L16)</f>
        <v>22231.995000008817</v>
      </c>
      <c r="M18" s="33">
        <f t="shared" ref="M18:N18" si="12">SUM(M8:M16)</f>
        <v>10507.56299998045</v>
      </c>
      <c r="N18" s="33">
        <f t="shared" si="12"/>
        <v>4828.3140000108324</v>
      </c>
      <c r="O18" s="33">
        <f t="shared" ref="O18" si="13">SUM(L18:N18)</f>
        <v>37567.872000000098</v>
      </c>
      <c r="Q18" s="231" t="str">
        <f>name!E3</f>
        <v>All occupations</v>
      </c>
      <c r="R18" s="33">
        <f>SUM(R8:R16)</f>
        <v>12253.448999980716</v>
      </c>
      <c r="S18" s="33">
        <f t="shared" ref="S18:T18" si="14">SUM(S8:S16)</f>
        <v>2567.4870000128331</v>
      </c>
      <c r="T18" s="33">
        <f t="shared" si="14"/>
        <v>2884.019000006499</v>
      </c>
      <c r="U18" s="33">
        <f t="shared" ref="U18" si="15">SUM(R18:T18)</f>
        <v>17704.955000000045</v>
      </c>
      <c r="V18" s="33"/>
      <c r="W18" s="33">
        <f>SUM(W8:W16)</f>
        <v>12465.778999996552</v>
      </c>
      <c r="X18" s="33">
        <f t="shared" ref="X18:Y18" si="16">SUM(X8:X16)</f>
        <v>2925.2570000004962</v>
      </c>
      <c r="Y18" s="33">
        <f t="shared" si="16"/>
        <v>2681.0460000027392</v>
      </c>
      <c r="Z18" s="33">
        <f t="shared" ref="Z18" si="17">SUM(W18:Y18)</f>
        <v>18072.081999999788</v>
      </c>
      <c r="AA18" s="33"/>
      <c r="AB18" s="33">
        <f>SUM(AB8:AB16)</f>
        <v>13008.507999993046</v>
      </c>
      <c r="AC18" s="33">
        <f t="shared" ref="AC18:AD18" si="18">SUM(AC8:AC16)</f>
        <v>3250.006000003043</v>
      </c>
      <c r="AD18" s="33">
        <f t="shared" si="18"/>
        <v>2954.4210000038124</v>
      </c>
      <c r="AE18" s="33">
        <f t="shared" ref="AE18" si="19">SUM(AB18:AD18)</f>
        <v>19212.934999999899</v>
      </c>
      <c r="AG18" s="231" t="str">
        <f>name!E3</f>
        <v>All occupations</v>
      </c>
      <c r="AH18" s="33">
        <f>SUM(AH8:AH16)</f>
        <v>7556.1519999780712</v>
      </c>
      <c r="AI18" s="33">
        <f t="shared" ref="AI18:AJ18" si="20">SUM(AI8:AI16)</f>
        <v>6887.9110000298551</v>
      </c>
      <c r="AJ18" s="33">
        <f t="shared" si="20"/>
        <v>1506.9669999920923</v>
      </c>
      <c r="AK18" s="33">
        <f t="shared" si="6"/>
        <v>15951.030000000017</v>
      </c>
      <c r="AL18" s="33"/>
      <c r="AM18" s="33">
        <f>SUM(AM8:AM16)</f>
        <v>8175.6579999942314</v>
      </c>
      <c r="AN18" s="33">
        <f t="shared" ref="AN18:AO18" si="21">SUM(AN8:AN16)</f>
        <v>7044.291000010192</v>
      </c>
      <c r="AO18" s="33">
        <f t="shared" si="21"/>
        <v>1682.93699999563</v>
      </c>
      <c r="AP18" s="33">
        <f t="shared" si="7"/>
        <v>16902.886000000053</v>
      </c>
      <c r="AQ18" s="33"/>
      <c r="AR18" s="33">
        <f>SUM(AR8:AR16)</f>
        <v>9223.4870000157716</v>
      </c>
      <c r="AS18" s="33">
        <f t="shared" ref="AS18:AT18" si="22">SUM(AS8:AS16)</f>
        <v>7257.5569999774016</v>
      </c>
      <c r="AT18" s="33">
        <f t="shared" si="22"/>
        <v>1873.8930000070186</v>
      </c>
      <c r="AU18" s="33">
        <f t="shared" si="8"/>
        <v>18354.937000000191</v>
      </c>
    </row>
    <row r="19" spans="1:47" x14ac:dyDescent="0.3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3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3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5" t="s">
        <v>34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5" t="s">
        <v>34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5" t="s">
        <v>34</v>
      </c>
    </row>
    <row r="22" spans="1:47" x14ac:dyDescent="0.3">
      <c r="A22" s="35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Q22" s="35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G22" s="35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</row>
    <row r="23" spans="1:47" x14ac:dyDescent="0.3">
      <c r="B23" s="376">
        <f>B5</f>
        <v>2015</v>
      </c>
      <c r="C23" s="376"/>
      <c r="D23" s="376"/>
      <c r="E23" s="376"/>
      <c r="F23" s="1"/>
      <c r="G23" s="376">
        <f>G5</f>
        <v>2020</v>
      </c>
      <c r="H23" s="376"/>
      <c r="I23" s="376"/>
      <c r="J23" s="376"/>
      <c r="K23" s="1"/>
      <c r="L23" s="376">
        <f>L5</f>
        <v>2035</v>
      </c>
      <c r="M23" s="376"/>
      <c r="N23" s="376"/>
      <c r="O23" s="376"/>
      <c r="R23" s="376">
        <f>R5</f>
        <v>2015</v>
      </c>
      <c r="S23" s="376"/>
      <c r="T23" s="376"/>
      <c r="U23" s="376"/>
      <c r="V23" s="1"/>
      <c r="W23" s="376">
        <f>W5</f>
        <v>2020</v>
      </c>
      <c r="X23" s="376"/>
      <c r="Y23" s="376"/>
      <c r="Z23" s="376"/>
      <c r="AA23" s="1"/>
      <c r="AB23" s="376">
        <f>AB5</f>
        <v>2035</v>
      </c>
      <c r="AC23" s="376"/>
      <c r="AD23" s="376"/>
      <c r="AE23" s="376"/>
      <c r="AH23" s="376">
        <f>AH5</f>
        <v>2015</v>
      </c>
      <c r="AI23" s="376"/>
      <c r="AJ23" s="376"/>
      <c r="AK23" s="376"/>
      <c r="AL23" s="1"/>
      <c r="AM23" s="376">
        <f>AM5</f>
        <v>2020</v>
      </c>
      <c r="AN23" s="376"/>
      <c r="AO23" s="376"/>
      <c r="AP23" s="376"/>
      <c r="AQ23" s="1"/>
      <c r="AR23" s="376">
        <f>AR5</f>
        <v>2035</v>
      </c>
      <c r="AS23" s="376"/>
      <c r="AT23" s="376"/>
      <c r="AU23" s="376"/>
    </row>
    <row r="24" spans="1:47" x14ac:dyDescent="0.3">
      <c r="A24" s="40" t="s">
        <v>463</v>
      </c>
      <c r="B24" s="337" t="s">
        <v>339</v>
      </c>
      <c r="C24" s="337" t="s">
        <v>341</v>
      </c>
      <c r="D24" s="337" t="s">
        <v>337</v>
      </c>
      <c r="E24" s="337" t="s">
        <v>32</v>
      </c>
      <c r="F24" s="338"/>
      <c r="G24" s="337" t="s">
        <v>339</v>
      </c>
      <c r="H24" s="337" t="s">
        <v>341</v>
      </c>
      <c r="I24" s="337" t="s">
        <v>337</v>
      </c>
      <c r="J24" s="337" t="s">
        <v>32</v>
      </c>
      <c r="K24" s="338"/>
      <c r="L24" s="337" t="s">
        <v>339</v>
      </c>
      <c r="M24" s="337" t="s">
        <v>341</v>
      </c>
      <c r="N24" s="337" t="s">
        <v>337</v>
      </c>
      <c r="O24" s="337" t="s">
        <v>32</v>
      </c>
      <c r="Q24" s="40" t="s">
        <v>463</v>
      </c>
      <c r="R24" s="337" t="s">
        <v>339</v>
      </c>
      <c r="S24" s="337" t="s">
        <v>341</v>
      </c>
      <c r="T24" s="337" t="s">
        <v>337</v>
      </c>
      <c r="U24" s="337" t="s">
        <v>32</v>
      </c>
      <c r="V24" s="338"/>
      <c r="W24" s="337" t="s">
        <v>339</v>
      </c>
      <c r="X24" s="337" t="s">
        <v>341</v>
      </c>
      <c r="Y24" s="337" t="s">
        <v>337</v>
      </c>
      <c r="Z24" s="337" t="s">
        <v>32</v>
      </c>
      <c r="AA24" s="338"/>
      <c r="AB24" s="337" t="s">
        <v>339</v>
      </c>
      <c r="AC24" s="337" t="s">
        <v>341</v>
      </c>
      <c r="AD24" s="337" t="s">
        <v>337</v>
      </c>
      <c r="AE24" s="337" t="s">
        <v>32</v>
      </c>
      <c r="AG24" s="40" t="s">
        <v>463</v>
      </c>
      <c r="AH24" s="337" t="s">
        <v>339</v>
      </c>
      <c r="AI24" s="337" t="s">
        <v>341</v>
      </c>
      <c r="AJ24" s="337" t="s">
        <v>337</v>
      </c>
      <c r="AK24" s="337" t="s">
        <v>32</v>
      </c>
      <c r="AL24" s="338"/>
      <c r="AM24" s="337" t="s">
        <v>339</v>
      </c>
      <c r="AN24" s="337" t="s">
        <v>341</v>
      </c>
      <c r="AO24" s="337" t="s">
        <v>337</v>
      </c>
      <c r="AP24" s="337" t="s">
        <v>32</v>
      </c>
      <c r="AQ24" s="338"/>
      <c r="AR24" s="337" t="s">
        <v>339</v>
      </c>
      <c r="AS24" s="337" t="s">
        <v>341</v>
      </c>
      <c r="AT24" s="337" t="s">
        <v>337</v>
      </c>
      <c r="AU24" s="337" t="s">
        <v>32</v>
      </c>
    </row>
    <row r="25" spans="1:47" x14ac:dyDescent="0.3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Q25" s="1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G25" s="1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 x14ac:dyDescent="0.3">
      <c r="A26" t="str">
        <f>$A$8</f>
        <v>Managers, directors and senior officials</v>
      </c>
      <c r="B26" s="17">
        <f>B8/B$18*100</f>
        <v>11.632477017375136</v>
      </c>
      <c r="C26" s="17">
        <f t="shared" ref="C26:O26" si="23">C8/C$18*100</f>
        <v>3.4007554071686723</v>
      </c>
      <c r="D26" s="17">
        <f t="shared" si="23"/>
        <v>13.198012838726219</v>
      </c>
      <c r="E26" s="17">
        <f t="shared" si="23"/>
        <v>9.5240865431101476</v>
      </c>
      <c r="F26" s="17"/>
      <c r="G26" s="17">
        <f t="shared" si="23"/>
        <v>12.614013627389568</v>
      </c>
      <c r="H26" s="17">
        <f t="shared" si="23"/>
        <v>4.9688307488861172</v>
      </c>
      <c r="I26" s="17">
        <f t="shared" si="23"/>
        <v>14.836802971909233</v>
      </c>
      <c r="J26" s="17">
        <f t="shared" si="23"/>
        <v>10.71211616849728</v>
      </c>
      <c r="K26" s="17"/>
      <c r="L26" s="17">
        <f t="shared" si="23"/>
        <v>13.191142982310216</v>
      </c>
      <c r="M26" s="17">
        <f t="shared" si="23"/>
        <v>6.0339732964424986</v>
      </c>
      <c r="N26" s="17">
        <f t="shared" si="23"/>
        <v>15.565911342037367</v>
      </c>
      <c r="O26" s="17">
        <f t="shared" si="23"/>
        <v>11.49452614817727</v>
      </c>
      <c r="Q26" t="str">
        <f>$A$8</f>
        <v>Managers, directors and senior officials</v>
      </c>
      <c r="R26" s="17">
        <f>R8/R$18*100</f>
        <v>13.231077289151512</v>
      </c>
      <c r="S26" s="17">
        <f t="shared" ref="S26:U26" si="24">S8/S$18*100</f>
        <v>4.5664028761941884</v>
      </c>
      <c r="T26" s="17">
        <f t="shared" si="24"/>
        <v>13.545161101346102</v>
      </c>
      <c r="U26" s="17">
        <f t="shared" si="24"/>
        <v>12.025730241805276</v>
      </c>
      <c r="V26" s="17"/>
      <c r="W26" s="17">
        <f t="shared" ref="W26:Z26" si="25">W8/W$18*100</f>
        <v>14.383296109201266</v>
      </c>
      <c r="X26" s="17">
        <f t="shared" si="25"/>
        <v>6.3532741395818615</v>
      </c>
      <c r="Y26" s="17">
        <f t="shared" si="25"/>
        <v>15.214388647416216</v>
      </c>
      <c r="Z26" s="17">
        <f t="shared" si="25"/>
        <v>13.206802960732048</v>
      </c>
      <c r="AA26" s="17"/>
      <c r="AB26" s="17">
        <f t="shared" ref="AB26:AE26" si="26">AB8/AB$18*100</f>
        <v>14.485290871994943</v>
      </c>
      <c r="AC26" s="17">
        <f t="shared" si="26"/>
        <v>7.7013374524647533</v>
      </c>
      <c r="AD26" s="17">
        <f t="shared" si="26"/>
        <v>16.38026853951926</v>
      </c>
      <c r="AE26" s="17">
        <f t="shared" si="26"/>
        <v>13.629131857157164</v>
      </c>
      <c r="AG26" t="str">
        <f>$A$8</f>
        <v>Managers, directors and senior officials</v>
      </c>
      <c r="AH26" s="17">
        <f>AH8/AH$18*100</f>
        <v>9.0401036901017076</v>
      </c>
      <c r="AI26" s="17">
        <f t="shared" ref="AI26:AK26" si="27">AI8/AI$18*100</f>
        <v>2.9662572373595766</v>
      </c>
      <c r="AJ26" s="17">
        <f t="shared" si="27"/>
        <v>12.533643821209402</v>
      </c>
      <c r="AK26" s="17">
        <f t="shared" si="27"/>
        <v>6.7473699855316909</v>
      </c>
      <c r="AL26" s="17"/>
      <c r="AM26" s="17">
        <f t="shared" ref="AM26:AP26" si="28">AM8/AM$18*100</f>
        <v>9.916312181604356</v>
      </c>
      <c r="AN26" s="17">
        <f t="shared" si="28"/>
        <v>4.3939179975913092</v>
      </c>
      <c r="AO26" s="17">
        <f t="shared" si="28"/>
        <v>14.235280416413104</v>
      </c>
      <c r="AP26" s="17">
        <f t="shared" si="28"/>
        <v>8.044868440885395</v>
      </c>
      <c r="AQ26" s="17"/>
      <c r="AR26" s="17">
        <f t="shared" ref="AR26:AU26" si="29">AR8/AR$18*100</f>
        <v>11.365918620188967</v>
      </c>
      <c r="AS26" s="17">
        <f t="shared" si="29"/>
        <v>5.2873110916152761</v>
      </c>
      <c r="AT26" s="17">
        <f t="shared" si="29"/>
        <v>14.281977837970841</v>
      </c>
      <c r="AU26" s="17">
        <f t="shared" si="29"/>
        <v>9.2601387058636</v>
      </c>
    </row>
    <row r="27" spans="1:47" x14ac:dyDescent="0.3">
      <c r="A27" t="str">
        <f>$A$9</f>
        <v>Professional occupations</v>
      </c>
      <c r="B27" s="17">
        <f t="shared" ref="B27:B34" si="30">B9/B$18*100</f>
        <v>24.268496421563363</v>
      </c>
      <c r="C27" s="17">
        <f t="shared" ref="C27:O27" si="31">C9/C$18*100</f>
        <v>13.480381517445839</v>
      </c>
      <c r="D27" s="17">
        <f t="shared" si="31"/>
        <v>18.295795325566793</v>
      </c>
      <c r="E27" s="17">
        <f t="shared" si="31"/>
        <v>20.458417263775512</v>
      </c>
      <c r="F27" s="17"/>
      <c r="G27" s="17">
        <f t="shared" si="31"/>
        <v>27.929721934396717</v>
      </c>
      <c r="H27" s="17">
        <f t="shared" si="31"/>
        <v>15.828923416360785</v>
      </c>
      <c r="I27" s="17">
        <f t="shared" si="31"/>
        <v>19.624541043367667</v>
      </c>
      <c r="J27" s="17">
        <f t="shared" si="31"/>
        <v>23.444137847961517</v>
      </c>
      <c r="K27" s="17"/>
      <c r="L27" s="17">
        <f t="shared" si="31"/>
        <v>31.516008441657544</v>
      </c>
      <c r="M27" s="17">
        <f t="shared" si="31"/>
        <v>18.801109933511235</v>
      </c>
      <c r="N27" s="17">
        <f t="shared" si="31"/>
        <v>17.80416908554286</v>
      </c>
      <c r="O27" s="17">
        <f t="shared" si="31"/>
        <v>26.19743029483751</v>
      </c>
      <c r="Q27" t="str">
        <f>$A$9</f>
        <v>Professional occupations</v>
      </c>
      <c r="R27" s="17">
        <f t="shared" ref="R27:U27" si="32">R9/R$18*100</f>
        <v>22.458617432991009</v>
      </c>
      <c r="S27" s="17">
        <f t="shared" si="32"/>
        <v>9.6118074160451368</v>
      </c>
      <c r="T27" s="17">
        <f t="shared" si="32"/>
        <v>17.635269865417673</v>
      </c>
      <c r="U27" s="17">
        <f t="shared" si="32"/>
        <v>19.80994401141724</v>
      </c>
      <c r="V27" s="17"/>
      <c r="W27" s="17">
        <f t="shared" ref="W27:Z27" si="33">W9/W$18*100</f>
        <v>26.011112226949091</v>
      </c>
      <c r="X27" s="17">
        <f t="shared" si="33"/>
        <v>12.522631558954837</v>
      </c>
      <c r="Y27" s="17">
        <f t="shared" si="33"/>
        <v>18.098228662744589</v>
      </c>
      <c r="Z27" s="17">
        <f t="shared" si="33"/>
        <v>22.653885465709283</v>
      </c>
      <c r="AA27" s="17"/>
      <c r="AB27" s="17">
        <f t="shared" ref="AB27:AE27" si="34">AB9/AB$18*100</f>
        <v>29.357965360011629</v>
      </c>
      <c r="AC27" s="17">
        <f t="shared" si="34"/>
        <v>15.404969600532139</v>
      </c>
      <c r="AD27" s="17">
        <f t="shared" si="34"/>
        <v>15.472527677850486</v>
      </c>
      <c r="AE27" s="17">
        <f t="shared" si="34"/>
        <v>24.862517443347834</v>
      </c>
      <c r="AG27" t="str">
        <f>$A$9</f>
        <v>Professional occupations</v>
      </c>
      <c r="AH27" s="17">
        <f t="shared" ref="AH27:AK27" si="35">AH9/AH$18*100</f>
        <v>27.203490302400091</v>
      </c>
      <c r="AI27" s="17">
        <f t="shared" si="35"/>
        <v>14.922402721536528</v>
      </c>
      <c r="AJ27" s="17">
        <f t="shared" si="35"/>
        <v>19.559902619932299</v>
      </c>
      <c r="AK27" s="17">
        <f t="shared" si="35"/>
        <v>21.17819459174159</v>
      </c>
      <c r="AL27" s="17"/>
      <c r="AM27" s="17">
        <f t="shared" ref="AM27:AP27" si="36">AM9/AM$18*100</f>
        <v>30.855109053122376</v>
      </c>
      <c r="AN27" s="17">
        <f t="shared" si="36"/>
        <v>17.201915162429678</v>
      </c>
      <c r="AO27" s="17">
        <f t="shared" si="36"/>
        <v>22.056072171885759</v>
      </c>
      <c r="AP27" s="17">
        <f t="shared" si="36"/>
        <v>24.289053080351835</v>
      </c>
      <c r="AQ27" s="17"/>
      <c r="AR27" s="17">
        <f t="shared" ref="AR27:AU27" si="37">AR9/AR$18*100</f>
        <v>34.559642665012817</v>
      </c>
      <c r="AS27" s="17">
        <f t="shared" si="37"/>
        <v>20.321935255181991</v>
      </c>
      <c r="AT27" s="17">
        <f t="shared" si="37"/>
        <v>21.480286312801297</v>
      </c>
      <c r="AU27" s="17">
        <f t="shared" si="37"/>
        <v>27.594743390836452</v>
      </c>
    </row>
    <row r="28" spans="1:47" x14ac:dyDescent="0.3">
      <c r="A28" t="str">
        <f>$A$10</f>
        <v>Associate professional occupations</v>
      </c>
      <c r="B28" s="17">
        <f t="shared" si="30"/>
        <v>14.171557062107921</v>
      </c>
      <c r="C28" s="17">
        <f t="shared" ref="C28:O28" si="38">C10/C$18*100</f>
        <v>8.179449997545742</v>
      </c>
      <c r="D28" s="17">
        <f t="shared" si="38"/>
        <v>14.546664037307409</v>
      </c>
      <c r="E28" s="17">
        <f t="shared" si="38"/>
        <v>12.537058244803953</v>
      </c>
      <c r="F28" s="17"/>
      <c r="G28" s="17">
        <f t="shared" si="38"/>
        <v>15.599228987270264</v>
      </c>
      <c r="H28" s="17">
        <f t="shared" si="38"/>
        <v>9.1827393765849763</v>
      </c>
      <c r="I28" s="17">
        <f t="shared" si="38"/>
        <v>14.815393707546335</v>
      </c>
      <c r="J28" s="17">
        <f t="shared" si="38"/>
        <v>13.672418217899112</v>
      </c>
      <c r="K28" s="17"/>
      <c r="L28" s="17">
        <f t="shared" si="38"/>
        <v>15.268340575735548</v>
      </c>
      <c r="M28" s="17">
        <f t="shared" si="38"/>
        <v>9.4777075965045494</v>
      </c>
      <c r="N28" s="17">
        <f t="shared" si="38"/>
        <v>14.248951826300219</v>
      </c>
      <c r="O28" s="17">
        <f t="shared" si="38"/>
        <v>13.517712544172142</v>
      </c>
      <c r="Q28" t="str">
        <f>$A$10</f>
        <v>Associate professional occupations</v>
      </c>
      <c r="R28" s="17">
        <f t="shared" ref="R28:U28" si="39">R10/R$18*100</f>
        <v>14.277738525192962</v>
      </c>
      <c r="S28" s="17">
        <f t="shared" si="39"/>
        <v>7.4025155846817059</v>
      </c>
      <c r="T28" s="17">
        <f t="shared" si="39"/>
        <v>11.738473362283331</v>
      </c>
      <c r="U28" s="17">
        <f t="shared" si="39"/>
        <v>12.867097577625541</v>
      </c>
      <c r="V28" s="17"/>
      <c r="W28" s="17">
        <f t="shared" ref="W28:Z28" si="40">W10/W$18*100</f>
        <v>15.580824014010949</v>
      </c>
      <c r="X28" s="17">
        <f t="shared" si="40"/>
        <v>8.8382952010048399</v>
      </c>
      <c r="Y28" s="17">
        <f t="shared" si="40"/>
        <v>11.780621827318567</v>
      </c>
      <c r="Z28" s="17">
        <f t="shared" si="40"/>
        <v>13.925666269608017</v>
      </c>
      <c r="AA28" s="17"/>
      <c r="AB28" s="17">
        <f t="shared" ref="AB28:AE28" si="41">AB10/AB$18*100</f>
        <v>14.622052248444598</v>
      </c>
      <c r="AC28" s="17">
        <f t="shared" si="41"/>
        <v>7.4880223199219778</v>
      </c>
      <c r="AD28" s="17">
        <f t="shared" si="41"/>
        <v>10.893232214531519</v>
      </c>
      <c r="AE28" s="17">
        <f t="shared" si="41"/>
        <v>12.841889858610475</v>
      </c>
      <c r="AG28" t="str">
        <f>$A$10</f>
        <v>Associate professional occupations</v>
      </c>
      <c r="AH28" s="17">
        <f t="shared" ref="AH28:AK28" si="42">AH10/AH$18*100</f>
        <v>13.999367680176524</v>
      </c>
      <c r="AI28" s="17">
        <f t="shared" si="42"/>
        <v>8.4690543499948863</v>
      </c>
      <c r="AJ28" s="17">
        <f t="shared" si="42"/>
        <v>19.9209524341024</v>
      </c>
      <c r="AK28" s="17">
        <f t="shared" si="42"/>
        <v>12.17072882683933</v>
      </c>
      <c r="AL28" s="17"/>
      <c r="AM28" s="17">
        <f t="shared" ref="AM28:AP28" si="43">AM10/AM$18*100</f>
        <v>15.627291845226384</v>
      </c>
      <c r="AN28" s="17">
        <f t="shared" si="43"/>
        <v>9.3257754515744473</v>
      </c>
      <c r="AO28" s="17">
        <f t="shared" si="43"/>
        <v>19.650014974074196</v>
      </c>
      <c r="AP28" s="17">
        <f t="shared" si="43"/>
        <v>13.401652648231105</v>
      </c>
      <c r="AQ28" s="17"/>
      <c r="AR28" s="17">
        <f t="shared" ref="AR28:AU28" si="44">AR10/AR$18*100</f>
        <v>16.179844747189581</v>
      </c>
      <c r="AS28" s="17">
        <f t="shared" si="44"/>
        <v>10.368708395675842</v>
      </c>
      <c r="AT28" s="17">
        <f t="shared" si="44"/>
        <v>19.539653318379528</v>
      </c>
      <c r="AU28" s="17">
        <f t="shared" si="44"/>
        <v>14.225126431194548</v>
      </c>
    </row>
    <row r="29" spans="1:47" x14ac:dyDescent="0.3">
      <c r="A29" t="str">
        <f>$A$11</f>
        <v>Administrative and secretarial occupations</v>
      </c>
      <c r="B29" s="17">
        <f t="shared" si="30"/>
        <v>10.769081863492572</v>
      </c>
      <c r="C29" s="17">
        <f t="shared" ref="C29:O29" si="45">C11/C$18*100</f>
        <v>15.265679695086911</v>
      </c>
      <c r="D29" s="17">
        <f t="shared" si="45"/>
        <v>3.6180862196880748</v>
      </c>
      <c r="E29" s="17">
        <f t="shared" si="45"/>
        <v>11.099400538933416</v>
      </c>
      <c r="F29" s="17"/>
      <c r="G29" s="17">
        <f t="shared" si="45"/>
        <v>10.363394991339009</v>
      </c>
      <c r="H29" s="17">
        <f t="shared" si="45"/>
        <v>14.583389556284818</v>
      </c>
      <c r="I29" s="17">
        <f t="shared" si="45"/>
        <v>3.4072455694193522</v>
      </c>
      <c r="J29" s="17">
        <f t="shared" si="45"/>
        <v>10.698346564484282</v>
      </c>
      <c r="K29" s="17"/>
      <c r="L29" s="17">
        <f t="shared" si="45"/>
        <v>8.3157768799312599</v>
      </c>
      <c r="M29" s="17">
        <f t="shared" si="45"/>
        <v>11.945937510019759</v>
      </c>
      <c r="N29" s="17">
        <f t="shared" si="45"/>
        <v>3.1268224365697419</v>
      </c>
      <c r="O29" s="17">
        <f t="shared" si="45"/>
        <v>8.6642192973352259</v>
      </c>
      <c r="Q29" t="str">
        <f>$A$11</f>
        <v>Administrative and secretarial occupations</v>
      </c>
      <c r="R29" s="17">
        <f t="shared" ref="R29:U29" si="46">R11/R$18*100</f>
        <v>5.8942779344330516</v>
      </c>
      <c r="S29" s="17">
        <f t="shared" si="46"/>
        <v>7.146103409705078</v>
      </c>
      <c r="T29" s="17">
        <f t="shared" si="46"/>
        <v>1.5687346971700928</v>
      </c>
      <c r="U29" s="17">
        <f t="shared" si="46"/>
        <v>5.3712094913011637</v>
      </c>
      <c r="V29" s="17"/>
      <c r="W29" s="17">
        <f t="shared" ref="W29:Z29" si="47">W11/W$18*100</f>
        <v>6.3019577703604019</v>
      </c>
      <c r="X29" s="17">
        <f t="shared" si="47"/>
        <v>7.7382597187541773</v>
      </c>
      <c r="Y29" s="17">
        <f t="shared" si="47"/>
        <v>1.3533656133905929</v>
      </c>
      <c r="Z29" s="17">
        <f t="shared" si="47"/>
        <v>5.800308271457304</v>
      </c>
      <c r="AA29" s="17"/>
      <c r="AB29" s="17">
        <f t="shared" ref="AB29:AE29" si="48">AB11/AB$18*100</f>
        <v>6.426540780858506</v>
      </c>
      <c r="AC29" s="17">
        <f t="shared" si="48"/>
        <v>6.7902904800192108</v>
      </c>
      <c r="AD29" s="17">
        <f t="shared" si="48"/>
        <v>1.7017921831169478</v>
      </c>
      <c r="AE29" s="17">
        <f t="shared" si="48"/>
        <v>5.7615352638911768</v>
      </c>
      <c r="AG29" t="str">
        <f>$A$11</f>
        <v>Administrative and secretarial occupations</v>
      </c>
      <c r="AH29" s="17">
        <f t="shared" ref="AH29:AK29" si="49">AH11/AH$18*100</f>
        <v>18.674317402667782</v>
      </c>
      <c r="AI29" s="17">
        <f t="shared" si="49"/>
        <v>18.292273180142114</v>
      </c>
      <c r="AJ29" s="17">
        <f t="shared" si="49"/>
        <v>7.5401155200411063</v>
      </c>
      <c r="AK29" s="17">
        <f t="shared" si="49"/>
        <v>17.457445425673157</v>
      </c>
      <c r="AL29" s="17"/>
      <c r="AM29" s="17">
        <f t="shared" ref="AM29:AP29" si="50">AM11/AM$18*100</f>
        <v>16.556043805552516</v>
      </c>
      <c r="AN29" s="17">
        <f t="shared" si="50"/>
        <v>17.425941627617462</v>
      </c>
      <c r="AO29" s="17">
        <f t="shared" si="50"/>
        <v>6.6792317700977071</v>
      </c>
      <c r="AP29" s="17">
        <f t="shared" si="50"/>
        <v>15.935188939846833</v>
      </c>
      <c r="AQ29" s="17"/>
      <c r="AR29" s="17">
        <f t="shared" ref="AR29:AU29" si="51">AR11/AR$18*100</f>
        <v>10.980294421791674</v>
      </c>
      <c r="AS29" s="17">
        <f t="shared" si="51"/>
        <v>14.254687380182943</v>
      </c>
      <c r="AT29" s="17">
        <f t="shared" si="51"/>
        <v>5.3735565384773336</v>
      </c>
      <c r="AU29" s="17">
        <f t="shared" si="51"/>
        <v>11.702588737671496</v>
      </c>
    </row>
    <row r="30" spans="1:47" x14ac:dyDescent="0.3">
      <c r="A30" t="str">
        <f>$A$12</f>
        <v>Skilled trades occupations</v>
      </c>
      <c r="B30" s="17">
        <f t="shared" si="30"/>
        <v>10.349740346832595</v>
      </c>
      <c r="C30" s="17">
        <f t="shared" ref="C30:O30" si="52">C12/C$18*100</f>
        <v>3.4180590537029167</v>
      </c>
      <c r="D30" s="17">
        <f t="shared" si="52"/>
        <v>25.407860890106765</v>
      </c>
      <c r="E30" s="17">
        <f t="shared" si="52"/>
        <v>10.366919789235377</v>
      </c>
      <c r="F30" s="17"/>
      <c r="G30" s="17">
        <f t="shared" si="52"/>
        <v>8.41724578044456</v>
      </c>
      <c r="H30" s="17">
        <f t="shared" si="52"/>
        <v>2.8795886437325136</v>
      </c>
      <c r="I30" s="17">
        <f t="shared" si="52"/>
        <v>23.015804825414072</v>
      </c>
      <c r="J30" s="17">
        <f t="shared" si="52"/>
        <v>8.6602745907830556</v>
      </c>
      <c r="K30" s="17"/>
      <c r="L30" s="17">
        <f t="shared" si="52"/>
        <v>6.943017259406095</v>
      </c>
      <c r="M30" s="17">
        <f t="shared" si="52"/>
        <v>3.1989889626247452</v>
      </c>
      <c r="N30" s="17">
        <f t="shared" si="52"/>
        <v>22.996553776432449</v>
      </c>
      <c r="O30" s="17">
        <f t="shared" si="52"/>
        <v>7.9590690047033492</v>
      </c>
      <c r="Q30" t="str">
        <f>$A$12</f>
        <v>Skilled trades occupations</v>
      </c>
      <c r="R30" s="17">
        <f t="shared" ref="R30:U30" si="53">R12/R$18*100</f>
        <v>15.513087232857842</v>
      </c>
      <c r="S30" s="17">
        <f t="shared" si="53"/>
        <v>8.1890610444645748</v>
      </c>
      <c r="T30" s="17">
        <f t="shared" si="53"/>
        <v>35.026070267454926</v>
      </c>
      <c r="U30" s="17">
        <f t="shared" si="53"/>
        <v>17.629527053920881</v>
      </c>
      <c r="V30" s="17"/>
      <c r="W30" s="17">
        <f t="shared" ref="W30:Z30" si="54">W12/W$18*100</f>
        <v>12.710293612381379</v>
      </c>
      <c r="X30" s="17">
        <f t="shared" si="54"/>
        <v>6.0193437381469312</v>
      </c>
      <c r="Y30" s="17">
        <f t="shared" si="54"/>
        <v>32.996842561365639</v>
      </c>
      <c r="Z30" s="17">
        <f t="shared" si="54"/>
        <v>14.636824432531359</v>
      </c>
      <c r="AA30" s="17"/>
      <c r="AB30" s="17">
        <f t="shared" ref="AB30:AE30" si="55">AB12/AB$18*100</f>
        <v>10.415233368300989</v>
      </c>
      <c r="AC30" s="17">
        <f t="shared" si="55"/>
        <v>6.3196164632245715</v>
      </c>
      <c r="AD30" s="17">
        <f t="shared" si="55"/>
        <v>32.354374625445757</v>
      </c>
      <c r="AE30" s="17">
        <f t="shared" si="55"/>
        <v>13.096066886810604</v>
      </c>
      <c r="AG30" t="str">
        <f>$A$12</f>
        <v>Skilled trades occupations</v>
      </c>
      <c r="AH30" s="17">
        <f t="shared" ref="AH30:AK30" si="56">AH12/AH$18*100</f>
        <v>1.9765885445259239</v>
      </c>
      <c r="AI30" s="17">
        <f t="shared" si="56"/>
        <v>1.6396554726661059</v>
      </c>
      <c r="AJ30" s="17">
        <f t="shared" si="56"/>
        <v>7.0006239761873701</v>
      </c>
      <c r="AK30" s="17">
        <f t="shared" si="56"/>
        <v>2.3057391128821827</v>
      </c>
      <c r="AL30" s="17"/>
      <c r="AM30" s="17">
        <f t="shared" ref="AM30:AP30" si="57">AM12/AM$18*100</f>
        <v>1.8714502604538152</v>
      </c>
      <c r="AN30" s="17">
        <f t="shared" si="57"/>
        <v>1.5757540110903201</v>
      </c>
      <c r="AO30" s="17">
        <f t="shared" si="57"/>
        <v>7.1152563806898561</v>
      </c>
      <c r="AP30" s="17">
        <f t="shared" si="57"/>
        <v>2.2703185313763492</v>
      </c>
      <c r="AQ30" s="17"/>
      <c r="AR30" s="17">
        <f t="shared" ref="AR30:AU30" si="58">AR12/AR$18*100</f>
        <v>2.045915867038242</v>
      </c>
      <c r="AS30" s="17">
        <f t="shared" si="58"/>
        <v>1.8015410196384918</v>
      </c>
      <c r="AT30" s="17">
        <f t="shared" si="58"/>
        <v>8.2428072015240375</v>
      </c>
      <c r="AU30" s="17">
        <f t="shared" si="58"/>
        <v>2.5819431445566838</v>
      </c>
    </row>
    <row r="31" spans="1:47" x14ac:dyDescent="0.3">
      <c r="A31" t="str">
        <f>$A$13</f>
        <v>Caring, leisure and other service occupations</v>
      </c>
      <c r="B31" s="17">
        <f t="shared" si="30"/>
        <v>7.4248804227729686</v>
      </c>
      <c r="C31" s="17">
        <f t="shared" ref="C31:O31" si="59">C13/C$18*100</f>
        <v>14.427183847436645</v>
      </c>
      <c r="D31" s="17">
        <f t="shared" si="59"/>
        <v>7.14224983419557</v>
      </c>
      <c r="E31" s="17">
        <f t="shared" si="59"/>
        <v>9.3552514649410128</v>
      </c>
      <c r="F31" s="17"/>
      <c r="G31" s="17">
        <f t="shared" si="59"/>
        <v>6.9769746357667364</v>
      </c>
      <c r="H31" s="17">
        <f t="shared" si="59"/>
        <v>13.440358921093859</v>
      </c>
      <c r="I31" s="17">
        <f t="shared" si="59"/>
        <v>8.09925020507686</v>
      </c>
      <c r="J31" s="17">
        <f t="shared" si="59"/>
        <v>8.9593813496446923</v>
      </c>
      <c r="K31" s="17"/>
      <c r="L31" s="17">
        <f t="shared" si="59"/>
        <v>7.873192921604014</v>
      </c>
      <c r="M31" s="17">
        <f t="shared" si="59"/>
        <v>13.916263820197679</v>
      </c>
      <c r="N31" s="17">
        <f t="shared" si="59"/>
        <v>8.7540158037770226</v>
      </c>
      <c r="O31" s="17">
        <f t="shared" si="59"/>
        <v>9.6766178702901442</v>
      </c>
      <c r="Q31" t="str">
        <f>$A$13</f>
        <v>Caring, leisure and other service occupations</v>
      </c>
      <c r="R31" s="17">
        <f t="shared" ref="R31:U31" si="60">R13/R$18*100</f>
        <v>3.1713709460174369</v>
      </c>
      <c r="S31" s="17">
        <f t="shared" si="60"/>
        <v>6.9378177160018009</v>
      </c>
      <c r="T31" s="17">
        <f t="shared" si="60"/>
        <v>1.8116336559594821</v>
      </c>
      <c r="U31" s="17">
        <f t="shared" si="60"/>
        <v>3.4960707229234327</v>
      </c>
      <c r="V31" s="17"/>
      <c r="W31" s="17">
        <f t="shared" ref="W31:Z31" si="61">W13/W$18*100</f>
        <v>3.0906654209042044</v>
      </c>
      <c r="X31" s="17">
        <f t="shared" si="61"/>
        <v>6.8316601593631283</v>
      </c>
      <c r="Y31" s="17">
        <f t="shared" si="61"/>
        <v>1.9948517779930495</v>
      </c>
      <c r="Z31" s="17">
        <f t="shared" si="61"/>
        <v>3.5336384143626618</v>
      </c>
      <c r="AA31" s="17"/>
      <c r="AB31" s="17">
        <f t="shared" ref="AB31:AE31" si="62">AB13/AB$18*100</f>
        <v>3.8305047511608543</v>
      </c>
      <c r="AC31" s="17">
        <f t="shared" si="62"/>
        <v>7.6279499151388066</v>
      </c>
      <c r="AD31" s="17">
        <f t="shared" si="62"/>
        <v>2.70317452918668</v>
      </c>
      <c r="AE31" s="17">
        <f t="shared" si="62"/>
        <v>4.2995175014705529</v>
      </c>
      <c r="AG31" t="str">
        <f>$A$13</f>
        <v>Caring, leisure and other service occupations</v>
      </c>
      <c r="AH31" s="17">
        <f t="shared" ref="AH31:AK31" si="63">AH13/AH$18*100</f>
        <v>14.322592571034381</v>
      </c>
      <c r="AI31" s="17">
        <f t="shared" si="63"/>
        <v>17.218864834707226</v>
      </c>
      <c r="AJ31" s="17">
        <f t="shared" si="63"/>
        <v>17.3439319810877</v>
      </c>
      <c r="AK31" s="17">
        <f t="shared" si="63"/>
        <v>15.858689260135931</v>
      </c>
      <c r="AL31" s="17"/>
      <c r="AM31" s="17">
        <f t="shared" ref="AM31:AP31" si="64">AM13/AM$18*100</f>
        <v>12.902598212261829</v>
      </c>
      <c r="AN31" s="17">
        <f t="shared" si="64"/>
        <v>16.184729122952266</v>
      </c>
      <c r="AO31" s="17">
        <f t="shared" si="64"/>
        <v>17.824018859755299</v>
      </c>
      <c r="AP31" s="17">
        <f t="shared" si="64"/>
        <v>14.760430427141646</v>
      </c>
      <c r="AQ31" s="17"/>
      <c r="AR31" s="17">
        <f t="shared" ref="AR31:AU31" si="65">AR13/AR$18*100</f>
        <v>13.574869674289539</v>
      </c>
      <c r="AS31" s="17">
        <f t="shared" si="65"/>
        <v>16.732233150015908</v>
      </c>
      <c r="AT31" s="17">
        <f t="shared" si="65"/>
        <v>18.293905503601177</v>
      </c>
      <c r="AU31" s="17">
        <f t="shared" si="65"/>
        <v>15.305069761713428</v>
      </c>
    </row>
    <row r="32" spans="1:47" x14ac:dyDescent="0.3">
      <c r="A32" t="str">
        <f>$A$14</f>
        <v>Sales and customer service occupations</v>
      </c>
      <c r="B32" s="17">
        <f t="shared" si="30"/>
        <v>5.343627889459869</v>
      </c>
      <c r="C32" s="17">
        <f t="shared" ref="C32:O32" si="66">C14/C$18*100</f>
        <v>17.301183482308062</v>
      </c>
      <c r="D32" s="17">
        <f t="shared" si="66"/>
        <v>4.3911232787968668</v>
      </c>
      <c r="E32" s="17">
        <f t="shared" si="66"/>
        <v>8.5787438080003717</v>
      </c>
      <c r="F32" s="17"/>
      <c r="G32" s="17">
        <f t="shared" si="66"/>
        <v>4.8654108436790562</v>
      </c>
      <c r="H32" s="17">
        <f t="shared" si="66"/>
        <v>16.483062978596589</v>
      </c>
      <c r="I32" s="17">
        <f t="shared" si="66"/>
        <v>3.1968347632037113</v>
      </c>
      <c r="J32" s="17">
        <f t="shared" si="66"/>
        <v>7.9688047612114215</v>
      </c>
      <c r="K32" s="17"/>
      <c r="L32" s="17">
        <f t="shared" si="66"/>
        <v>4.6268090561921378</v>
      </c>
      <c r="M32" s="17">
        <f t="shared" si="66"/>
        <v>15.864333141976902</v>
      </c>
      <c r="N32" s="17">
        <f t="shared" si="66"/>
        <v>2.5027320875210974</v>
      </c>
      <c r="O32" s="17">
        <f t="shared" si="66"/>
        <v>7.4969019305036202</v>
      </c>
      <c r="Q32" t="str">
        <f>$A$14</f>
        <v>Sales and customer service occupations</v>
      </c>
      <c r="R32" s="17">
        <f t="shared" ref="R32:U32" si="67">R14/R$18*100</f>
        <v>4.3206095317983166</v>
      </c>
      <c r="S32" s="17">
        <f t="shared" si="67"/>
        <v>19.268914331555603</v>
      </c>
      <c r="T32" s="17">
        <f t="shared" si="67"/>
        <v>3.875826613910232</v>
      </c>
      <c r="U32" s="17">
        <f t="shared" si="67"/>
        <v>6.4158882749263642</v>
      </c>
      <c r="V32" s="17"/>
      <c r="W32" s="17">
        <f t="shared" ref="W32:Z32" si="68">W14/W$18*100</f>
        <v>4.1471369625503955</v>
      </c>
      <c r="X32" s="17">
        <f t="shared" si="68"/>
        <v>18.168557003113911</v>
      </c>
      <c r="Y32" s="17">
        <f t="shared" si="68"/>
        <v>3.0577622168185821</v>
      </c>
      <c r="Z32" s="17">
        <f t="shared" si="68"/>
        <v>6.2551172892807543</v>
      </c>
      <c r="AA32" s="17"/>
      <c r="AB32" s="17">
        <f t="shared" ref="AB32:AE32" si="69">AB14/AB$18*100</f>
        <v>4.4099389488145739</v>
      </c>
      <c r="AC32" s="17">
        <f t="shared" si="69"/>
        <v>17.402714281190317</v>
      </c>
      <c r="AD32" s="17">
        <f t="shared" si="69"/>
        <v>2.4406229631926997</v>
      </c>
      <c r="AE32" s="17">
        <f t="shared" si="69"/>
        <v>6.3049336116991581</v>
      </c>
      <c r="AG32" t="str">
        <f>$A$14</f>
        <v>Sales and customer service occupations</v>
      </c>
      <c r="AH32" s="17">
        <f t="shared" ref="AH32:AK32" si="70">AH14/AH$18*100</f>
        <v>7.0026076547804044</v>
      </c>
      <c r="AI32" s="17">
        <f t="shared" si="70"/>
        <v>16.567706616107976</v>
      </c>
      <c r="AJ32" s="17">
        <f t="shared" si="70"/>
        <v>5.3772930968358912</v>
      </c>
      <c r="AK32" s="17">
        <f t="shared" si="70"/>
        <v>10.979420120726061</v>
      </c>
      <c r="AL32" s="17"/>
      <c r="AM32" s="17">
        <f t="shared" ref="AM32:AP32" si="71">AM14/AM$18*100</f>
        <v>5.9605940648492624</v>
      </c>
      <c r="AN32" s="17">
        <f t="shared" si="71"/>
        <v>15.783134029938555</v>
      </c>
      <c r="AO32" s="17">
        <f t="shared" si="71"/>
        <v>3.4183878541376131</v>
      </c>
      <c r="AP32" s="17">
        <f t="shared" si="71"/>
        <v>9.8010303654723288</v>
      </c>
      <c r="AQ32" s="17"/>
      <c r="AR32" s="17">
        <f t="shared" ref="AR32:AU32" si="72">AR14/AR$18*100</f>
        <v>4.9326756472954303</v>
      </c>
      <c r="AS32" s="17">
        <f t="shared" si="72"/>
        <v>15.175430811240705</v>
      </c>
      <c r="AT32" s="17">
        <f t="shared" si="72"/>
        <v>2.6006547016762216</v>
      </c>
      <c r="AU32" s="17">
        <f t="shared" si="72"/>
        <v>8.744588579128397</v>
      </c>
    </row>
    <row r="33" spans="1:47" x14ac:dyDescent="0.3">
      <c r="A33" t="str">
        <f>$A$15</f>
        <v>Process, plant and machine operatives</v>
      </c>
      <c r="B33" s="17">
        <f t="shared" si="30"/>
        <v>7.6494980739111913</v>
      </c>
      <c r="C33" s="17">
        <f t="shared" ref="C33:O33" si="73">C15/C$18*100</f>
        <v>2.9213362309025741</v>
      </c>
      <c r="D33" s="17">
        <f t="shared" si="73"/>
        <v>7.3208751837892621</v>
      </c>
      <c r="E33" s="17">
        <f t="shared" si="73"/>
        <v>6.2782819129797494</v>
      </c>
      <c r="F33" s="17"/>
      <c r="G33" s="17">
        <f t="shared" si="73"/>
        <v>6.305056455812287</v>
      </c>
      <c r="H33" s="17">
        <f t="shared" si="73"/>
        <v>3.2212648457786983</v>
      </c>
      <c r="I33" s="17">
        <f t="shared" si="73"/>
        <v>7.6689672488515548</v>
      </c>
      <c r="J33" s="17">
        <f t="shared" si="73"/>
        <v>5.596208774695822</v>
      </c>
      <c r="K33" s="17"/>
      <c r="L33" s="17">
        <f t="shared" si="73"/>
        <v>5.9862199328788579</v>
      </c>
      <c r="M33" s="17">
        <f t="shared" si="73"/>
        <v>4.1109963062495325</v>
      </c>
      <c r="N33" s="17">
        <f t="shared" si="73"/>
        <v>8.6177060422342997</v>
      </c>
      <c r="O33" s="17">
        <f t="shared" si="73"/>
        <v>5.7999333853409913</v>
      </c>
      <c r="Q33" t="str">
        <f>$A$15</f>
        <v>Process, plant and machine operatives</v>
      </c>
      <c r="R33" s="17">
        <f t="shared" ref="R33:U33" si="74">R15/R$18*100</f>
        <v>11.027673579492777</v>
      </c>
      <c r="S33" s="17">
        <f t="shared" si="74"/>
        <v>7.9512008403430272</v>
      </c>
      <c r="T33" s="17">
        <f t="shared" si="74"/>
        <v>10.035127182452534</v>
      </c>
      <c r="U33" s="17">
        <f t="shared" si="74"/>
        <v>10.419859189051635</v>
      </c>
      <c r="V33" s="17"/>
      <c r="W33" s="17">
        <f t="shared" ref="W33:Z33" si="75">W15/W$18*100</f>
        <v>9.3440967956405956</v>
      </c>
      <c r="X33" s="17">
        <f t="shared" si="75"/>
        <v>8.7536650719947886</v>
      </c>
      <c r="Y33" s="17">
        <f t="shared" si="75"/>
        <v>10.904893164153059</v>
      </c>
      <c r="Z33" s="17">
        <f t="shared" si="75"/>
        <v>9.4800746164584684</v>
      </c>
      <c r="AA33" s="17"/>
      <c r="AB33" s="17">
        <f t="shared" ref="AB33:AE33" si="76">AB15/AB$18*100</f>
        <v>8.9644035061959553</v>
      </c>
      <c r="AC33" s="17">
        <f t="shared" si="76"/>
        <v>9.4893488427115891</v>
      </c>
      <c r="AD33" s="17">
        <f t="shared" si="76"/>
        <v>12.302326181461341</v>
      </c>
      <c r="AE33" s="17">
        <f t="shared" si="76"/>
        <v>9.5664824879622739</v>
      </c>
      <c r="AG33" t="str">
        <f>$A$15</f>
        <v>Process, plant and machine operatives</v>
      </c>
      <c r="AH33" s="17">
        <f t="shared" ref="AH33:AK33" si="77">AH15/AH$18*100</f>
        <v>2.1712730103142417</v>
      </c>
      <c r="AI33" s="17">
        <f t="shared" si="77"/>
        <v>1.0464409257066991</v>
      </c>
      <c r="AJ33" s="17">
        <f t="shared" si="77"/>
        <v>2.1263657253926698</v>
      </c>
      <c r="AK33" s="17">
        <f t="shared" si="77"/>
        <v>1.6813098489891833</v>
      </c>
      <c r="AL33" s="17"/>
      <c r="AM33" s="17">
        <f t="shared" ref="AM33:AP33" si="78">AM15/AM$18*100</f>
        <v>1.6713003412095448</v>
      </c>
      <c r="AN33" s="17">
        <f t="shared" si="78"/>
        <v>0.9238452064538234</v>
      </c>
      <c r="AO33" s="17">
        <f t="shared" si="78"/>
        <v>2.5138923817906718</v>
      </c>
      <c r="AP33" s="17">
        <f t="shared" si="78"/>
        <v>1.4436905615733735</v>
      </c>
      <c r="AQ33" s="17"/>
      <c r="AR33" s="17">
        <f t="shared" ref="AR33:AU33" si="79">AR15/AR$18*100</f>
        <v>1.7858860636082565</v>
      </c>
      <c r="AS33" s="17">
        <f t="shared" si="79"/>
        <v>1.7025167016542484</v>
      </c>
      <c r="AT33" s="17">
        <f t="shared" si="79"/>
        <v>2.8084527303704321</v>
      </c>
      <c r="AU33" s="17">
        <f t="shared" si="79"/>
        <v>1.857317669309392</v>
      </c>
    </row>
    <row r="34" spans="1:47" x14ac:dyDescent="0.3">
      <c r="A34" t="str">
        <f>$A$16</f>
        <v>Elementary occupations</v>
      </c>
      <c r="B34" s="17">
        <f t="shared" si="30"/>
        <v>8.39064090248438</v>
      </c>
      <c r="C34" s="17">
        <f t="shared" ref="C34:O34" si="80">C16/C$18*100</f>
        <v>21.605970768402649</v>
      </c>
      <c r="D34" s="17">
        <f t="shared" si="80"/>
        <v>6.0793323918230566</v>
      </c>
      <c r="E34" s="17">
        <f t="shared" si="80"/>
        <v>11.80184043422045</v>
      </c>
      <c r="F34" s="17"/>
      <c r="G34" s="17">
        <f t="shared" si="80"/>
        <v>6.9289527439018075</v>
      </c>
      <c r="H34" s="17">
        <f t="shared" si="80"/>
        <v>19.411841512681647</v>
      </c>
      <c r="I34" s="17">
        <f t="shared" si="80"/>
        <v>5.3351596652112008</v>
      </c>
      <c r="J34" s="17">
        <f t="shared" si="80"/>
        <v>10.288311724822806</v>
      </c>
      <c r="K34" s="17"/>
      <c r="L34" s="17">
        <f t="shared" si="80"/>
        <v>6.2794919502843243</v>
      </c>
      <c r="M34" s="17">
        <f t="shared" si="80"/>
        <v>16.650689432473101</v>
      </c>
      <c r="N34" s="17">
        <f t="shared" si="80"/>
        <v>6.3831375995849289</v>
      </c>
      <c r="O34" s="17">
        <f t="shared" si="80"/>
        <v>9.1935895246397532</v>
      </c>
      <c r="Q34" t="str">
        <f>$A$16</f>
        <v>Elementary occupations</v>
      </c>
      <c r="R34" s="17">
        <f t="shared" ref="R34:U34" si="81">R16/R$18*100</f>
        <v>10.105547528065079</v>
      </c>
      <c r="S34" s="17">
        <f t="shared" si="81"/>
        <v>28.926176781008898</v>
      </c>
      <c r="T34" s="17">
        <f t="shared" si="81"/>
        <v>4.7637032540056286</v>
      </c>
      <c r="U34" s="17">
        <f t="shared" si="81"/>
        <v>11.964673437028479</v>
      </c>
      <c r="V34" s="17"/>
      <c r="W34" s="17">
        <f t="shared" ref="W34:Z34" si="82">W16/W$18*100</f>
        <v>8.4306170880017</v>
      </c>
      <c r="X34" s="17">
        <f t="shared" si="82"/>
        <v>24.774313409085519</v>
      </c>
      <c r="Y34" s="17">
        <f t="shared" si="82"/>
        <v>4.5990455287997065</v>
      </c>
      <c r="Z34" s="17">
        <f t="shared" si="82"/>
        <v>10.507682279860086</v>
      </c>
      <c r="AA34" s="17"/>
      <c r="AB34" s="17">
        <f t="shared" ref="AB34:AE34" si="83">AB16/AB$18*100</f>
        <v>7.488070164217965</v>
      </c>
      <c r="AC34" s="17">
        <f t="shared" si="83"/>
        <v>21.775750644796641</v>
      </c>
      <c r="AD34" s="17">
        <f t="shared" si="83"/>
        <v>5.7516810856953207</v>
      </c>
      <c r="AE34" s="17">
        <f t="shared" si="83"/>
        <v>9.6379250890507784</v>
      </c>
      <c r="AG34" t="str">
        <f>$A$16</f>
        <v>Elementary occupations</v>
      </c>
      <c r="AH34" s="17">
        <f t="shared" ref="AH34:AK34" si="84">AH16/AH$18*100</f>
        <v>5.6096591439989467</v>
      </c>
      <c r="AI34" s="17">
        <f t="shared" si="84"/>
        <v>18.877344661778885</v>
      </c>
      <c r="AJ34" s="17">
        <f t="shared" si="84"/>
        <v>8.5971708252111512</v>
      </c>
      <c r="AK34" s="17">
        <f t="shared" si="84"/>
        <v>11.621102827480881</v>
      </c>
      <c r="AL34" s="17"/>
      <c r="AM34" s="17">
        <f t="shared" ref="AM34:AP34" si="85">AM16/AM$18*100</f>
        <v>4.6393002357199116</v>
      </c>
      <c r="AN34" s="17">
        <f t="shared" si="85"/>
        <v>17.184987390352141</v>
      </c>
      <c r="AO34" s="17">
        <f t="shared" si="85"/>
        <v>6.5078451911557949</v>
      </c>
      <c r="AP34" s="17">
        <f t="shared" si="85"/>
        <v>10.05376700512114</v>
      </c>
      <c r="AQ34" s="17"/>
      <c r="AR34" s="17">
        <f t="shared" ref="AR34:AU34" si="86">AR16/AR$18*100</f>
        <v>4.5749522935854889</v>
      </c>
      <c r="AS34" s="17">
        <f t="shared" si="86"/>
        <v>14.355636194794608</v>
      </c>
      <c r="AT34" s="17">
        <f t="shared" si="86"/>
        <v>7.3787058551991356</v>
      </c>
      <c r="AU34" s="17">
        <f t="shared" si="86"/>
        <v>8.7284835797260119</v>
      </c>
    </row>
    <row r="35" spans="1:47" x14ac:dyDescent="0.3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</row>
    <row r="36" spans="1:47" x14ac:dyDescent="0.3">
      <c r="A36" s="23" t="str">
        <f>$A$18</f>
        <v>All occupations</v>
      </c>
      <c r="B36" s="25">
        <f>B18/B$18*100</f>
        <v>100</v>
      </c>
      <c r="C36" s="25">
        <f t="shared" ref="C36:O36" si="87">C18/C$18*100</f>
        <v>100</v>
      </c>
      <c r="D36" s="25">
        <f t="shared" si="87"/>
        <v>100</v>
      </c>
      <c r="E36" s="25">
        <f t="shared" si="87"/>
        <v>100</v>
      </c>
      <c r="F36" s="25"/>
      <c r="G36" s="25">
        <f t="shared" si="87"/>
        <v>100</v>
      </c>
      <c r="H36" s="25">
        <f t="shared" si="87"/>
        <v>100</v>
      </c>
      <c r="I36" s="25">
        <f t="shared" si="87"/>
        <v>100</v>
      </c>
      <c r="J36" s="25">
        <f t="shared" si="87"/>
        <v>100</v>
      </c>
      <c r="K36" s="25"/>
      <c r="L36" s="25">
        <f t="shared" si="87"/>
        <v>100</v>
      </c>
      <c r="M36" s="25">
        <f t="shared" si="87"/>
        <v>100</v>
      </c>
      <c r="N36" s="25">
        <f t="shared" si="87"/>
        <v>100</v>
      </c>
      <c r="O36" s="25">
        <f t="shared" si="87"/>
        <v>100</v>
      </c>
      <c r="Q36" s="23" t="str">
        <f>$A$18</f>
        <v>All occupations</v>
      </c>
      <c r="R36" s="25">
        <f>R18/R$18*100</f>
        <v>100</v>
      </c>
      <c r="S36" s="25">
        <f t="shared" ref="S36:U36" si="88">S18/S$18*100</f>
        <v>100</v>
      </c>
      <c r="T36" s="25">
        <f t="shared" si="88"/>
        <v>100</v>
      </c>
      <c r="U36" s="25">
        <f t="shared" si="88"/>
        <v>100</v>
      </c>
      <c r="V36" s="25"/>
      <c r="W36" s="25">
        <f t="shared" ref="W36:Z36" si="89">W18/W$18*100</f>
        <v>100</v>
      </c>
      <c r="X36" s="25">
        <f t="shared" si="89"/>
        <v>100</v>
      </c>
      <c r="Y36" s="25">
        <f t="shared" si="89"/>
        <v>100</v>
      </c>
      <c r="Z36" s="25">
        <f t="shared" si="89"/>
        <v>100</v>
      </c>
      <c r="AA36" s="25"/>
      <c r="AB36" s="25">
        <f t="shared" ref="AB36:AE36" si="90">AB18/AB$18*100</f>
        <v>100</v>
      </c>
      <c r="AC36" s="25">
        <f t="shared" si="90"/>
        <v>100</v>
      </c>
      <c r="AD36" s="25">
        <f t="shared" si="90"/>
        <v>100</v>
      </c>
      <c r="AE36" s="25">
        <f t="shared" si="90"/>
        <v>100</v>
      </c>
      <c r="AG36" s="23" t="str">
        <f>$A$18</f>
        <v>All occupations</v>
      </c>
      <c r="AH36" s="25">
        <f>AH18/AH$18*100</f>
        <v>100</v>
      </c>
      <c r="AI36" s="25">
        <f t="shared" ref="AI36:AK36" si="91">AI18/AI$18*100</f>
        <v>100</v>
      </c>
      <c r="AJ36" s="25">
        <f t="shared" si="91"/>
        <v>100</v>
      </c>
      <c r="AK36" s="25">
        <f t="shared" si="91"/>
        <v>100</v>
      </c>
      <c r="AL36" s="25"/>
      <c r="AM36" s="25">
        <f t="shared" ref="AM36:AP36" si="92">AM18/AM$18*100</f>
        <v>100</v>
      </c>
      <c r="AN36" s="25">
        <f t="shared" si="92"/>
        <v>100</v>
      </c>
      <c r="AO36" s="25">
        <f t="shared" si="92"/>
        <v>100</v>
      </c>
      <c r="AP36" s="25">
        <f t="shared" si="92"/>
        <v>100</v>
      </c>
      <c r="AQ36" s="25"/>
      <c r="AR36" s="25">
        <f t="shared" ref="AR36:AU36" si="93">AR18/AR$18*100</f>
        <v>100</v>
      </c>
      <c r="AS36" s="25">
        <f t="shared" si="93"/>
        <v>100</v>
      </c>
      <c r="AT36" s="25">
        <f t="shared" si="93"/>
        <v>100</v>
      </c>
      <c r="AU36" s="25">
        <f t="shared" si="93"/>
        <v>100</v>
      </c>
    </row>
    <row r="37" spans="1:47" x14ac:dyDescent="0.3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</row>
    <row r="38" spans="1:47" x14ac:dyDescent="0.3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</row>
    <row r="39" spans="1:47" x14ac:dyDescent="0.3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</row>
    <row r="40" spans="1:47" x14ac:dyDescent="0.3">
      <c r="A40" s="3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Q40" s="3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G40" s="3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</row>
    <row r="41" spans="1:47" x14ac:dyDescent="0.3">
      <c r="B41" s="376" t="str">
        <f>B5&amp;"-"&amp;G5</f>
        <v>2015-2020</v>
      </c>
      <c r="C41" s="376"/>
      <c r="D41" s="376"/>
      <c r="E41" s="376"/>
      <c r="F41" s="1"/>
      <c r="G41" s="376" t="str">
        <f>G5&amp;"-"&amp;L5</f>
        <v>2020-2035</v>
      </c>
      <c r="H41" s="376"/>
      <c r="I41" s="376"/>
      <c r="J41" s="376"/>
      <c r="K41" s="1"/>
      <c r="L41" s="376" t="str">
        <f>B5&amp;"-"&amp;L5</f>
        <v>2015-2035</v>
      </c>
      <c r="M41" s="376"/>
      <c r="N41" s="376"/>
      <c r="O41" s="376"/>
      <c r="R41" s="376" t="str">
        <f>R5&amp;"-"&amp;W5</f>
        <v>2015-2020</v>
      </c>
      <c r="S41" s="376"/>
      <c r="T41" s="376"/>
      <c r="U41" s="376"/>
      <c r="V41" s="1"/>
      <c r="W41" s="376" t="str">
        <f>W5&amp;"-"&amp;AB5</f>
        <v>2020-2035</v>
      </c>
      <c r="X41" s="376"/>
      <c r="Y41" s="376"/>
      <c r="Z41" s="376"/>
      <c r="AA41" s="1"/>
      <c r="AB41" s="376" t="str">
        <f>R5&amp;"-"&amp;AB5</f>
        <v>2015-2035</v>
      </c>
      <c r="AC41" s="376"/>
      <c r="AD41" s="376"/>
      <c r="AE41" s="376"/>
      <c r="AH41" s="376" t="str">
        <f>AH5&amp;"-"&amp;AM5</f>
        <v>2015-2020</v>
      </c>
      <c r="AI41" s="376"/>
      <c r="AJ41" s="376"/>
      <c r="AK41" s="376"/>
      <c r="AL41" s="1"/>
      <c r="AM41" s="376" t="str">
        <f>AM5&amp;"-"&amp;AR5</f>
        <v>2020-2035</v>
      </c>
      <c r="AN41" s="376"/>
      <c r="AO41" s="376"/>
      <c r="AP41" s="376"/>
      <c r="AQ41" s="1"/>
      <c r="AR41" s="376" t="str">
        <f>AH5&amp;"-"&amp;AR5</f>
        <v>2015-2035</v>
      </c>
      <c r="AS41" s="376"/>
      <c r="AT41" s="376"/>
      <c r="AU41" s="376"/>
    </row>
    <row r="42" spans="1:47" x14ac:dyDescent="0.3">
      <c r="A42" s="40" t="s">
        <v>15</v>
      </c>
      <c r="B42" s="337" t="s">
        <v>339</v>
      </c>
      <c r="C42" s="337" t="s">
        <v>341</v>
      </c>
      <c r="D42" s="337" t="s">
        <v>337</v>
      </c>
      <c r="E42" s="337" t="s">
        <v>32</v>
      </c>
      <c r="F42" s="338"/>
      <c r="G42" s="337" t="s">
        <v>339</v>
      </c>
      <c r="H42" s="337" t="s">
        <v>341</v>
      </c>
      <c r="I42" s="337" t="s">
        <v>337</v>
      </c>
      <c r="J42" s="337" t="s">
        <v>32</v>
      </c>
      <c r="K42" s="338"/>
      <c r="L42" s="337" t="s">
        <v>339</v>
      </c>
      <c r="M42" s="337" t="s">
        <v>341</v>
      </c>
      <c r="N42" s="337" t="s">
        <v>337</v>
      </c>
      <c r="O42" s="337" t="s">
        <v>32</v>
      </c>
      <c r="Q42" s="40" t="s">
        <v>15</v>
      </c>
      <c r="R42" s="337" t="s">
        <v>339</v>
      </c>
      <c r="S42" s="337" t="s">
        <v>341</v>
      </c>
      <c r="T42" s="337" t="s">
        <v>337</v>
      </c>
      <c r="U42" s="337" t="s">
        <v>32</v>
      </c>
      <c r="V42" s="338"/>
      <c r="W42" s="337" t="s">
        <v>339</v>
      </c>
      <c r="X42" s="337" t="s">
        <v>341</v>
      </c>
      <c r="Y42" s="337" t="s">
        <v>337</v>
      </c>
      <c r="Z42" s="337" t="s">
        <v>32</v>
      </c>
      <c r="AA42" s="338"/>
      <c r="AB42" s="337" t="s">
        <v>339</v>
      </c>
      <c r="AC42" s="337" t="s">
        <v>341</v>
      </c>
      <c r="AD42" s="337" t="s">
        <v>337</v>
      </c>
      <c r="AE42" s="337" t="s">
        <v>32</v>
      </c>
      <c r="AG42" s="40" t="s">
        <v>15</v>
      </c>
      <c r="AH42" s="337" t="s">
        <v>339</v>
      </c>
      <c r="AI42" s="337" t="s">
        <v>341</v>
      </c>
      <c r="AJ42" s="337" t="s">
        <v>337</v>
      </c>
      <c r="AK42" s="337" t="s">
        <v>32</v>
      </c>
      <c r="AL42" s="338"/>
      <c r="AM42" s="337" t="s">
        <v>339</v>
      </c>
      <c r="AN42" s="337" t="s">
        <v>341</v>
      </c>
      <c r="AO42" s="337" t="s">
        <v>337</v>
      </c>
      <c r="AP42" s="337" t="s">
        <v>32</v>
      </c>
      <c r="AQ42" s="338"/>
      <c r="AR42" s="337" t="s">
        <v>339</v>
      </c>
      <c r="AS42" s="337" t="s">
        <v>341</v>
      </c>
      <c r="AT42" s="337" t="s">
        <v>337</v>
      </c>
      <c r="AU42" s="337" t="s">
        <v>32</v>
      </c>
    </row>
    <row r="43" spans="1:47" x14ac:dyDescent="0.3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3">
      <c r="A44" t="str">
        <f>$A$8</f>
        <v>Managers, directors and senior officials</v>
      </c>
      <c r="B44" s="26">
        <f>G8-B8</f>
        <v>299.36639251394809</v>
      </c>
      <c r="C44" s="26">
        <f t="shared" ref="C44:E44" si="94">H8-C8</f>
        <v>173.81500779372192</v>
      </c>
      <c r="D44" s="26">
        <f t="shared" si="94"/>
        <v>67.952663410887112</v>
      </c>
      <c r="E44" s="26">
        <f t="shared" si="94"/>
        <v>541.13406371855672</v>
      </c>
      <c r="F44" s="26"/>
      <c r="G44" s="26">
        <f>L8-G8</f>
        <v>328.94057220335162</v>
      </c>
      <c r="H44" s="26">
        <f t="shared" ref="H44:J44" si="95">M8-H8</f>
        <v>138.65357897620066</v>
      </c>
      <c r="I44" s="26">
        <f t="shared" si="95"/>
        <v>104.09551711949223</v>
      </c>
      <c r="J44" s="26">
        <f t="shared" si="95"/>
        <v>571.68966829904457</v>
      </c>
      <c r="K44" s="26"/>
      <c r="L44" s="26">
        <f>L8-B8</f>
        <v>628.30696471729971</v>
      </c>
      <c r="M44" s="26">
        <f t="shared" ref="M44:O44" si="96">M8-C8</f>
        <v>312.46858676992258</v>
      </c>
      <c r="N44" s="26">
        <f t="shared" si="96"/>
        <v>172.04818053037934</v>
      </c>
      <c r="O44" s="26">
        <f t="shared" si="96"/>
        <v>1112.8237320176013</v>
      </c>
      <c r="Q44" t="str">
        <f>$A$8</f>
        <v>Managers, directors and senior officials</v>
      </c>
      <c r="R44" s="26">
        <f>W8-R8</f>
        <v>171.72659811392077</v>
      </c>
      <c r="S44" s="26">
        <f t="shared" ref="S44:S52" si="97">X8-S8</f>
        <v>68.607796282841818</v>
      </c>
      <c r="T44" s="26">
        <f t="shared" ref="T44:T52" si="98">Y8-T8</f>
        <v>17.259738512112165</v>
      </c>
      <c r="U44" s="26">
        <f t="shared" ref="U44:U52" si="99">Z8-U8</f>
        <v>257.5941329088746</v>
      </c>
      <c r="V44" s="26"/>
      <c r="W44" s="26">
        <f>AB8-W8</f>
        <v>91.330316017592168</v>
      </c>
      <c r="X44" s="26">
        <f t="shared" ref="X44:X52" si="100">AC8-X8</f>
        <v>64.444332788246271</v>
      </c>
      <c r="Y44" s="26">
        <f t="shared" ref="Y44:Y52" si="101">AD8-Y8</f>
        <v>76.037335332151486</v>
      </c>
      <c r="Z44" s="26">
        <f t="shared" ref="Z44:Z52" si="102">AE8-Z8</f>
        <v>231.81198413798984</v>
      </c>
      <c r="AA44" s="26"/>
      <c r="AB44" s="26">
        <f>AB8-R8</f>
        <v>263.05691413151294</v>
      </c>
      <c r="AC44" s="26">
        <f t="shared" ref="AC44:AC52" si="103">AC8-S8</f>
        <v>133.05212907108807</v>
      </c>
      <c r="AD44" s="26">
        <f t="shared" ref="AD44:AD52" si="104">AD8-T8</f>
        <v>93.29707384426365</v>
      </c>
      <c r="AE44" s="26">
        <f t="shared" ref="AE44:AE52" si="105">AE8-U8</f>
        <v>489.40611704686444</v>
      </c>
      <c r="AG44" t="str">
        <f>$A$8</f>
        <v>Managers, directors and senior officials</v>
      </c>
      <c r="AH44" s="26">
        <f>AM8-AH8</f>
        <v>127.63979440002754</v>
      </c>
      <c r="AI44" s="26">
        <f t="shared" ref="AI44:AI52" si="106">AN8-AI8</f>
        <v>105.20721151088068</v>
      </c>
      <c r="AJ44" s="26">
        <f t="shared" ref="AJ44:AJ52" si="107">AO8-AJ8</f>
        <v>50.69292489877455</v>
      </c>
      <c r="AK44" s="26">
        <f t="shared" ref="AK44:AK52" si="108">AP8-AK8</f>
        <v>283.53993080968303</v>
      </c>
      <c r="AL44" s="26"/>
      <c r="AM44" s="26">
        <f>AR8-AM8</f>
        <v>237.6102561857623</v>
      </c>
      <c r="AN44" s="26">
        <f t="shared" ref="AN44:AN52" si="109">AS8-AN8</f>
        <v>74.20924618795334</v>
      </c>
      <c r="AO44" s="26">
        <f t="shared" ref="AO44:AO52" si="110">AT8-AO8</f>
        <v>28.058181787341226</v>
      </c>
      <c r="AP44" s="26">
        <f t="shared" ref="AP44:AP52" si="111">AU8-AP8</f>
        <v>339.87768416105678</v>
      </c>
      <c r="AQ44" s="26"/>
      <c r="AR44" s="26">
        <f>AR8-AH8</f>
        <v>365.25005058578984</v>
      </c>
      <c r="AS44" s="26">
        <f t="shared" ref="AS44:AS52" si="112">AS8-AI8</f>
        <v>179.41645769883402</v>
      </c>
      <c r="AT44" s="26">
        <f t="shared" ref="AT44:AT52" si="113">AT8-AJ8</f>
        <v>78.751106686115776</v>
      </c>
      <c r="AU44" s="26">
        <f t="shared" ref="AU44:AU52" si="114">AU8-AK8</f>
        <v>623.41761497073981</v>
      </c>
    </row>
    <row r="45" spans="1:47" x14ac:dyDescent="0.3">
      <c r="A45" t="str">
        <f>$A$9</f>
        <v>Professional occupations</v>
      </c>
      <c r="B45" s="26">
        <f t="shared" ref="B45:B54" si="115">G9-B9</f>
        <v>957.60364756012586</v>
      </c>
      <c r="C45" s="26">
        <f t="shared" ref="C45:C54" si="116">H9-C9</f>
        <v>303.44839348032247</v>
      </c>
      <c r="D45" s="26">
        <f t="shared" ref="D45:D54" si="117">I9-D9</f>
        <v>53.045823626233528</v>
      </c>
      <c r="E45" s="26">
        <f t="shared" ref="E45:E54" si="118">J9-E9</f>
        <v>1314.0978646666817</v>
      </c>
      <c r="F45" s="26"/>
      <c r="G45" s="26">
        <f t="shared" ref="G45:G54" si="119">L9-G9</f>
        <v>1241.5414635905554</v>
      </c>
      <c r="H45" s="26">
        <f t="shared" ref="H45:H54" si="120">M9-H9</f>
        <v>397.46635308025543</v>
      </c>
      <c r="I45" s="26">
        <f t="shared" ref="I45:I54" si="121">N9-I9</f>
        <v>3.2295535825983279</v>
      </c>
      <c r="J45" s="26">
        <f t="shared" ref="J45:J54" si="122">O9-J9</f>
        <v>1642.2373702534096</v>
      </c>
      <c r="K45" s="26"/>
      <c r="L45" s="26">
        <f t="shared" ref="L45:L54" si="123">L9-B9</f>
        <v>2199.1451111506813</v>
      </c>
      <c r="M45" s="26">
        <f t="shared" ref="M45:M54" si="124">M9-C9</f>
        <v>700.9147465605779</v>
      </c>
      <c r="N45" s="26">
        <f t="shared" ref="N45:N54" si="125">N9-D9</f>
        <v>56.275377208831856</v>
      </c>
      <c r="O45" s="26">
        <f t="shared" ref="O45:O54" si="126">O9-E9</f>
        <v>2956.3352349200914</v>
      </c>
      <c r="Q45" t="str">
        <f>$A$9</f>
        <v>Professional occupations</v>
      </c>
      <c r="R45" s="26">
        <f t="shared" ref="R45:R52" si="127">W9-R9</f>
        <v>490.53253240022332</v>
      </c>
      <c r="S45" s="26">
        <f t="shared" si="97"/>
        <v>119.53725038936935</v>
      </c>
      <c r="T45" s="26">
        <f t="shared" si="98"/>
        <v>-23.382697987203187</v>
      </c>
      <c r="U45" s="26">
        <f t="shared" si="99"/>
        <v>586.68708480238911</v>
      </c>
      <c r="V45" s="26"/>
      <c r="W45" s="26">
        <f t="shared" ref="W45:W52" si="128">AB9-W9</f>
        <v>576.54550683974458</v>
      </c>
      <c r="X45" s="26">
        <f t="shared" si="100"/>
        <v>134.34328005334169</v>
      </c>
      <c r="Y45" s="26">
        <f t="shared" si="101"/>
        <v>-28.098228688046049</v>
      </c>
      <c r="Z45" s="26">
        <f t="shared" si="102"/>
        <v>682.79055820504072</v>
      </c>
      <c r="AA45" s="26"/>
      <c r="AB45" s="26">
        <f t="shared" ref="AB45:AB52" si="129">AB9-R9</f>
        <v>1067.0780392399679</v>
      </c>
      <c r="AC45" s="26">
        <f t="shared" si="103"/>
        <v>253.88053044271103</v>
      </c>
      <c r="AD45" s="26">
        <f t="shared" si="104"/>
        <v>-51.480926675249236</v>
      </c>
      <c r="AE45" s="26">
        <f t="shared" si="105"/>
        <v>1269.4776430074298</v>
      </c>
      <c r="AG45" t="str">
        <f>$A$9</f>
        <v>Professional occupations</v>
      </c>
      <c r="AH45" s="26">
        <f t="shared" ref="AH45:AH52" si="130">AM9-AH9</f>
        <v>467.07111515989891</v>
      </c>
      <c r="AI45" s="26">
        <f t="shared" si="106"/>
        <v>183.91114309095337</v>
      </c>
      <c r="AJ45" s="26">
        <f t="shared" si="107"/>
        <v>76.428521613436772</v>
      </c>
      <c r="AK45" s="26">
        <f t="shared" si="108"/>
        <v>727.410779864289</v>
      </c>
      <c r="AL45" s="26"/>
      <c r="AM45" s="26">
        <f t="shared" ref="AM45:AM52" si="131">AR9-AM9</f>
        <v>664.99595675081764</v>
      </c>
      <c r="AN45" s="26">
        <f t="shared" si="109"/>
        <v>263.12307302691352</v>
      </c>
      <c r="AO45" s="26">
        <f t="shared" si="110"/>
        <v>31.327782270644036</v>
      </c>
      <c r="AP45" s="26">
        <f t="shared" si="111"/>
        <v>959.44681204837525</v>
      </c>
      <c r="AQ45" s="26"/>
      <c r="AR45" s="26">
        <f t="shared" ref="AR45:AR52" si="132">AR9-AH9</f>
        <v>1132.0670719107165</v>
      </c>
      <c r="AS45" s="26">
        <f t="shared" si="112"/>
        <v>447.03421611786689</v>
      </c>
      <c r="AT45" s="26">
        <f t="shared" si="113"/>
        <v>107.75630388408081</v>
      </c>
      <c r="AU45" s="26">
        <f t="shared" si="114"/>
        <v>1686.8575919126642</v>
      </c>
    </row>
    <row r="46" spans="1:47" x14ac:dyDescent="0.3">
      <c r="A46" t="str">
        <f>$A$10</f>
        <v>Associate professional occupations</v>
      </c>
      <c r="B46" s="26">
        <f t="shared" si="115"/>
        <v>412.5761144066305</v>
      </c>
      <c r="C46" s="26">
        <f t="shared" si="116"/>
        <v>142.07805838208992</v>
      </c>
      <c r="D46" s="26">
        <f t="shared" si="117"/>
        <v>7.7992814351523521</v>
      </c>
      <c r="E46" s="26">
        <f t="shared" si="118"/>
        <v>562.45345422387254</v>
      </c>
      <c r="F46" s="26"/>
      <c r="G46" s="26">
        <f t="shared" si="119"/>
        <v>174.55168949015251</v>
      </c>
      <c r="H46" s="26">
        <f t="shared" si="120"/>
        <v>80.398486792127073</v>
      </c>
      <c r="I46" s="26">
        <f t="shared" si="121"/>
        <v>41.44287310390223</v>
      </c>
      <c r="J46" s="26">
        <f t="shared" si="122"/>
        <v>296.39304938618261</v>
      </c>
      <c r="K46" s="26"/>
      <c r="L46" s="26">
        <f t="shared" si="123"/>
        <v>587.12780389678301</v>
      </c>
      <c r="M46" s="26">
        <f t="shared" si="124"/>
        <v>222.47654517421699</v>
      </c>
      <c r="N46" s="26">
        <f t="shared" si="125"/>
        <v>49.242154539054582</v>
      </c>
      <c r="O46" s="26">
        <f t="shared" si="126"/>
        <v>858.84650361005515</v>
      </c>
      <c r="Q46" t="str">
        <f>$A$10</f>
        <v>Associate professional occupations</v>
      </c>
      <c r="R46" s="26">
        <f t="shared" si="127"/>
        <v>192.75567942987846</v>
      </c>
      <c r="S46" s="26">
        <f t="shared" si="97"/>
        <v>68.484223737475219</v>
      </c>
      <c r="T46" s="26">
        <f t="shared" si="98"/>
        <v>-22.695911802178955</v>
      </c>
      <c r="U46" s="26">
        <f t="shared" si="99"/>
        <v>238.54399136517441</v>
      </c>
      <c r="V46" s="26"/>
      <c r="W46" s="26">
        <f t="shared" si="128"/>
        <v>-40.160251462918268</v>
      </c>
      <c r="X46" s="26">
        <f t="shared" si="100"/>
        <v>-15.181674369070635</v>
      </c>
      <c r="Y46" s="26">
        <f t="shared" si="101"/>
        <v>5.9880498485254634</v>
      </c>
      <c r="Z46" s="26">
        <f t="shared" si="102"/>
        <v>-49.353875983462785</v>
      </c>
      <c r="AA46" s="26"/>
      <c r="AB46" s="26">
        <f t="shared" si="129"/>
        <v>152.59542796696019</v>
      </c>
      <c r="AC46" s="26">
        <f t="shared" si="103"/>
        <v>53.302549368404584</v>
      </c>
      <c r="AD46" s="26">
        <f t="shared" si="104"/>
        <v>-16.707861953653492</v>
      </c>
      <c r="AE46" s="26">
        <f t="shared" si="105"/>
        <v>189.19011538171162</v>
      </c>
      <c r="AG46" t="str">
        <f>$A$10</f>
        <v>Associate professional occupations</v>
      </c>
      <c r="AH46" s="26">
        <f t="shared" si="130"/>
        <v>219.820434976755</v>
      </c>
      <c r="AI46" s="26">
        <f t="shared" si="106"/>
        <v>73.593834644613821</v>
      </c>
      <c r="AJ46" s="26">
        <f t="shared" si="107"/>
        <v>30.495193237331762</v>
      </c>
      <c r="AK46" s="26">
        <f t="shared" si="108"/>
        <v>323.90946285870041</v>
      </c>
      <c r="AL46" s="26"/>
      <c r="AM46" s="26">
        <f t="shared" si="131"/>
        <v>214.71194095306851</v>
      </c>
      <c r="AN46" s="26">
        <f t="shared" si="109"/>
        <v>95.580161161198021</v>
      </c>
      <c r="AO46" s="26">
        <f t="shared" si="110"/>
        <v>35.454823255376766</v>
      </c>
      <c r="AP46" s="26">
        <f t="shared" si="111"/>
        <v>345.74692536964312</v>
      </c>
      <c r="AQ46" s="26"/>
      <c r="AR46" s="26">
        <f t="shared" si="132"/>
        <v>434.5323759298235</v>
      </c>
      <c r="AS46" s="26">
        <f t="shared" si="112"/>
        <v>169.17399580581184</v>
      </c>
      <c r="AT46" s="26">
        <f t="shared" si="113"/>
        <v>65.950016492708528</v>
      </c>
      <c r="AU46" s="26">
        <f t="shared" si="114"/>
        <v>669.65638822834353</v>
      </c>
    </row>
    <row r="47" spans="1:47" x14ac:dyDescent="0.3">
      <c r="A47" t="str">
        <f>$A$11</f>
        <v>Administrative and secretarial occupations</v>
      </c>
      <c r="B47" s="26">
        <f t="shared" si="115"/>
        <v>5.8414996806363888</v>
      </c>
      <c r="C47" s="26">
        <f t="shared" si="116"/>
        <v>10.467249260190556</v>
      </c>
      <c r="D47" s="26">
        <f t="shared" si="117"/>
        <v>-10.178041956723376</v>
      </c>
      <c r="E47" s="26">
        <f t="shared" si="118"/>
        <v>6.1307069841036537</v>
      </c>
      <c r="F47" s="26"/>
      <c r="G47" s="26">
        <f t="shared" si="119"/>
        <v>-290.39054803923545</v>
      </c>
      <c r="H47" s="26">
        <f t="shared" si="120"/>
        <v>-198.67111203873856</v>
      </c>
      <c r="I47" s="26">
        <f t="shared" si="121"/>
        <v>2.2811880427184406</v>
      </c>
      <c r="J47" s="26">
        <f t="shared" si="122"/>
        <v>-486.78047203525557</v>
      </c>
      <c r="K47" s="26"/>
      <c r="L47" s="26">
        <f t="shared" si="123"/>
        <v>-284.54904835859907</v>
      </c>
      <c r="M47" s="26">
        <f t="shared" si="124"/>
        <v>-188.203862778548</v>
      </c>
      <c r="N47" s="26">
        <f t="shared" si="125"/>
        <v>-7.8968539140049359</v>
      </c>
      <c r="O47" s="26">
        <f t="shared" si="126"/>
        <v>-480.64976505115192</v>
      </c>
      <c r="Q47" t="str">
        <f>$A$11</f>
        <v>Administrative and secretarial occupations</v>
      </c>
      <c r="R47" s="26">
        <f t="shared" si="127"/>
        <v>63.335787713367154</v>
      </c>
      <c r="S47" s="26">
        <f t="shared" si="97"/>
        <v>42.888708049423599</v>
      </c>
      <c r="T47" s="26">
        <f t="shared" si="98"/>
        <v>-8.9582520828588628</v>
      </c>
      <c r="U47" s="26">
        <f t="shared" si="99"/>
        <v>97.266243679931904</v>
      </c>
      <c r="V47" s="26"/>
      <c r="W47" s="26">
        <f t="shared" si="128"/>
        <v>50.40894327455635</v>
      </c>
      <c r="X47" s="26">
        <f t="shared" si="100"/>
        <v>-5.6791360828154893</v>
      </c>
      <c r="Y47" s="26">
        <f t="shared" si="101"/>
        <v>13.99375099120941</v>
      </c>
      <c r="Z47" s="26">
        <f t="shared" si="102"/>
        <v>58.723558182950228</v>
      </c>
      <c r="AA47" s="26"/>
      <c r="AB47" s="26">
        <f t="shared" si="129"/>
        <v>113.7447309879235</v>
      </c>
      <c r="AC47" s="26">
        <f t="shared" si="103"/>
        <v>37.20957196660811</v>
      </c>
      <c r="AD47" s="26">
        <f t="shared" si="104"/>
        <v>5.0354989083505473</v>
      </c>
      <c r="AE47" s="26">
        <f t="shared" si="105"/>
        <v>155.98980186288213</v>
      </c>
      <c r="AG47" t="str">
        <f>$A$11</f>
        <v>Administrative and secretarial occupations</v>
      </c>
      <c r="AH47" s="26">
        <f t="shared" si="130"/>
        <v>-57.494288032730992</v>
      </c>
      <c r="AI47" s="26">
        <f t="shared" si="106"/>
        <v>-32.421458789233384</v>
      </c>
      <c r="AJ47" s="26">
        <f t="shared" si="107"/>
        <v>-1.2197898738642294</v>
      </c>
      <c r="AK47" s="26">
        <f t="shared" si="108"/>
        <v>-91.135536695828705</v>
      </c>
      <c r="AL47" s="26"/>
      <c r="AM47" s="26">
        <f t="shared" si="131"/>
        <v>-340.7994913137918</v>
      </c>
      <c r="AN47" s="26">
        <f t="shared" si="109"/>
        <v>-192.99197595592386</v>
      </c>
      <c r="AO47" s="26">
        <f t="shared" si="110"/>
        <v>-11.712562948491154</v>
      </c>
      <c r="AP47" s="26">
        <f t="shared" si="111"/>
        <v>-545.50403021820648</v>
      </c>
      <c r="AQ47" s="26"/>
      <c r="AR47" s="26">
        <f t="shared" si="132"/>
        <v>-398.2937793465228</v>
      </c>
      <c r="AS47" s="26">
        <f t="shared" si="112"/>
        <v>-225.41343474515725</v>
      </c>
      <c r="AT47" s="26">
        <f t="shared" si="113"/>
        <v>-12.932352822355384</v>
      </c>
      <c r="AU47" s="26">
        <f t="shared" si="114"/>
        <v>-636.63956691403519</v>
      </c>
    </row>
    <row r="48" spans="1:47" x14ac:dyDescent="0.3">
      <c r="A48" t="str">
        <f>$A$12</f>
        <v>Skilled trades occupations</v>
      </c>
      <c r="B48" s="26">
        <f t="shared" si="115"/>
        <v>-312.8017823344419</v>
      </c>
      <c r="C48" s="26">
        <f t="shared" si="116"/>
        <v>-36.109115364333775</v>
      </c>
      <c r="D48" s="26">
        <f t="shared" si="117"/>
        <v>-111.24980468983063</v>
      </c>
      <c r="E48" s="26">
        <f t="shared" si="118"/>
        <v>-460.1607023886063</v>
      </c>
      <c r="F48" s="26"/>
      <c r="G48" s="26">
        <f t="shared" si="119"/>
        <v>-193.86923494393432</v>
      </c>
      <c r="H48" s="26">
        <f t="shared" si="120"/>
        <v>49.053808570446392</v>
      </c>
      <c r="I48" s="26">
        <f t="shared" si="121"/>
        <v>105.9400156136328</v>
      </c>
      <c r="J48" s="26">
        <f t="shared" si="122"/>
        <v>-38.875410759855185</v>
      </c>
      <c r="K48" s="26"/>
      <c r="L48" s="26">
        <f t="shared" si="123"/>
        <v>-506.67101727837621</v>
      </c>
      <c r="M48" s="26">
        <f t="shared" si="124"/>
        <v>12.944693206112618</v>
      </c>
      <c r="N48" s="26">
        <f t="shared" si="125"/>
        <v>-5.3097890761978306</v>
      </c>
      <c r="O48" s="26">
        <f t="shared" si="126"/>
        <v>-499.03611314846148</v>
      </c>
      <c r="Q48" t="str">
        <f>$A$12</f>
        <v>Skilled trades occupations</v>
      </c>
      <c r="R48" s="26">
        <f t="shared" si="127"/>
        <v>-316.45112043061431</v>
      </c>
      <c r="S48" s="26">
        <f t="shared" si="97"/>
        <v>-34.171803685508451</v>
      </c>
      <c r="T48" s="26">
        <f t="shared" si="98"/>
        <v>-125.49799385033236</v>
      </c>
      <c r="U48" s="26">
        <f t="shared" si="99"/>
        <v>-476.12091796645518</v>
      </c>
      <c r="V48" s="26"/>
      <c r="W48" s="26">
        <f t="shared" si="128"/>
        <v>-229.5706460367619</v>
      </c>
      <c r="X48" s="26">
        <f t="shared" si="100"/>
        <v>29.306640177744015</v>
      </c>
      <c r="Y48" s="26">
        <f t="shared" si="101"/>
        <v>71.223910735379377</v>
      </c>
      <c r="Z48" s="26">
        <f t="shared" si="102"/>
        <v>-129.04009512363882</v>
      </c>
      <c r="AA48" s="26"/>
      <c r="AB48" s="26">
        <f t="shared" si="129"/>
        <v>-546.02176646737621</v>
      </c>
      <c r="AC48" s="26">
        <f t="shared" si="103"/>
        <v>-4.8651635077644357</v>
      </c>
      <c r="AD48" s="26">
        <f t="shared" si="104"/>
        <v>-54.274083114952987</v>
      </c>
      <c r="AE48" s="26">
        <f t="shared" si="105"/>
        <v>-605.161013090094</v>
      </c>
      <c r="AG48" t="str">
        <f>$A$12</f>
        <v>Skilled trades occupations</v>
      </c>
      <c r="AH48" s="26">
        <f t="shared" si="130"/>
        <v>3.6493380961721869</v>
      </c>
      <c r="AI48" s="26">
        <f t="shared" si="106"/>
        <v>-1.9373116788251821</v>
      </c>
      <c r="AJ48" s="26">
        <f t="shared" si="107"/>
        <v>14.248189160501582</v>
      </c>
      <c r="AK48" s="26">
        <f t="shared" si="108"/>
        <v>15.960215577848544</v>
      </c>
      <c r="AL48" s="26"/>
      <c r="AM48" s="26">
        <f t="shared" si="131"/>
        <v>35.701411092826987</v>
      </c>
      <c r="AN48" s="26">
        <f t="shared" si="109"/>
        <v>19.747168392702577</v>
      </c>
      <c r="AO48" s="26">
        <f t="shared" si="110"/>
        <v>34.71610487825383</v>
      </c>
      <c r="AP48" s="26">
        <f t="shared" si="111"/>
        <v>90.164684363783408</v>
      </c>
      <c r="AQ48" s="26"/>
      <c r="AR48" s="26">
        <f t="shared" si="132"/>
        <v>39.350749188999174</v>
      </c>
      <c r="AS48" s="26">
        <f t="shared" si="112"/>
        <v>17.809856713877394</v>
      </c>
      <c r="AT48" s="26">
        <f t="shared" si="113"/>
        <v>48.964294038755412</v>
      </c>
      <c r="AU48" s="26">
        <f t="shared" si="114"/>
        <v>106.12489994163195</v>
      </c>
    </row>
    <row r="49" spans="1:47" x14ac:dyDescent="0.3">
      <c r="A49" t="str">
        <f>$A$13</f>
        <v>Caring, leisure and other service occupations</v>
      </c>
      <c r="B49" s="26">
        <f t="shared" si="115"/>
        <v>-30.691362528251148</v>
      </c>
      <c r="C49" s="26">
        <f t="shared" si="116"/>
        <v>-24.20461896083475</v>
      </c>
      <c r="D49" s="26">
        <f t="shared" si="117"/>
        <v>39.834711772437231</v>
      </c>
      <c r="E49" s="26">
        <f t="shared" si="118"/>
        <v>-15.061269716648894</v>
      </c>
      <c r="F49" s="26"/>
      <c r="G49" s="26">
        <f t="shared" si="119"/>
        <v>310.22003272492475</v>
      </c>
      <c r="H49" s="26">
        <f t="shared" si="120"/>
        <v>122.3171541385866</v>
      </c>
      <c r="I49" s="26">
        <f t="shared" si="121"/>
        <v>69.221468540039439</v>
      </c>
      <c r="J49" s="26">
        <f t="shared" si="122"/>
        <v>501.75865540355107</v>
      </c>
      <c r="K49" s="26"/>
      <c r="L49" s="26">
        <f t="shared" si="123"/>
        <v>279.5286701966736</v>
      </c>
      <c r="M49" s="26">
        <f t="shared" si="124"/>
        <v>98.112535177751852</v>
      </c>
      <c r="N49" s="26">
        <f t="shared" si="125"/>
        <v>109.05618031247667</v>
      </c>
      <c r="O49" s="26">
        <f t="shared" si="126"/>
        <v>486.69738568690218</v>
      </c>
      <c r="Q49" t="str">
        <f>$A$13</f>
        <v>Caring, leisure and other service occupations</v>
      </c>
      <c r="R49" s="26">
        <f t="shared" si="127"/>
        <v>-3.3268004712212473</v>
      </c>
      <c r="S49" s="26">
        <f t="shared" si="97"/>
        <v>21.716049085081494</v>
      </c>
      <c r="T49" s="26">
        <f t="shared" si="98"/>
        <v>1.2350349514823407</v>
      </c>
      <c r="U49" s="26">
        <f t="shared" si="99"/>
        <v>19.624283565342466</v>
      </c>
      <c r="V49" s="26"/>
      <c r="W49" s="26">
        <f t="shared" si="128"/>
        <v>113.01599599564207</v>
      </c>
      <c r="X49" s="26">
        <f t="shared" si="100"/>
        <v>48.065212891223268</v>
      </c>
      <c r="Y49" s="26">
        <f t="shared" si="101"/>
        <v>26.380262157179288</v>
      </c>
      <c r="Z49" s="26">
        <f t="shared" si="102"/>
        <v>187.46147104404463</v>
      </c>
      <c r="AA49" s="26"/>
      <c r="AB49" s="26">
        <f t="shared" si="129"/>
        <v>109.68919552442082</v>
      </c>
      <c r="AC49" s="26">
        <f t="shared" si="103"/>
        <v>69.781261976304762</v>
      </c>
      <c r="AD49" s="26">
        <f t="shared" si="104"/>
        <v>27.615297108661629</v>
      </c>
      <c r="AE49" s="26">
        <f t="shared" si="105"/>
        <v>207.0857546093871</v>
      </c>
      <c r="AG49" t="str">
        <f>$A$13</f>
        <v>Caring, leisure and other service occupations</v>
      </c>
      <c r="AH49" s="26">
        <f t="shared" si="130"/>
        <v>-27.364562057028024</v>
      </c>
      <c r="AI49" s="26">
        <f t="shared" si="106"/>
        <v>-45.920668045916727</v>
      </c>
      <c r="AJ49" s="26">
        <f t="shared" si="107"/>
        <v>38.599676820954755</v>
      </c>
      <c r="AK49" s="26">
        <f t="shared" si="108"/>
        <v>-34.685553281989542</v>
      </c>
      <c r="AL49" s="26"/>
      <c r="AM49" s="26">
        <f t="shared" si="131"/>
        <v>197.20403672928182</v>
      </c>
      <c r="AN49" s="26">
        <f t="shared" si="109"/>
        <v>74.251941247363902</v>
      </c>
      <c r="AO49" s="26">
        <f t="shared" si="110"/>
        <v>42.841206382860037</v>
      </c>
      <c r="AP49" s="26">
        <f t="shared" si="111"/>
        <v>314.29718435950554</v>
      </c>
      <c r="AQ49" s="26"/>
      <c r="AR49" s="26">
        <f t="shared" si="132"/>
        <v>169.8394746722538</v>
      </c>
      <c r="AS49" s="26">
        <f t="shared" si="112"/>
        <v>28.331273201447175</v>
      </c>
      <c r="AT49" s="26">
        <f t="shared" si="113"/>
        <v>81.440883203814792</v>
      </c>
      <c r="AU49" s="26">
        <f t="shared" si="114"/>
        <v>279.61163107751599</v>
      </c>
    </row>
    <row r="50" spans="1:47" x14ac:dyDescent="0.3">
      <c r="A50" t="str">
        <f>$A$14</f>
        <v>Sales and customer service occupations</v>
      </c>
      <c r="B50" s="26">
        <f t="shared" si="115"/>
        <v>-54.260649735786615</v>
      </c>
      <c r="C50" s="26">
        <f t="shared" si="116"/>
        <v>7.3911185533065691</v>
      </c>
      <c r="D50" s="26">
        <f t="shared" si="117"/>
        <v>-53.304282810401361</v>
      </c>
      <c r="E50" s="26">
        <f t="shared" si="118"/>
        <v>-100.17381399288115</v>
      </c>
      <c r="F50" s="26"/>
      <c r="G50" s="26">
        <f t="shared" si="119"/>
        <v>24.341243943858558</v>
      </c>
      <c r="H50" s="26">
        <f t="shared" si="120"/>
        <v>23.667923896822685</v>
      </c>
      <c r="I50" s="26">
        <f t="shared" si="121"/>
        <v>-18.669561839703633</v>
      </c>
      <c r="J50" s="26">
        <f t="shared" si="122"/>
        <v>29.339606000977255</v>
      </c>
      <c r="K50" s="26"/>
      <c r="L50" s="26">
        <f t="shared" si="123"/>
        <v>-29.919405791928057</v>
      </c>
      <c r="M50" s="26">
        <f t="shared" si="124"/>
        <v>31.059042450129255</v>
      </c>
      <c r="N50" s="26">
        <f t="shared" si="125"/>
        <v>-71.973844650104994</v>
      </c>
      <c r="O50" s="26">
        <f t="shared" si="126"/>
        <v>-70.834207991903895</v>
      </c>
      <c r="Q50" t="str">
        <f>$A$14</f>
        <v>Sales and customer service occupations</v>
      </c>
      <c r="R50" s="26">
        <f t="shared" si="127"/>
        <v>-12.450756888510227</v>
      </c>
      <c r="S50" s="26">
        <f t="shared" si="97"/>
        <v>36.750115026370224</v>
      </c>
      <c r="T50" s="26">
        <f t="shared" si="98"/>
        <v>-29.799564348869936</v>
      </c>
      <c r="U50" s="26">
        <f t="shared" si="99"/>
        <v>-5.5002062110102088</v>
      </c>
      <c r="V50" s="26"/>
      <c r="W50" s="26">
        <f t="shared" si="128"/>
        <v>56.694332372650933</v>
      </c>
      <c r="X50" s="26">
        <f t="shared" si="100"/>
        <v>34.11227276940167</v>
      </c>
      <c r="Y50" s="26">
        <f t="shared" si="101"/>
        <v>-9.8737342481292387</v>
      </c>
      <c r="Z50" s="26">
        <f t="shared" si="102"/>
        <v>80.932870893923564</v>
      </c>
      <c r="AA50" s="26"/>
      <c r="AB50" s="26">
        <f t="shared" si="129"/>
        <v>44.243575484140706</v>
      </c>
      <c r="AC50" s="26">
        <f t="shared" si="103"/>
        <v>70.862387795771895</v>
      </c>
      <c r="AD50" s="26">
        <f t="shared" si="104"/>
        <v>-39.673298596999174</v>
      </c>
      <c r="AE50" s="26">
        <f t="shared" si="105"/>
        <v>75.432664682913355</v>
      </c>
      <c r="AG50" t="str">
        <f>$A$14</f>
        <v>Sales and customer service occupations</v>
      </c>
      <c r="AH50" s="26">
        <f t="shared" si="130"/>
        <v>-41.809892847276899</v>
      </c>
      <c r="AI50" s="26">
        <f t="shared" si="106"/>
        <v>-29.358996473067918</v>
      </c>
      <c r="AJ50" s="26">
        <f t="shared" si="107"/>
        <v>-23.504718461531162</v>
      </c>
      <c r="AK50" s="26">
        <f t="shared" si="108"/>
        <v>-94.673607781875944</v>
      </c>
      <c r="AL50" s="26"/>
      <c r="AM50" s="26">
        <f t="shared" si="131"/>
        <v>-32.353088428792319</v>
      </c>
      <c r="AN50" s="26">
        <f t="shared" si="109"/>
        <v>-10.444348872580349</v>
      </c>
      <c r="AO50" s="26">
        <f t="shared" si="110"/>
        <v>-8.7958275915744082</v>
      </c>
      <c r="AP50" s="26">
        <f t="shared" si="111"/>
        <v>-51.593264892946991</v>
      </c>
      <c r="AQ50" s="26"/>
      <c r="AR50" s="26">
        <f t="shared" si="132"/>
        <v>-74.162981276069218</v>
      </c>
      <c r="AS50" s="26">
        <f t="shared" si="112"/>
        <v>-39.803345345648268</v>
      </c>
      <c r="AT50" s="26">
        <f t="shared" si="113"/>
        <v>-32.30054605310557</v>
      </c>
      <c r="AU50" s="26">
        <f t="shared" si="114"/>
        <v>-146.26687267482293</v>
      </c>
    </row>
    <row r="51" spans="1:47" x14ac:dyDescent="0.3">
      <c r="A51" t="str">
        <f>$A$15</f>
        <v>Process, plant and machine operatives</v>
      </c>
      <c r="B51" s="26">
        <f t="shared" si="115"/>
        <v>-213.88079080099487</v>
      </c>
      <c r="C51" s="26">
        <f t="shared" si="116"/>
        <v>44.921577456093246</v>
      </c>
      <c r="D51" s="26">
        <f t="shared" si="117"/>
        <v>13.213822617766994</v>
      </c>
      <c r="E51" s="26">
        <f t="shared" si="118"/>
        <v>-155.74539072713515</v>
      </c>
      <c r="F51" s="26"/>
      <c r="G51" s="26">
        <f t="shared" si="119"/>
        <v>29.401860026813665</v>
      </c>
      <c r="H51" s="26">
        <f t="shared" si="120"/>
        <v>110.81998179866133</v>
      </c>
      <c r="I51" s="26">
        <f t="shared" si="121"/>
        <v>81.417480301653484</v>
      </c>
      <c r="J51" s="26">
        <f t="shared" si="122"/>
        <v>221.63932212712871</v>
      </c>
      <c r="K51" s="26"/>
      <c r="L51" s="26">
        <f t="shared" si="123"/>
        <v>-184.47893077418121</v>
      </c>
      <c r="M51" s="26">
        <f t="shared" si="124"/>
        <v>155.74155925475458</v>
      </c>
      <c r="N51" s="26">
        <f t="shared" si="125"/>
        <v>94.631302919420477</v>
      </c>
      <c r="O51" s="26">
        <f t="shared" si="126"/>
        <v>65.893931399993562</v>
      </c>
      <c r="Q51" t="str">
        <f>$A$15</f>
        <v>Process, plant and machine operatives</v>
      </c>
      <c r="R51" s="26">
        <f t="shared" si="127"/>
        <v>-186.45590185717924</v>
      </c>
      <c r="S51" s="26">
        <f t="shared" si="97"/>
        <v>51.921152354407667</v>
      </c>
      <c r="T51" s="26">
        <f t="shared" si="98"/>
        <v>2.9502273653498037</v>
      </c>
      <c r="U51" s="26">
        <f t="shared" si="99"/>
        <v>-131.5845221374218</v>
      </c>
      <c r="V51" s="26"/>
      <c r="W51" s="26">
        <f t="shared" si="128"/>
        <v>1.3206911648419464</v>
      </c>
      <c r="X51" s="26">
        <f t="shared" si="100"/>
        <v>52.337206474219954</v>
      </c>
      <c r="Y51" s="26">
        <f t="shared" si="101"/>
        <v>71.097306211963257</v>
      </c>
      <c r="Z51" s="26">
        <f t="shared" si="102"/>
        <v>124.75520385102527</v>
      </c>
      <c r="AA51" s="26"/>
      <c r="AB51" s="26">
        <f t="shared" si="129"/>
        <v>-185.1352106923373</v>
      </c>
      <c r="AC51" s="26">
        <f t="shared" si="103"/>
        <v>104.25835882862762</v>
      </c>
      <c r="AD51" s="26">
        <f t="shared" si="104"/>
        <v>74.047533577313061</v>
      </c>
      <c r="AE51" s="26">
        <f t="shared" si="105"/>
        <v>-6.8293182863965285</v>
      </c>
      <c r="AG51" t="str">
        <f>$A$15</f>
        <v>Process, plant and machine operatives</v>
      </c>
      <c r="AH51" s="26">
        <f t="shared" si="130"/>
        <v>-27.424888943814608</v>
      </c>
      <c r="AI51" s="26">
        <f t="shared" si="106"/>
        <v>-6.9995748983137105</v>
      </c>
      <c r="AJ51" s="26">
        <f t="shared" si="107"/>
        <v>10.263595252416614</v>
      </c>
      <c r="AK51" s="26">
        <f t="shared" si="108"/>
        <v>-24.160868589711725</v>
      </c>
      <c r="AL51" s="26"/>
      <c r="AM51" s="26">
        <f t="shared" si="131"/>
        <v>28.081168861971918</v>
      </c>
      <c r="AN51" s="26">
        <f t="shared" si="109"/>
        <v>58.482775324440013</v>
      </c>
      <c r="AO51" s="26">
        <f t="shared" si="110"/>
        <v>10.320174089690894</v>
      </c>
      <c r="AP51" s="26">
        <f t="shared" si="111"/>
        <v>96.884118276102839</v>
      </c>
      <c r="AQ51" s="26"/>
      <c r="AR51" s="26">
        <f t="shared" si="132"/>
        <v>0.65627991815730979</v>
      </c>
      <c r="AS51" s="26">
        <f t="shared" si="112"/>
        <v>51.483200426126302</v>
      </c>
      <c r="AT51" s="26">
        <f t="shared" si="113"/>
        <v>20.583769342107509</v>
      </c>
      <c r="AU51" s="26">
        <f t="shared" si="114"/>
        <v>72.723249686391114</v>
      </c>
    </row>
    <row r="52" spans="1:47" x14ac:dyDescent="0.3">
      <c r="A52" t="str">
        <f>$A$16</f>
        <v>Elementary occupations</v>
      </c>
      <c r="B52" s="26">
        <f t="shared" si="115"/>
        <v>-231.91706872987288</v>
      </c>
      <c r="C52" s="26">
        <f t="shared" si="116"/>
        <v>-107.65767063255339</v>
      </c>
      <c r="D52" s="26">
        <f t="shared" si="117"/>
        <v>-34.117173405743074</v>
      </c>
      <c r="E52" s="26">
        <f t="shared" si="118"/>
        <v>-373.691912768169</v>
      </c>
      <c r="F52" s="26"/>
      <c r="G52" s="26">
        <f t="shared" si="119"/>
        <v>-34.179078978457255</v>
      </c>
      <c r="H52" s="26">
        <f t="shared" si="120"/>
        <v>-185.69117524459921</v>
      </c>
      <c r="I52" s="26">
        <f t="shared" si="121"/>
        <v>75.372465548127707</v>
      </c>
      <c r="J52" s="26">
        <f t="shared" si="122"/>
        <v>-144.49778867492887</v>
      </c>
      <c r="K52" s="26"/>
      <c r="L52" s="26">
        <f t="shared" si="123"/>
        <v>-266.09614770833014</v>
      </c>
      <c r="M52" s="26">
        <f t="shared" si="124"/>
        <v>-293.3488458771526</v>
      </c>
      <c r="N52" s="26">
        <f t="shared" si="125"/>
        <v>41.255292142384633</v>
      </c>
      <c r="O52" s="26">
        <f t="shared" si="126"/>
        <v>-518.18970144309787</v>
      </c>
      <c r="Q52" t="str">
        <f>$A$16</f>
        <v>Elementary occupations</v>
      </c>
      <c r="R52" s="26">
        <f t="shared" si="127"/>
        <v>-187.33601799402959</v>
      </c>
      <c r="S52" s="26">
        <f t="shared" si="97"/>
        <v>-17.963491251798359</v>
      </c>
      <c r="T52" s="26">
        <f t="shared" si="98"/>
        <v>-14.083580761260819</v>
      </c>
      <c r="U52" s="26">
        <f t="shared" si="99"/>
        <v>-219.38309000708887</v>
      </c>
      <c r="V52" s="26"/>
      <c r="W52" s="26">
        <f t="shared" si="128"/>
        <v>-76.855888168850356</v>
      </c>
      <c r="X52" s="26">
        <f t="shared" si="100"/>
        <v>-16.999134699743536</v>
      </c>
      <c r="Y52" s="26">
        <f t="shared" si="101"/>
        <v>46.626347660840466</v>
      </c>
      <c r="Z52" s="26">
        <f t="shared" si="102"/>
        <v>-47.228675207753668</v>
      </c>
      <c r="AA52" s="26"/>
      <c r="AB52" s="26">
        <f t="shared" si="129"/>
        <v>-264.19190616287995</v>
      </c>
      <c r="AC52" s="26">
        <f t="shared" si="103"/>
        <v>-34.962625951541895</v>
      </c>
      <c r="AD52" s="26">
        <f t="shared" si="104"/>
        <v>32.542766899579647</v>
      </c>
      <c r="AE52" s="26">
        <f t="shared" si="105"/>
        <v>-266.61176521484253</v>
      </c>
      <c r="AG52" t="str">
        <f>$A$16</f>
        <v>Elementary occupations</v>
      </c>
      <c r="AH52" s="26">
        <f t="shared" si="130"/>
        <v>-44.581050735842894</v>
      </c>
      <c r="AI52" s="26">
        <f t="shared" si="106"/>
        <v>-89.694179380754349</v>
      </c>
      <c r="AJ52" s="26">
        <f t="shared" si="107"/>
        <v>-20.033592644482667</v>
      </c>
      <c r="AK52" s="26">
        <f t="shared" si="108"/>
        <v>-154.30882276107968</v>
      </c>
      <c r="AL52" s="26"/>
      <c r="AM52" s="26">
        <f t="shared" si="131"/>
        <v>42.676809190394692</v>
      </c>
      <c r="AN52" s="26">
        <f t="shared" si="109"/>
        <v>-168.69204054485658</v>
      </c>
      <c r="AO52" s="26">
        <f t="shared" si="110"/>
        <v>28.746117887287426</v>
      </c>
      <c r="AP52" s="26">
        <f t="shared" si="111"/>
        <v>-97.269113467174748</v>
      </c>
      <c r="AQ52" s="26"/>
      <c r="AR52" s="26">
        <f t="shared" si="132"/>
        <v>-1.9042415454482011</v>
      </c>
      <c r="AS52" s="26">
        <f t="shared" si="112"/>
        <v>-258.38621992561093</v>
      </c>
      <c r="AT52" s="26">
        <f t="shared" si="113"/>
        <v>8.7125252428047588</v>
      </c>
      <c r="AU52" s="26">
        <f t="shared" si="114"/>
        <v>-251.57793622825443</v>
      </c>
    </row>
    <row r="53" spans="1:47" x14ac:dyDescent="0.3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</row>
    <row r="54" spans="1:47" x14ac:dyDescent="0.3">
      <c r="A54" s="23" t="str">
        <f>$A$18</f>
        <v>All occupations</v>
      </c>
      <c r="B54" s="28">
        <f t="shared" si="115"/>
        <v>831.83600003199172</v>
      </c>
      <c r="C54" s="28">
        <f t="shared" si="116"/>
        <v>514.14999996800361</v>
      </c>
      <c r="D54" s="28">
        <f t="shared" si="117"/>
        <v>-27.003000000219799</v>
      </c>
      <c r="E54" s="28">
        <f t="shared" si="118"/>
        <v>1318.9829999997746</v>
      </c>
      <c r="F54" s="28"/>
      <c r="G54" s="28">
        <f t="shared" si="119"/>
        <v>1590.5580000180307</v>
      </c>
      <c r="H54" s="28">
        <f t="shared" si="120"/>
        <v>538.01499996976236</v>
      </c>
      <c r="I54" s="28">
        <f t="shared" si="121"/>
        <v>464.33100001246112</v>
      </c>
      <c r="J54" s="28">
        <f t="shared" si="122"/>
        <v>2592.9040000002497</v>
      </c>
      <c r="K54" s="28"/>
      <c r="L54" s="28">
        <f t="shared" si="123"/>
        <v>2422.3940000500224</v>
      </c>
      <c r="M54" s="28">
        <f t="shared" si="124"/>
        <v>1052.164999937766</v>
      </c>
      <c r="N54" s="28">
        <f t="shared" si="125"/>
        <v>437.32800001224132</v>
      </c>
      <c r="O54" s="28">
        <f t="shared" si="126"/>
        <v>3911.8870000000243</v>
      </c>
      <c r="Q54" s="23" t="str">
        <f>$A$18</f>
        <v>All occupations</v>
      </c>
      <c r="R54" s="28">
        <f t="shared" ref="R54" si="133">W18-R18</f>
        <v>212.33000001583605</v>
      </c>
      <c r="S54" s="28">
        <f t="shared" ref="S54" si="134">X18-S18</f>
        <v>357.76999998766314</v>
      </c>
      <c r="T54" s="28">
        <f t="shared" ref="T54" si="135">Y18-T18</f>
        <v>-202.97300000375981</v>
      </c>
      <c r="U54" s="28">
        <f t="shared" ref="U54" si="136">Z18-U18</f>
        <v>367.12699999974211</v>
      </c>
      <c r="V54" s="28"/>
      <c r="W54" s="28">
        <f t="shared" ref="W54" si="137">AB18-W18</f>
        <v>542.72899999649417</v>
      </c>
      <c r="X54" s="28">
        <f t="shared" ref="X54" si="138">AC18-X18</f>
        <v>324.74900000254684</v>
      </c>
      <c r="Y54" s="28">
        <f t="shared" ref="Y54" si="139">AD18-Y18</f>
        <v>273.3750000010732</v>
      </c>
      <c r="Z54" s="28">
        <f t="shared" ref="Z54" si="140">AE18-Z18</f>
        <v>1140.8530000001119</v>
      </c>
      <c r="AA54" s="28"/>
      <c r="AB54" s="28">
        <f t="shared" ref="AB54" si="141">AB18-R18</f>
        <v>755.05900001233022</v>
      </c>
      <c r="AC54" s="28">
        <f t="shared" ref="AC54" si="142">AC18-S18</f>
        <v>682.51899999020998</v>
      </c>
      <c r="AD54" s="28">
        <f t="shared" ref="AD54" si="143">AD18-T18</f>
        <v>70.401999997313396</v>
      </c>
      <c r="AE54" s="28">
        <f t="shared" ref="AE54" si="144">AE18-U18</f>
        <v>1507.979999999854</v>
      </c>
      <c r="AG54" s="23" t="str">
        <f>$A$18</f>
        <v>All occupations</v>
      </c>
      <c r="AH54" s="28">
        <f t="shared" ref="AH54" si="145">AM18-AH18</f>
        <v>619.50600001616021</v>
      </c>
      <c r="AI54" s="28">
        <f t="shared" ref="AI54" si="146">AN18-AI18</f>
        <v>156.37999998033683</v>
      </c>
      <c r="AJ54" s="28">
        <f t="shared" ref="AJ54" si="147">AO18-AJ18</f>
        <v>175.97000000353773</v>
      </c>
      <c r="AK54" s="28">
        <f t="shared" ref="AK54" si="148">AP18-AK18</f>
        <v>951.85600000003615</v>
      </c>
      <c r="AL54" s="28"/>
      <c r="AM54" s="28">
        <f t="shared" ref="AM54" si="149">AR18-AM18</f>
        <v>1047.8290000215402</v>
      </c>
      <c r="AN54" s="28">
        <f t="shared" ref="AN54" si="150">AS18-AN18</f>
        <v>213.26599996720961</v>
      </c>
      <c r="AO54" s="28">
        <f t="shared" ref="AO54" si="151">AT18-AO18</f>
        <v>190.9560000113886</v>
      </c>
      <c r="AP54" s="28">
        <f t="shared" ref="AP54" si="152">AU18-AP18</f>
        <v>1452.0510000001377</v>
      </c>
      <c r="AQ54" s="28"/>
      <c r="AR54" s="28">
        <f t="shared" ref="AR54" si="153">AR18-AH18</f>
        <v>1667.3350000377004</v>
      </c>
      <c r="AS54" s="28">
        <f t="shared" ref="AS54" si="154">AS18-AI18</f>
        <v>369.64599994754644</v>
      </c>
      <c r="AT54" s="28">
        <f t="shared" ref="AT54" si="155">AT18-AJ18</f>
        <v>366.92600001492633</v>
      </c>
      <c r="AU54" s="28">
        <f t="shared" ref="AU54" si="156">AU18-AK18</f>
        <v>2403.9070000001739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6"/>
  <dimension ref="A1:P163"/>
  <sheetViews>
    <sheetView zoomScale="75" zoomScaleNormal="75" workbookViewId="0"/>
  </sheetViews>
  <sheetFormatPr defaultColWidth="9.15234375" defaultRowHeight="12.45" x14ac:dyDescent="0.3"/>
  <cols>
    <col min="1" max="1" width="11" style="156" bestFit="1" customWidth="1"/>
    <col min="2" max="9" width="9.15234375" style="156"/>
    <col min="10" max="10" width="17.53515625" style="156" customWidth="1"/>
    <col min="11" max="11" width="8.3046875" style="156" customWidth="1"/>
    <col min="12" max="12" width="52.69140625" style="90" customWidth="1"/>
    <col min="13" max="13" width="12.3828125" style="90" customWidth="1"/>
    <col min="14" max="14" width="10.15234375" style="90" customWidth="1"/>
    <col min="15" max="16384" width="9.15234375" style="90"/>
  </cols>
  <sheetData>
    <row r="1" spans="1:14" ht="15.45" x14ac:dyDescent="0.4">
      <c r="A1" s="155" t="str">
        <f>CONCATENATE("Occupation Figure 1  Growth in Employment by Occupation (SOC 2020), ",M6," and ",N6,", ",Info!B5)</f>
        <v>Occupation Figure 1  Growth in Employment by Occupation (SOC 2020), 2015-2020 and 2020-2035, United Kingdom</v>
      </c>
    </row>
    <row r="2" spans="1:14" x14ac:dyDescent="0.3">
      <c r="A2" s="181" t="s">
        <v>536</v>
      </c>
    </row>
    <row r="3" spans="1:14" x14ac:dyDescent="0.3">
      <c r="L3" s="157" t="s">
        <v>439</v>
      </c>
    </row>
    <row r="5" spans="1:14" ht="12.9" x14ac:dyDescent="0.35">
      <c r="L5" s="121" t="s">
        <v>422</v>
      </c>
    </row>
    <row r="6" spans="1:14" x14ac:dyDescent="0.3">
      <c r="M6" s="177" t="str">
        <f>'Occ T2'!H151</f>
        <v>2015-2020</v>
      </c>
      <c r="N6" s="177" t="str">
        <f>'Occ T2'!I151</f>
        <v>2020-2035</v>
      </c>
    </row>
    <row r="7" spans="1:14" x14ac:dyDescent="0.3">
      <c r="L7" s="113" t="str">
        <f>'Occ T3'!A51</f>
        <v>All occupations</v>
      </c>
      <c r="M7" s="90">
        <f>'Occ T2'!H180</f>
        <v>0.77179721851199368</v>
      </c>
      <c r="N7" s="90">
        <f>'Occ T2'!I180</f>
        <v>0.47791580152365398</v>
      </c>
    </row>
    <row r="8" spans="1:14" x14ac:dyDescent="0.3">
      <c r="L8" s="113"/>
    </row>
    <row r="9" spans="1:14" x14ac:dyDescent="0.3">
      <c r="L9" s="90" t="str">
        <f>'Occ T3'!A49</f>
        <v>92 Elementary administration and service occupations</v>
      </c>
      <c r="M9" s="90">
        <f>'Occ T2'!H178</f>
        <v>-1.5361142495457836</v>
      </c>
      <c r="N9" s="90">
        <f>'Occ T2'!I178</f>
        <v>-0.10273631651783743</v>
      </c>
    </row>
    <row r="10" spans="1:14" x14ac:dyDescent="0.3">
      <c r="L10" s="90" t="str">
        <f>'Occ T3'!A48</f>
        <v>91 Elementary trades and related occupations</v>
      </c>
      <c r="M10" s="90">
        <f>'Occ T2'!H177</f>
        <v>-4.5388005312857587</v>
      </c>
      <c r="N10" s="90">
        <f>'Occ T2'!I177</f>
        <v>-1.5403630899259446</v>
      </c>
    </row>
    <row r="11" spans="1:14" x14ac:dyDescent="0.3">
      <c r="L11" s="113" t="str">
        <f>"["&amp;'Occ T3'!A47&amp;"]"</f>
        <v>[Elementary occupations]</v>
      </c>
      <c r="M11" s="90">
        <f>'Occ T1'!H88</f>
        <v>-1.956709325865269</v>
      </c>
      <c r="N11" s="90">
        <f>'Occ T1'!I88</f>
        <v>-0.27286308388154712</v>
      </c>
    </row>
    <row r="12" spans="1:14" x14ac:dyDescent="0.3">
      <c r="L12" s="113"/>
    </row>
    <row r="13" spans="1:14" x14ac:dyDescent="0.3">
      <c r="L13" s="90" t="str">
        <f>'Occ T3'!A45</f>
        <v>82 Transport and mobile machine drivers and operatives</v>
      </c>
      <c r="M13" s="90">
        <f>'Occ T2'!H176</f>
        <v>-0.27090445824272669</v>
      </c>
      <c r="N13" s="90">
        <f>'Occ T2'!I176</f>
        <v>0.4332948412486326</v>
      </c>
    </row>
    <row r="14" spans="1:14" x14ac:dyDescent="0.3">
      <c r="L14" s="90" t="str">
        <f>'Occ T3'!A44</f>
        <v>81 Process, plant and machine operatives</v>
      </c>
      <c r="M14" s="90">
        <f>'Occ T2'!H175</f>
        <v>-3.2935917585062868</v>
      </c>
      <c r="N14" s="90">
        <f>'Occ T2'!I175</f>
        <v>1.1396795632297341</v>
      </c>
    </row>
    <row r="15" spans="1:14" x14ac:dyDescent="0.3">
      <c r="L15" s="113" t="str">
        <f>"["&amp;'Occ T3'!A43&amp;"]"</f>
        <v>[Process, plant and machine operatives]</v>
      </c>
      <c r="M15" s="90">
        <f>'Occ T1'!H87</f>
        <v>-1.5196409962947133</v>
      </c>
      <c r="N15" s="90">
        <f>'Occ T1'!I87</f>
        <v>0.71772122545064043</v>
      </c>
    </row>
    <row r="16" spans="1:14" x14ac:dyDescent="0.3">
      <c r="L16" s="113"/>
    </row>
    <row r="17" spans="12:14" x14ac:dyDescent="0.3">
      <c r="L17" s="90" t="str">
        <f>'Occ T3'!A41</f>
        <v>72 Customer service occupations</v>
      </c>
      <c r="M17" s="90">
        <f>'Occ T2'!H174</f>
        <v>2.0990917076667115</v>
      </c>
      <c r="N17" s="90">
        <f>'Occ T2'!I174</f>
        <v>2.6048394906809325</v>
      </c>
    </row>
    <row r="18" spans="12:14" x14ac:dyDescent="0.3">
      <c r="L18" s="90" t="str">
        <f>'Occ T3'!A40</f>
        <v>71 Sales occupations</v>
      </c>
      <c r="M18" s="90">
        <f>'Occ T2'!H173</f>
        <v>-1.4037082644851373</v>
      </c>
      <c r="N18" s="90">
        <f>'Occ T2'!I173</f>
        <v>-0.8259949304987968</v>
      </c>
    </row>
    <row r="19" spans="12:14" x14ac:dyDescent="0.3">
      <c r="L19" s="113" t="str">
        <f>"["&amp;'Occ T3'!A39&amp;"]"</f>
        <v>[Sales and customer service occupations]</v>
      </c>
      <c r="M19" s="90">
        <f>'Occ T1'!H86</f>
        <v>-0.70373757038674212</v>
      </c>
      <c r="N19" s="90">
        <f>'Occ T1'!I86</f>
        <v>6.9837417461338092E-2</v>
      </c>
    </row>
    <row r="20" spans="12:14" x14ac:dyDescent="0.3">
      <c r="L20" s="113"/>
    </row>
    <row r="21" spans="12:14" x14ac:dyDescent="0.3">
      <c r="L21" s="106" t="str">
        <f>'Occ T3'!A37</f>
        <v>63 Community and civil enforcement occupations</v>
      </c>
      <c r="M21" s="90">
        <f>'Occ T2'!H172</f>
        <v>1.7988492443667958</v>
      </c>
      <c r="N21" s="90">
        <f>'Occ T2'!I172</f>
        <v>-0.88655273075052277</v>
      </c>
    </row>
    <row r="22" spans="12:14" x14ac:dyDescent="0.3">
      <c r="L22" s="90" t="str">
        <f>'Occ T3'!A36</f>
        <v>62 Leisure, travel and related personal service occupations</v>
      </c>
      <c r="M22" s="90">
        <f>'Occ T2'!H171</f>
        <v>-0.16185724750072961</v>
      </c>
      <c r="N22" s="90">
        <f>'Occ T2'!I171</f>
        <v>0.3638621043261292</v>
      </c>
    </row>
    <row r="23" spans="12:14" x14ac:dyDescent="0.3">
      <c r="L23" s="90" t="str">
        <f>'Occ T3'!A35</f>
        <v>61 Caring personal service occupations</v>
      </c>
      <c r="M23" s="90">
        <f>'Occ T2'!H170</f>
        <v>-0.1045872903383982</v>
      </c>
      <c r="N23" s="90">
        <f>'Occ T2'!I170</f>
        <v>1.2051245215293882</v>
      </c>
    </row>
    <row r="24" spans="12:14" x14ac:dyDescent="0.3">
      <c r="L24" s="113" t="str">
        <f>"["&amp;'Occ T3'!A34&amp;"]"</f>
        <v>[Caring, leisure and other service occupations]</v>
      </c>
      <c r="M24" s="90">
        <f>'Occ T1'!H85</f>
        <v>-9.5853147940982986E-2</v>
      </c>
      <c r="N24" s="90">
        <f>'Occ T1'!I85</f>
        <v>0.99510442309873604</v>
      </c>
    </row>
    <row r="25" spans="12:14" x14ac:dyDescent="0.3">
      <c r="L25" s="113"/>
    </row>
    <row r="26" spans="12:14" x14ac:dyDescent="0.3">
      <c r="L26" s="90" t="str">
        <f>'Occ T3'!A32</f>
        <v>54 Textiles, printing and other skilled trades</v>
      </c>
      <c r="M26" s="90">
        <f>'Occ T2'!H169</f>
        <v>-3.0276622829639499</v>
      </c>
      <c r="N26" s="90">
        <f>'Occ T2'!I169</f>
        <v>-2.7309333392233626E-3</v>
      </c>
    </row>
    <row r="27" spans="12:14" x14ac:dyDescent="0.3">
      <c r="L27" s="90" t="str">
        <f>'Occ T3'!A31</f>
        <v>53 Skilled construction and building trades</v>
      </c>
      <c r="M27" s="90">
        <f>'Occ T2'!H168</f>
        <v>-3.6282606773357928</v>
      </c>
      <c r="N27" s="90">
        <f>'Occ T2'!I168</f>
        <v>-0.10279212158672557</v>
      </c>
    </row>
    <row r="28" spans="12:14" x14ac:dyDescent="0.3">
      <c r="L28" s="90" t="str">
        <f>'Occ T3'!A30</f>
        <v>52 Skilled metal, electrical and electronic trades</v>
      </c>
      <c r="M28" s="90">
        <f>'Occ T2'!H167</f>
        <v>-2.3797206803339854</v>
      </c>
      <c r="N28" s="90">
        <f>'Occ T2'!I167</f>
        <v>-0.44825705159887708</v>
      </c>
    </row>
    <row r="29" spans="12:14" x14ac:dyDescent="0.3">
      <c r="L29" s="90" t="str">
        <f>'Occ T3'!A29</f>
        <v>51 Skilled agricultural and related trades</v>
      </c>
      <c r="M29" s="90">
        <f>'Occ T2'!H166</f>
        <v>-1.4384354784026443</v>
      </c>
      <c r="N29" s="90">
        <f>'Occ T2'!I166</f>
        <v>0.7877333388565777</v>
      </c>
    </row>
    <row r="30" spans="12:14" x14ac:dyDescent="0.3">
      <c r="L30" s="113" t="str">
        <f>"["&amp;'Occ T3'!A28&amp;"]"</f>
        <v>[Skilled trades occupations]</v>
      </c>
      <c r="M30" s="90">
        <f>'Occ T1'!H84</f>
        <v>-2.7890048831156644</v>
      </c>
      <c r="N30" s="90">
        <f>'Occ T1'!I84</f>
        <v>-8.608149376250207E-2</v>
      </c>
    </row>
    <row r="31" spans="12:14" x14ac:dyDescent="0.3">
      <c r="L31" s="113"/>
    </row>
    <row r="32" spans="12:14" x14ac:dyDescent="0.3">
      <c r="L32" s="90" t="str">
        <f>'Occ T3'!A26</f>
        <v>42 Secretarial and related occupations</v>
      </c>
      <c r="M32" s="90">
        <f>'Occ T2'!H165</f>
        <v>-2.1194696646936184</v>
      </c>
      <c r="N32" s="90">
        <f>'Occ T2'!I165</f>
        <v>-1.1243573359091985</v>
      </c>
    </row>
    <row r="33" spans="12:14" x14ac:dyDescent="0.3">
      <c r="L33" s="90" t="str">
        <f>'Occ T3'!A25</f>
        <v>41 Administrative occupations</v>
      </c>
      <c r="M33" s="90">
        <f>'Occ T2'!H164</f>
        <v>0.5473725868278434</v>
      </c>
      <c r="N33" s="90">
        <f>'Occ T2'!I164</f>
        <v>-0.88159560569440742</v>
      </c>
    </row>
    <row r="34" spans="12:14" x14ac:dyDescent="0.3">
      <c r="L34" s="113" t="str">
        <f>"["&amp;'Occ T3'!A24&amp;"]"</f>
        <v>[Administrative and secretarial occupations]</v>
      </c>
      <c r="M34" s="90">
        <f>'Occ T1'!H83</f>
        <v>3.2801508413538016E-2</v>
      </c>
      <c r="N34" s="90">
        <f>'Occ T1'!I83</f>
        <v>-0.92483531760759741</v>
      </c>
    </row>
    <row r="35" spans="12:14" x14ac:dyDescent="0.3">
      <c r="L35" s="113"/>
    </row>
    <row r="36" spans="12:14" x14ac:dyDescent="0.3">
      <c r="L36" s="90" t="str">
        <f>'Occ T3'!A22</f>
        <v>35 Business and public service associate professionals</v>
      </c>
      <c r="M36" s="90">
        <f>'Occ T2'!H163</f>
        <v>2.1431053674808798</v>
      </c>
      <c r="N36" s="90">
        <f>'Occ T2'!I163</f>
        <v>7.7646220584459691E-2</v>
      </c>
    </row>
    <row r="37" spans="12:14" x14ac:dyDescent="0.3">
      <c r="L37" s="90" t="str">
        <f>'Occ T3'!A21</f>
        <v>34 Culture, media and sports occupations</v>
      </c>
      <c r="M37" s="90">
        <f>'Occ T2'!H162</f>
        <v>1.7253485179053119</v>
      </c>
      <c r="N37" s="90">
        <f>'Occ T2'!I162</f>
        <v>0.66388041453961932</v>
      </c>
    </row>
    <row r="38" spans="12:14" x14ac:dyDescent="0.3">
      <c r="L38" s="90" t="str">
        <f>'Occ T3'!A20</f>
        <v>33 Protective service occupations</v>
      </c>
      <c r="M38" s="90">
        <f>'Occ T2'!H161</f>
        <v>1.7849191764324424</v>
      </c>
      <c r="N38" s="90">
        <f>'Occ T2'!I161</f>
        <v>2.0822056987987558</v>
      </c>
    </row>
    <row r="39" spans="12:14" x14ac:dyDescent="0.3">
      <c r="L39" s="90" t="str">
        <f>'Occ T3'!A19</f>
        <v>32 Health and social care associate professionals</v>
      </c>
      <c r="M39" s="90">
        <f>'Occ T2'!H160</f>
        <v>2.8393574654617559</v>
      </c>
      <c r="N39" s="90">
        <f>'Occ T2'!I160</f>
        <v>0.75448760189016362</v>
      </c>
    </row>
    <row r="40" spans="12:14" x14ac:dyDescent="0.3">
      <c r="L40" s="90" t="str">
        <f>'Occ T3'!A18</f>
        <v>31 Science, engineering and technology associate professionals</v>
      </c>
      <c r="M40" s="90">
        <f>'Occ T2'!H159</f>
        <v>5.0293140272285264</v>
      </c>
      <c r="N40" s="90">
        <f>'Occ T2'!I159</f>
        <v>-0.33429715990578313</v>
      </c>
    </row>
    <row r="41" spans="12:14" x14ac:dyDescent="0.3">
      <c r="L41" s="113" t="str">
        <f>"["&amp;'Occ T3'!A17&amp;"]"</f>
        <v>[Associate professional occupations]</v>
      </c>
      <c r="M41" s="90">
        <f>'Occ T1'!H82</f>
        <v>2.5342460254586419</v>
      </c>
      <c r="N41" s="90">
        <f>'Occ T1'!I82</f>
        <v>0.40171768100338845</v>
      </c>
    </row>
    <row r="42" spans="12:14" x14ac:dyDescent="0.3">
      <c r="L42" s="113"/>
    </row>
    <row r="43" spans="12:14" x14ac:dyDescent="0.3">
      <c r="L43" s="90" t="str">
        <f>'Occ T3'!A15</f>
        <v>24 Business, media and public service professionals</v>
      </c>
      <c r="M43" s="90">
        <f>'Occ T2'!H158</f>
        <v>5.0692497406297443</v>
      </c>
      <c r="N43" s="90">
        <f>'Occ T2'!I158</f>
        <v>1.5597624086441053</v>
      </c>
    </row>
    <row r="44" spans="12:14" x14ac:dyDescent="0.3">
      <c r="L44" s="90" t="str">
        <f>'Occ T3'!A14</f>
        <v>23 Teaching and other educational professionals</v>
      </c>
      <c r="M44" s="90">
        <f>'Occ T2'!H157</f>
        <v>1.9550569832339271</v>
      </c>
      <c r="N44" s="90">
        <f>'Occ T2'!I157</f>
        <v>0.92148061686943006</v>
      </c>
    </row>
    <row r="45" spans="12:14" x14ac:dyDescent="0.3">
      <c r="L45" s="90" t="str">
        <f>'Occ T3'!A13</f>
        <v>22 Health professionals</v>
      </c>
      <c r="M45" s="90">
        <f>'Occ T2'!H156</f>
        <v>2.9123652027058577</v>
      </c>
      <c r="N45" s="90">
        <f>'Occ T2'!I156</f>
        <v>1.1529751203581684</v>
      </c>
    </row>
    <row r="46" spans="12:14" x14ac:dyDescent="0.3">
      <c r="L46" s="90" t="str">
        <f>'Occ T3'!A12</f>
        <v>21 Science, research, engineering and technology professionals</v>
      </c>
      <c r="M46" s="90">
        <f>'Occ T2'!H155</f>
        <v>3.7439448814437615</v>
      </c>
      <c r="N46" s="90">
        <f>'Occ T2'!I155</f>
        <v>1.1205041449081854</v>
      </c>
    </row>
    <row r="47" spans="12:14" x14ac:dyDescent="0.3">
      <c r="L47" s="113" t="str">
        <f>"["&amp;'Occ T3'!A11&amp;"]"</f>
        <v>[Professional occupations]</v>
      </c>
      <c r="M47" s="90">
        <f>'Occ T1'!H81</f>
        <v>3.5550901103721833</v>
      </c>
      <c r="N47" s="90">
        <f>'Occ T1'!I81</f>
        <v>1.2244859106324002</v>
      </c>
    </row>
    <row r="49" spans="12:14" x14ac:dyDescent="0.3">
      <c r="L49" s="106" t="str">
        <f>'Occ T3'!A9</f>
        <v>12 Other managers and proprietors</v>
      </c>
      <c r="M49" s="90">
        <f>'Occ T2'!H154</f>
        <v>1.5670238762415689</v>
      </c>
      <c r="N49" s="90">
        <f>'Occ T2'!I154</f>
        <v>2.4238434770714523</v>
      </c>
    </row>
    <row r="50" spans="12:14" x14ac:dyDescent="0.3">
      <c r="L50" s="106" t="str">
        <f>'Occ T3'!A8</f>
        <v>11 Corporate managers and directors</v>
      </c>
      <c r="M50" s="90">
        <f>'Occ T2'!H153</f>
        <v>3.9225168006375544</v>
      </c>
      <c r="N50" s="90">
        <f>'Occ T2'!I153</f>
        <v>0.19614226132442791</v>
      </c>
    </row>
    <row r="51" spans="12:14" x14ac:dyDescent="0.3">
      <c r="L51" s="113" t="str">
        <f>"["&amp;'Occ T3'!A7&amp;"]"</f>
        <v>[Managers, directors and senior officials]</v>
      </c>
      <c r="M51" s="90">
        <f>'Occ T1'!H80</f>
        <v>3.169040667837919</v>
      </c>
      <c r="N51" s="90">
        <f>'Occ T1'!I80</f>
        <v>0.95124311787460059</v>
      </c>
    </row>
    <row r="80" spans="1:1" ht="15.45" x14ac:dyDescent="0.4">
      <c r="A80" s="155" t="str">
        <f>CONCATENATE("Occupation Figure 1.1  Change in Employment by Occupation (SOC 2020), ",M81," and ",N81,", ",Info!B5)</f>
        <v>Occupation Figure 1.1  Change in Employment by Occupation (SOC 2020), 2015-2020 and 2020-2035, United Kingdom</v>
      </c>
    </row>
    <row r="81" spans="12:14" x14ac:dyDescent="0.3">
      <c r="M81" s="106" t="str">
        <f>'Occ F1'!M6</f>
        <v>2015-2020</v>
      </c>
      <c r="N81" s="106" t="str">
        <f>'Occ F1'!N6</f>
        <v>2020-2035</v>
      </c>
    </row>
    <row r="82" spans="12:14" x14ac:dyDescent="0.3">
      <c r="L82" s="10" t="str">
        <f>name!D4</f>
        <v>11 Corporate managers and directors</v>
      </c>
      <c r="M82" s="93">
        <f>'Occ T2'!D8-'Occ T2'!B8</f>
        <v>455.64363974341268</v>
      </c>
      <c r="N82" s="93">
        <f>'Occ T2'!F119</f>
        <v>77.662571129064418</v>
      </c>
    </row>
    <row r="83" spans="12:14" x14ac:dyDescent="0.3">
      <c r="L83" s="10" t="str">
        <f>name!D5</f>
        <v>12 Other managers and proprietors</v>
      </c>
      <c r="M83" s="93">
        <f>'Occ T2'!D9-'Occ T2'!B9</f>
        <v>85.490423975140857</v>
      </c>
      <c r="N83" s="93">
        <f>'Occ T2'!F120</f>
        <v>494.02709716998766</v>
      </c>
    </row>
    <row r="84" spans="12:14" x14ac:dyDescent="0.3">
      <c r="L84" s="10" t="str">
        <f>name!D6</f>
        <v>21 Science, research, engineering and technology professionals</v>
      </c>
      <c r="M84" s="93">
        <f>'Occ T2'!D10-'Occ T2'!B10</f>
        <v>364.04496511958359</v>
      </c>
      <c r="N84" s="93">
        <f>'Occ T2'!F121</f>
        <v>394.49342473640354</v>
      </c>
    </row>
    <row r="85" spans="12:14" x14ac:dyDescent="0.3">
      <c r="L85" s="10" t="str">
        <f>name!D7</f>
        <v>22 Health professionals</v>
      </c>
      <c r="M85" s="93">
        <f>'Occ T2'!D11-'Occ T2'!B11</f>
        <v>220.98473395005453</v>
      </c>
      <c r="N85" s="93">
        <f>'Occ T2'!F122</f>
        <v>310.08849002296597</v>
      </c>
    </row>
    <row r="86" spans="12:14" x14ac:dyDescent="0.3">
      <c r="L86" s="10" t="str">
        <f>name!D8</f>
        <v>23 Teaching and other educational professionals</v>
      </c>
      <c r="M86" s="93">
        <f>'Occ T2'!D12-'Occ T2'!B12</f>
        <v>167.41630188470003</v>
      </c>
      <c r="N86" s="93">
        <f>'Occ T2'!F123</f>
        <v>267.63048611281374</v>
      </c>
    </row>
    <row r="87" spans="12:14" x14ac:dyDescent="0.3">
      <c r="L87" s="10" t="str">
        <f>name!D9</f>
        <v>24 Business, media and public service professionals</v>
      </c>
      <c r="M87" s="93">
        <f>'Occ T2'!D13-'Occ T2'!B13</f>
        <v>561.65186371234245</v>
      </c>
      <c r="N87" s="93">
        <f>'Occ T2'!F124</f>
        <v>670.02496938123477</v>
      </c>
    </row>
    <row r="88" spans="12:14" x14ac:dyDescent="0.3">
      <c r="L88" s="10" t="str">
        <f>name!D10</f>
        <v>31 Science, engineering and technology associate professionals</v>
      </c>
      <c r="M88" s="93">
        <f>'Occ T2'!D14-'Occ T2'!B14</f>
        <v>151.02611290685104</v>
      </c>
      <c r="N88" s="93">
        <f>'Occ T2'!F125</f>
        <v>-34.005507283322231</v>
      </c>
    </row>
    <row r="89" spans="12:14" x14ac:dyDescent="0.3">
      <c r="L89" s="10" t="str">
        <f>name!D11</f>
        <v>32 Health and social care associate professionals</v>
      </c>
      <c r="M89" s="93">
        <f>'Occ T2'!D15-'Occ T2'!B15</f>
        <v>89.398158899895293</v>
      </c>
      <c r="N89" s="93">
        <f>'Occ T2'!F126</f>
        <v>81.67691549298695</v>
      </c>
    </row>
    <row r="90" spans="12:14" x14ac:dyDescent="0.3">
      <c r="L90" s="10" t="str">
        <f>name!D12</f>
        <v>33 Protective service occupations</v>
      </c>
      <c r="M90" s="93">
        <f>'Occ T2'!D16-'Occ T2'!B16</f>
        <v>33.605674126994813</v>
      </c>
      <c r="N90" s="93">
        <f>'Occ T2'!F127</f>
        <v>143.78836715345722</v>
      </c>
    </row>
    <row r="91" spans="12:14" x14ac:dyDescent="0.3">
      <c r="L91" s="10" t="str">
        <f>name!D13</f>
        <v>34 Culture, media and sports occupations</v>
      </c>
      <c r="M91" s="93">
        <f>'Occ T2'!D17-'Occ T2'!B17</f>
        <v>61.703039079497216</v>
      </c>
      <c r="N91" s="93">
        <f>'Occ T2'!F128</f>
        <v>78.540641046799237</v>
      </c>
    </row>
    <row r="92" spans="12:14" x14ac:dyDescent="0.3">
      <c r="L92" s="10" t="str">
        <f>name!D14</f>
        <v>35 Business and public service associate professionals</v>
      </c>
      <c r="M92" s="93">
        <f>'Occ T2'!D18-'Occ T2'!B18</f>
        <v>226.72046921062747</v>
      </c>
      <c r="N92" s="93">
        <f>'Occ T2'!F129</f>
        <v>26.392632976261666</v>
      </c>
    </row>
    <row r="93" spans="12:14" x14ac:dyDescent="0.3">
      <c r="L93" s="10" t="str">
        <f>name!D15</f>
        <v>41 Administrative occupations</v>
      </c>
      <c r="M93" s="93">
        <f>'Occ T2'!D19-'Occ T2'!B19</f>
        <v>82.547515370232759</v>
      </c>
      <c r="N93" s="93">
        <f>'Occ T2'!F130</f>
        <v>-381.33685102277741</v>
      </c>
    </row>
    <row r="94" spans="12:14" x14ac:dyDescent="0.3">
      <c r="L94" s="10" t="str">
        <f>name!D16</f>
        <v>42 Secretarial and related occupations</v>
      </c>
      <c r="M94" s="93">
        <f>'Occ T2'!D20-'Occ T2'!B20</f>
        <v>-76.416808386127514</v>
      </c>
      <c r="N94" s="93">
        <f>'Occ T2'!F131</f>
        <v>-105.44362101248066</v>
      </c>
    </row>
    <row r="95" spans="12:14" x14ac:dyDescent="0.3">
      <c r="L95" s="10" t="str">
        <f>name!D17</f>
        <v>51 Skilled agricultural and related trades</v>
      </c>
      <c r="M95" s="93">
        <f>'Occ T2'!D21-'Occ T2'!B21</f>
        <v>-28.28521331278364</v>
      </c>
      <c r="N95" s="93">
        <f>'Occ T2'!F132</f>
        <v>47.022360809173676</v>
      </c>
    </row>
    <row r="96" spans="12:14" x14ac:dyDescent="0.3">
      <c r="L96" s="10" t="str">
        <f>name!D18</f>
        <v>52 Skilled metal, electrical and electronic trades</v>
      </c>
      <c r="M96" s="93">
        <f>'Occ T2'!D22-'Occ T2'!B22</f>
        <v>-141.02639950255639</v>
      </c>
      <c r="N96" s="93">
        <f>'Occ T2'!F133</f>
        <v>-71.814964068100608</v>
      </c>
    </row>
    <row r="97" spans="12:14" x14ac:dyDescent="0.3">
      <c r="L97" s="10" t="str">
        <f>name!D19</f>
        <v>53 Skilled construction and building trades</v>
      </c>
      <c r="M97" s="93">
        <f>'Occ T2'!D23-'Occ T2'!B23</f>
        <v>-183.19427962504653</v>
      </c>
      <c r="N97" s="93">
        <f>'Occ T2'!F134</f>
        <v>-13.817463961423869</v>
      </c>
    </row>
    <row r="98" spans="12:14" x14ac:dyDescent="0.3">
      <c r="L98" s="10" t="str">
        <f>name!D20</f>
        <v>54 Textiles, printing and other skilled trades</v>
      </c>
      <c r="M98" s="93">
        <f>'Occ T2'!D24-'Occ T2'!B24</f>
        <v>-107.65480994820746</v>
      </c>
      <c r="N98" s="93">
        <f>'Occ T2'!F135</f>
        <v>-0.26534353950773948</v>
      </c>
    </row>
    <row r="99" spans="12:14" x14ac:dyDescent="0.3">
      <c r="L99" s="10" t="str">
        <f>name!D21</f>
        <v>61 Caring personal service occupations</v>
      </c>
      <c r="M99" s="93">
        <f>'Occ T2'!D25-'Occ T2'!B25</f>
        <v>-12.411987734347349</v>
      </c>
      <c r="N99" s="93">
        <f>'Occ T2'!F136</f>
        <v>465.74779123614371</v>
      </c>
    </row>
    <row r="100" spans="12:14" x14ac:dyDescent="0.3">
      <c r="L100" s="10" t="str">
        <f>name!D22</f>
        <v>62 Leisure, travel and related personal service occupations</v>
      </c>
      <c r="M100" s="93">
        <f>'Occ T2'!D26-'Occ T2'!B26</f>
        <v>-5.9285707084662818</v>
      </c>
      <c r="N100" s="93">
        <f>'Occ T2'!F137</f>
        <v>40.818712343178163</v>
      </c>
    </row>
    <row r="101" spans="12:14" x14ac:dyDescent="0.3">
      <c r="L101" s="10" t="str">
        <f>name!D23</f>
        <v>63 Community and civil enforcement occupations</v>
      </c>
      <c r="M101" s="93">
        <f>'Occ T2'!D27-'Occ T2'!B27</f>
        <v>3.2792887261672519</v>
      </c>
      <c r="N101" s="93">
        <f>'Occ T2'!F138</f>
        <v>-4.8078481757824605</v>
      </c>
    </row>
    <row r="102" spans="12:14" x14ac:dyDescent="0.3">
      <c r="L102" s="10" t="str">
        <f>name!D24</f>
        <v>71 Sales occupations</v>
      </c>
      <c r="M102" s="93">
        <f>'Occ T2'!D28-'Occ T2'!B28</f>
        <v>-159.83580396348498</v>
      </c>
      <c r="N102" s="93">
        <f>'Occ T2'!F139</f>
        <v>-255.30221897759748</v>
      </c>
    </row>
    <row r="103" spans="12:14" x14ac:dyDescent="0.3">
      <c r="L103" s="10" t="str">
        <f>name!D25</f>
        <v>72 Customer service occupations</v>
      </c>
      <c r="M103" s="93">
        <f>'Occ T2'!D29-'Occ T2'!B29</f>
        <v>59.661989970594504</v>
      </c>
      <c r="N103" s="93">
        <f>'Occ T2'!F140</f>
        <v>284.64182497857678</v>
      </c>
    </row>
    <row r="104" spans="12:14" x14ac:dyDescent="0.3">
      <c r="L104" s="10" t="str">
        <f>name!D26</f>
        <v>81 Process, plant and machine operatives</v>
      </c>
      <c r="M104" s="93">
        <f>'Occ T2'!D30-'Occ T2'!B30</f>
        <v>-139.46472215261883</v>
      </c>
      <c r="N104" s="93">
        <f>'Occ T2'!F141</f>
        <v>141.75840459628296</v>
      </c>
    </row>
    <row r="105" spans="12:14" x14ac:dyDescent="0.3">
      <c r="L105" s="10" t="str">
        <f>name!D27</f>
        <v>82 Transport and mobile machine drivers and operatives</v>
      </c>
      <c r="M105" s="93">
        <f>'Occ T2'!D31-'Occ T2'!B31</f>
        <v>-16.280668574519495</v>
      </c>
      <c r="N105" s="93">
        <f>'Occ T2'!F142</f>
        <v>79.88091753084791</v>
      </c>
    </row>
    <row r="106" spans="12:14" x14ac:dyDescent="0.3">
      <c r="L106" s="10" t="str">
        <f>name!D28</f>
        <v>91 Elementary trades and related occupations</v>
      </c>
      <c r="M106" s="93">
        <f>'Occ T2'!D32-'Occ T2'!B32</f>
        <v>-121.51817377539646</v>
      </c>
      <c r="N106" s="93">
        <f>'Occ T2'!F143</f>
        <v>-96.554495947058058</v>
      </c>
    </row>
    <row r="107" spans="12:14" x14ac:dyDescent="0.3">
      <c r="L107" s="10" t="str">
        <f>name!D29</f>
        <v>92 Elementary administration and service occupations</v>
      </c>
      <c r="M107" s="93">
        <f>'Occ T2'!D33-'Occ T2'!B33</f>
        <v>-252.17373899277254</v>
      </c>
      <c r="N107" s="93">
        <f>'Occ T2'!F144</f>
        <v>-47.943292727871267</v>
      </c>
    </row>
    <row r="108" spans="12:14" x14ac:dyDescent="0.3">
      <c r="L108" s="10"/>
      <c r="M108" s="93"/>
      <c r="N108" s="93"/>
    </row>
    <row r="109" spans="12:14" x14ac:dyDescent="0.3">
      <c r="L109" s="10" t="str">
        <f>name!D3</f>
        <v>All occupations</v>
      </c>
      <c r="M109" s="93">
        <f>'Occ T2'!D35-'Occ T2'!B35</f>
        <v>1318.9829999997601</v>
      </c>
      <c r="N109" s="93">
        <f>'Occ T2'!F146</f>
        <v>2592.9040000002642</v>
      </c>
    </row>
    <row r="150" spans="1:16" ht="15.45" x14ac:dyDescent="0.4">
      <c r="A150" s="155" t="str">
        <f>CONCATENATE("Occupation Figure 1.2  Change in Employment by Occupation (SOC 2020), ",M152," and ",N152,", ",Info!B5)</f>
        <v>Occupation Figure 1.2  Change in Employment by Occupation (SOC 2020), 2015 - 2020 and 2020-2035, United Kingdom</v>
      </c>
    </row>
    <row r="151" spans="1:16" x14ac:dyDescent="0.3">
      <c r="P151" s="93"/>
    </row>
    <row r="152" spans="1:16" x14ac:dyDescent="0.3">
      <c r="M152" s="90" t="str">
        <f>'Occ T1'!B6&amp;" - "&amp;'Occ T1'!D6</f>
        <v>2015 - 2020</v>
      </c>
      <c r="N152" s="90" t="str">
        <f>'Occ T1'!H4</f>
        <v>2020-2035</v>
      </c>
      <c r="P152" s="93"/>
    </row>
    <row r="153" spans="1:16" x14ac:dyDescent="0.3">
      <c r="L153" s="10" t="str">
        <f>name!E4</f>
        <v>Managers, directors and senior officials</v>
      </c>
      <c r="M153" s="93">
        <f>'Occ T1'!D8-'Occ T1'!B8</f>
        <v>541.13406371855399</v>
      </c>
      <c r="N153" s="93">
        <f>'Occ T1'!H8</f>
        <v>571.68966829905185</v>
      </c>
      <c r="P153" s="93"/>
    </row>
    <row r="154" spans="1:16" x14ac:dyDescent="0.3">
      <c r="L154" s="10" t="str">
        <f>name!E5</f>
        <v>Professional occupations</v>
      </c>
      <c r="M154" s="93">
        <f>'Occ T1'!D9-'Occ T1'!B9</f>
        <v>1314.0978646666808</v>
      </c>
      <c r="N154" s="93">
        <f>'Occ T1'!H9</f>
        <v>1642.2373702534169</v>
      </c>
      <c r="P154" s="93"/>
    </row>
    <row r="155" spans="1:16" x14ac:dyDescent="0.3">
      <c r="L155" s="10" t="str">
        <f>name!E6</f>
        <v>Associate professional occupations</v>
      </c>
      <c r="M155" s="93">
        <f>'Occ T1'!D10-'Occ T1'!B10</f>
        <v>562.45345422386526</v>
      </c>
      <c r="N155" s="93">
        <f>'Occ T1'!H10</f>
        <v>296.39304938618352</v>
      </c>
      <c r="P155" s="93"/>
    </row>
    <row r="156" spans="1:16" x14ac:dyDescent="0.3">
      <c r="L156" s="10" t="str">
        <f>name!E7</f>
        <v>Administrative and secretarial occupations</v>
      </c>
      <c r="M156" s="93">
        <f>'Occ T1'!D11-'Occ T1'!B11</f>
        <v>6.1307069841050179</v>
      </c>
      <c r="N156" s="93">
        <f>'Occ T1'!H11</f>
        <v>-486.78047203525784</v>
      </c>
      <c r="P156" s="93"/>
    </row>
    <row r="157" spans="1:16" x14ac:dyDescent="0.3">
      <c r="L157" s="10" t="str">
        <f>name!E8</f>
        <v>Skilled trades occupations</v>
      </c>
      <c r="M157" s="93">
        <f>'Occ T1'!D12-'Occ T1'!B12</f>
        <v>-460.16070238859402</v>
      </c>
      <c r="N157" s="93">
        <f>'Occ T1'!H12</f>
        <v>-38.875410759858369</v>
      </c>
      <c r="P157" s="93"/>
    </row>
    <row r="158" spans="1:16" x14ac:dyDescent="0.3">
      <c r="L158" s="10" t="str">
        <f>name!E9</f>
        <v>Caring, leisure and other service occupations</v>
      </c>
      <c r="M158" s="93">
        <f>'Occ T1'!D13-'Occ T1'!B13</f>
        <v>-15.061269716646621</v>
      </c>
      <c r="N158" s="93">
        <f>'Occ T1'!H13</f>
        <v>501.75865540353971</v>
      </c>
      <c r="P158" s="93"/>
    </row>
    <row r="159" spans="1:16" x14ac:dyDescent="0.3">
      <c r="L159" s="10" t="str">
        <f>name!E10</f>
        <v>Sales and customer service occupations</v>
      </c>
      <c r="M159" s="93">
        <f>'Occ T1'!D14-'Occ T1'!B14</f>
        <v>-100.17381399289025</v>
      </c>
      <c r="N159" s="93">
        <f>'Occ T1'!H14</f>
        <v>29.339606000979074</v>
      </c>
      <c r="P159" s="93"/>
    </row>
    <row r="160" spans="1:16" x14ac:dyDescent="0.3">
      <c r="L160" s="10" t="str">
        <f>name!E11</f>
        <v>Process, plant and machine operatives</v>
      </c>
      <c r="M160" s="93">
        <f>'Occ T1'!D15-'Occ T1'!B15</f>
        <v>-155.74539072713833</v>
      </c>
      <c r="N160" s="93">
        <f>'Occ T1'!H15</f>
        <v>221.63932212713098</v>
      </c>
      <c r="P160" s="93"/>
    </row>
    <row r="161" spans="12:16" x14ac:dyDescent="0.3">
      <c r="L161" s="10" t="str">
        <f>name!E12</f>
        <v>Elementary occupations</v>
      </c>
      <c r="M161" s="93">
        <f>'Occ T1'!D16-'Occ T1'!B16</f>
        <v>-373.691912768169</v>
      </c>
      <c r="N161" s="93">
        <f>'Occ T1'!H16</f>
        <v>-144.49778867492932</v>
      </c>
      <c r="P161" s="93"/>
    </row>
    <row r="162" spans="12:16" x14ac:dyDescent="0.3">
      <c r="L162" s="10"/>
      <c r="M162" s="93"/>
      <c r="N162" s="93"/>
      <c r="P162" s="93"/>
    </row>
    <row r="163" spans="12:16" x14ac:dyDescent="0.3">
      <c r="L163" s="10" t="str">
        <f>name!E3</f>
        <v>All occupations</v>
      </c>
      <c r="M163" s="93">
        <f>'Occ T1'!D18-'Occ T1'!B18</f>
        <v>1318.9829999997673</v>
      </c>
      <c r="N163" s="93">
        <f>'Occ T1'!H18</f>
        <v>2592.9040000002565</v>
      </c>
    </row>
  </sheetData>
  <conditionalFormatting sqref="L17:L18 L6:N6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2" manualBreakCount="2">
    <brk id="78" max="16383" man="1"/>
    <brk id="149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BO508"/>
  <sheetViews>
    <sheetView tabSelected="1" topLeftCell="R1" zoomScale="68" zoomScaleNormal="75" workbookViewId="0">
      <selection activeCell="AK13" sqref="AK13"/>
    </sheetView>
  </sheetViews>
  <sheetFormatPr defaultColWidth="9.15234375" defaultRowHeight="12.45" x14ac:dyDescent="0.3"/>
  <cols>
    <col min="1" max="1" width="17" style="80" customWidth="1"/>
    <col min="2" max="8" width="9.15234375" style="80"/>
    <col min="9" max="9" width="31.84375" style="80" customWidth="1"/>
    <col min="10" max="10" width="11.3046875" style="80" customWidth="1"/>
    <col min="11" max="11" width="6.15234375" style="80" customWidth="1"/>
    <col min="12" max="12" width="52.3046875" customWidth="1"/>
    <col min="13" max="38" width="15.69140625" customWidth="1"/>
    <col min="39" max="39" width="7.69140625" customWidth="1"/>
    <col min="40" max="63" width="6.3046875" customWidth="1"/>
  </cols>
  <sheetData>
    <row r="1" spans="1:67" ht="15.45" x14ac:dyDescent="0.4">
      <c r="A1" s="79" t="str">
        <f>CONCATENATE("Occupation Figure 2  Employment by Occupation (SOC 2020), ",$M$2,"-",$O$2,", ",Info!B5)</f>
        <v>Occupation Figure 2  Employment by Occupation (SOC 2020), 2010-2035, United Kingdom</v>
      </c>
      <c r="L1" s="45"/>
    </row>
    <row r="2" spans="1:67" x14ac:dyDescent="0.3">
      <c r="A2" s="181" t="s">
        <v>536</v>
      </c>
      <c r="L2" s="15" t="s">
        <v>28</v>
      </c>
      <c r="M2" s="47">
        <f>M4</f>
        <v>2010</v>
      </c>
      <c r="N2" s="46" t="s">
        <v>27</v>
      </c>
      <c r="O2" s="47">
        <f>MAX(Q4:BO4)</f>
        <v>2035</v>
      </c>
    </row>
    <row r="3" spans="1:67" x14ac:dyDescent="0.3">
      <c r="L3" s="15"/>
      <c r="M3" s="15"/>
      <c r="N3" s="46"/>
      <c r="O3" s="15"/>
    </row>
    <row r="4" spans="1:67" x14ac:dyDescent="0.3">
      <c r="L4" s="1" t="s">
        <v>35</v>
      </c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/>
      <c r="AN4" s="47"/>
      <c r="AO4" s="47"/>
      <c r="AP4" s="47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</row>
    <row r="5" spans="1:67" x14ac:dyDescent="0.3">
      <c r="L5" s="16" t="str">
        <f>'Occ T3'!A7</f>
        <v>Managers, directors and senior officials</v>
      </c>
      <c r="M5" s="86">
        <f t="shared" ref="M5:P5" si="0">SUM(M6:M7)</f>
        <v>2617.4130358405127</v>
      </c>
      <c r="N5" s="86">
        <f t="shared" si="0"/>
        <v>2870.501318730348</v>
      </c>
      <c r="O5" s="86">
        <f t="shared" si="0"/>
        <v>2981.9916786196054</v>
      </c>
      <c r="P5" s="86">
        <f t="shared" si="0"/>
        <v>3024.5772311442288</v>
      </c>
      <c r="Q5" s="86">
        <f>SUM(Q6:Q7)</f>
        <v>3104.5954492555593</v>
      </c>
      <c r="R5" s="86">
        <f t="shared" ref="R5:AL5" si="1">SUM(R6:R7)</f>
        <v>3205.425138336177</v>
      </c>
      <c r="S5" s="86">
        <f t="shared" si="1"/>
        <v>3308.500849407365</v>
      </c>
      <c r="T5" s="86">
        <f t="shared" si="1"/>
        <v>3460.4545578614307</v>
      </c>
      <c r="U5" s="86">
        <f t="shared" si="1"/>
        <v>3512.662033194556</v>
      </c>
      <c r="V5" s="86">
        <f t="shared" si="1"/>
        <v>3677.7255359911551</v>
      </c>
      <c r="W5" s="86">
        <f t="shared" si="1"/>
        <v>3746.559202054731</v>
      </c>
      <c r="X5" s="86">
        <f t="shared" si="1"/>
        <v>3661.6664624966588</v>
      </c>
      <c r="Y5" s="86">
        <f t="shared" si="1"/>
        <v>3706.8951031021707</v>
      </c>
      <c r="Z5" s="86">
        <f t="shared" si="1"/>
        <v>3759.7569438703495</v>
      </c>
      <c r="AA5" s="86">
        <f t="shared" si="1"/>
        <v>3815.4373131092416</v>
      </c>
      <c r="AB5" s="86">
        <f t="shared" si="1"/>
        <v>3862.6442625428922</v>
      </c>
      <c r="AC5" s="86">
        <f t="shared" si="1"/>
        <v>3907.5316572760626</v>
      </c>
      <c r="AD5" s="86">
        <f t="shared" si="1"/>
        <v>3951.1238872016465</v>
      </c>
      <c r="AE5" s="86">
        <f t="shared" si="1"/>
        <v>3994.9909516838584</v>
      </c>
      <c r="AF5" s="86">
        <f t="shared" si="1"/>
        <v>4039.0615266929381</v>
      </c>
      <c r="AG5" s="86">
        <f t="shared" si="1"/>
        <v>4084.9625659801768</v>
      </c>
      <c r="AH5" s="86">
        <f t="shared" si="1"/>
        <v>4130.8060717731742</v>
      </c>
      <c r="AI5" s="86">
        <f t="shared" si="1"/>
        <v>4177.0611148671424</v>
      </c>
      <c r="AJ5" s="86">
        <f t="shared" si="1"/>
        <v>4223.8302957144388</v>
      </c>
      <c r="AK5" s="86">
        <f t="shared" si="1"/>
        <v>4270.8398974539687</v>
      </c>
      <c r="AL5" s="86">
        <f t="shared" si="1"/>
        <v>4318.2488703537829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x14ac:dyDescent="0.3">
      <c r="L6" s="232" t="str">
        <f>'Occ T3'!A8</f>
        <v>11 Corporate managers and directors</v>
      </c>
      <c r="M6" s="11">
        <v>1771.5607192840441</v>
      </c>
      <c r="N6" s="11">
        <v>1935.290397818593</v>
      </c>
      <c r="O6" s="11">
        <v>2007.559634020771</v>
      </c>
      <c r="P6" s="11">
        <v>2045.5963408144069</v>
      </c>
      <c r="Q6" s="11">
        <v>2019.416164098659</v>
      </c>
      <c r="R6" s="11">
        <v>2147.9713237433616</v>
      </c>
      <c r="S6" s="11">
        <v>2311.5072694497844</v>
      </c>
      <c r="T6" s="11">
        <v>2384.9396019564433</v>
      </c>
      <c r="U6" s="11">
        <v>2427.1351578736248</v>
      </c>
      <c r="V6" s="11">
        <v>2544.407261426617</v>
      </c>
      <c r="W6" s="11">
        <v>2603.6149634867743</v>
      </c>
      <c r="X6" s="11">
        <v>2339.5445673139357</v>
      </c>
      <c r="Y6" s="11">
        <v>2363.4523602901581</v>
      </c>
      <c r="Z6" s="11">
        <v>2391.8459120667212</v>
      </c>
      <c r="AA6" s="11">
        <v>2421.881451572141</v>
      </c>
      <c r="AB6" s="11">
        <v>2446.5731602475962</v>
      </c>
      <c r="AC6" s="11">
        <v>2469.7806955856622</v>
      </c>
      <c r="AD6" s="11">
        <v>2492.1121776033438</v>
      </c>
      <c r="AE6" s="11">
        <v>2514.6182122243363</v>
      </c>
      <c r="AF6" s="11">
        <v>2537.2262397274521</v>
      </c>
      <c r="AG6" s="11">
        <v>2560.9507280126177</v>
      </c>
      <c r="AH6" s="11">
        <v>2584.5860481028549</v>
      </c>
      <c r="AI6" s="11">
        <v>2608.4361183326428</v>
      </c>
      <c r="AJ6" s="11">
        <v>2632.5693440454115</v>
      </c>
      <c r="AK6" s="11">
        <v>2656.8161656103184</v>
      </c>
      <c r="AL6" s="11">
        <v>2681.2775346158387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x14ac:dyDescent="0.3">
      <c r="L7" s="232" t="str">
        <f>'Occ T3'!A9</f>
        <v>12 Other managers and proprietors</v>
      </c>
      <c r="M7" s="11">
        <v>845.85231655646839</v>
      </c>
      <c r="N7" s="11">
        <v>935.21092091175501</v>
      </c>
      <c r="O7" s="11">
        <v>974.4320445988343</v>
      </c>
      <c r="P7" s="11">
        <v>978.9808903298217</v>
      </c>
      <c r="Q7" s="11">
        <v>1085.1792851569005</v>
      </c>
      <c r="R7" s="11">
        <v>1057.4538145928157</v>
      </c>
      <c r="S7" s="11">
        <v>996.99357995758055</v>
      </c>
      <c r="T7" s="11">
        <v>1075.5149559049871</v>
      </c>
      <c r="U7" s="11">
        <v>1085.5268753209314</v>
      </c>
      <c r="V7" s="11">
        <v>1133.3182745645383</v>
      </c>
      <c r="W7" s="11">
        <v>1142.9442385679565</v>
      </c>
      <c r="X7" s="11">
        <v>1322.1218951827229</v>
      </c>
      <c r="Y7" s="11">
        <v>1343.4427428120127</v>
      </c>
      <c r="Z7" s="11">
        <v>1367.9110318036282</v>
      </c>
      <c r="AA7" s="11">
        <v>1393.5558615371006</v>
      </c>
      <c r="AB7" s="11">
        <v>1416.071102295296</v>
      </c>
      <c r="AC7" s="11">
        <v>1437.7509616904003</v>
      </c>
      <c r="AD7" s="11">
        <v>1459.0117095983026</v>
      </c>
      <c r="AE7" s="11">
        <v>1480.3727394595221</v>
      </c>
      <c r="AF7" s="11">
        <v>1501.8352869654857</v>
      </c>
      <c r="AG7" s="11">
        <v>1524.0118379675591</v>
      </c>
      <c r="AH7" s="11">
        <v>1546.2200236703191</v>
      </c>
      <c r="AI7" s="11">
        <v>1568.6249965344994</v>
      </c>
      <c r="AJ7" s="11">
        <v>1591.260951669027</v>
      </c>
      <c r="AK7" s="11">
        <v>1614.0237318436505</v>
      </c>
      <c r="AL7" s="11">
        <v>1636.9713357379442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x14ac:dyDescent="0.3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x14ac:dyDescent="0.3">
      <c r="L9" s="16" t="str">
        <f>'Occ T3'!A11</f>
        <v>Professional occupations</v>
      </c>
      <c r="M9" s="86">
        <f t="shared" ref="M9:P9" si="2">SUM(M10:M13)</f>
        <v>6430.0376206872179</v>
      </c>
      <c r="N9" s="86">
        <f t="shared" si="2"/>
        <v>6336.8524073037488</v>
      </c>
      <c r="O9" s="86">
        <f t="shared" si="2"/>
        <v>6441.4701182179633</v>
      </c>
      <c r="P9" s="86">
        <f t="shared" si="2"/>
        <v>6597.579748001016</v>
      </c>
      <c r="Q9" s="86">
        <f>SUM(Q10:Q13)</f>
        <v>6833.2834331858066</v>
      </c>
      <c r="R9" s="86">
        <f t="shared" ref="R9:AL9" si="3">SUM(R10:R13)</f>
        <v>6885.4818455337045</v>
      </c>
      <c r="S9" s="86">
        <f t="shared" si="3"/>
        <v>7274.2509112804601</v>
      </c>
      <c r="T9" s="86">
        <f t="shared" si="3"/>
        <v>7260.9146546152233</v>
      </c>
      <c r="U9" s="86">
        <f t="shared" si="3"/>
        <v>7515.6592679049027</v>
      </c>
      <c r="V9" s="86">
        <f t="shared" si="3"/>
        <v>7836.4339984828966</v>
      </c>
      <c r="W9" s="86">
        <f t="shared" si="3"/>
        <v>8199.5797102003853</v>
      </c>
      <c r="X9" s="86">
        <f t="shared" si="3"/>
        <v>8456.8665981795966</v>
      </c>
      <c r="Y9" s="86">
        <f t="shared" si="3"/>
        <v>8555.3806276265113</v>
      </c>
      <c r="Z9" s="86">
        <f t="shared" si="3"/>
        <v>8668.1558464917707</v>
      </c>
      <c r="AA9" s="86">
        <f t="shared" si="3"/>
        <v>8787.5667133078132</v>
      </c>
      <c r="AB9" s="86">
        <f t="shared" si="3"/>
        <v>8888.4946767141701</v>
      </c>
      <c r="AC9" s="86">
        <f t="shared" si="3"/>
        <v>8983.4725081014858</v>
      </c>
      <c r="AD9" s="86">
        <f t="shared" si="3"/>
        <v>9075.3557532738669</v>
      </c>
      <c r="AE9" s="86">
        <f t="shared" si="3"/>
        <v>9167.56384496799</v>
      </c>
      <c r="AF9" s="86">
        <f t="shared" si="3"/>
        <v>9260.0478755679687</v>
      </c>
      <c r="AG9" s="86">
        <f t="shared" si="3"/>
        <v>9356.2450570976271</v>
      </c>
      <c r="AH9" s="86">
        <f t="shared" si="3"/>
        <v>9452.0426689848064</v>
      </c>
      <c r="AI9" s="86">
        <f t="shared" si="3"/>
        <v>9548.4592109545847</v>
      </c>
      <c r="AJ9" s="86">
        <f t="shared" si="3"/>
        <v>9645.8309437800744</v>
      </c>
      <c r="AK9" s="86">
        <f t="shared" si="3"/>
        <v>9743.498851754186</v>
      </c>
      <c r="AL9" s="86">
        <f t="shared" si="3"/>
        <v>9841.8170804538022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 x14ac:dyDescent="0.3">
      <c r="L10" s="232" t="str">
        <f>'Occ T3'!A12</f>
        <v>21 Science, research, engineering and technology professionals</v>
      </c>
      <c r="M10" s="11">
        <v>1628.6350757377811</v>
      </c>
      <c r="N10" s="11">
        <v>1572.0398840956225</v>
      </c>
      <c r="O10" s="11">
        <v>1618.011615036663</v>
      </c>
      <c r="P10" s="11">
        <v>1624.5909384176098</v>
      </c>
      <c r="Q10" s="11">
        <v>1737.1338357507677</v>
      </c>
      <c r="R10" s="11">
        <v>1804.4444333480956</v>
      </c>
      <c r="S10" s="11">
        <v>1907.9300083833491</v>
      </c>
      <c r="T10" s="11">
        <v>1871.4014833227138</v>
      </c>
      <c r="U10" s="11">
        <v>1994.7532093567465</v>
      </c>
      <c r="V10" s="11">
        <v>2078.6035464296092</v>
      </c>
      <c r="W10" s="11">
        <v>2168.4893984676792</v>
      </c>
      <c r="X10" s="11">
        <v>2192.2235840630915</v>
      </c>
      <c r="Y10" s="11">
        <v>2218.2926131718614</v>
      </c>
      <c r="Z10" s="11">
        <v>2248.4848980753773</v>
      </c>
      <c r="AA10" s="11">
        <v>2280.0905508133769</v>
      </c>
      <c r="AB10" s="11">
        <v>2306.7300778658928</v>
      </c>
      <c r="AC10" s="11">
        <v>2332.0855338616252</v>
      </c>
      <c r="AD10" s="11">
        <v>2356.5750811812909</v>
      </c>
      <c r="AE10" s="11">
        <v>2381.2819976581386</v>
      </c>
      <c r="AF10" s="11">
        <v>2406.0930314800157</v>
      </c>
      <c r="AG10" s="11">
        <v>2432.0098485412232</v>
      </c>
      <c r="AH10" s="11">
        <v>2457.8067309227586</v>
      </c>
      <c r="AI10" s="11">
        <v>2483.8027843435862</v>
      </c>
      <c r="AJ10" s="11">
        <v>2510.0548124896995</v>
      </c>
      <c r="AK10" s="11">
        <v>2536.4132443798462</v>
      </c>
      <c r="AL10" s="11">
        <v>2562.9828232040827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x14ac:dyDescent="0.3">
      <c r="L11" s="232" t="str">
        <f>'Occ T3'!A13</f>
        <v>22 Health professionals</v>
      </c>
      <c r="M11" s="11">
        <v>1234.4440430848842</v>
      </c>
      <c r="N11" s="11">
        <v>1308.8501238651204</v>
      </c>
      <c r="O11" s="11">
        <v>1348.6947926405883</v>
      </c>
      <c r="P11" s="11">
        <v>1388.8183137476224</v>
      </c>
      <c r="Q11" s="11">
        <v>1426.5906456040682</v>
      </c>
      <c r="R11" s="11">
        <v>1431.704750253356</v>
      </c>
      <c r="S11" s="11">
        <v>1497.1205449948934</v>
      </c>
      <c r="T11" s="11">
        <v>1559.772992621514</v>
      </c>
      <c r="U11" s="11">
        <v>1569.3343837078958</v>
      </c>
      <c r="V11" s="11">
        <v>1645.5227101580754</v>
      </c>
      <c r="W11" s="11">
        <v>1652.6894842034105</v>
      </c>
      <c r="X11" s="11">
        <v>1709.9791675589881</v>
      </c>
      <c r="Y11" s="11">
        <v>1728.2683641508579</v>
      </c>
      <c r="Z11" s="11">
        <v>1749.0756761230807</v>
      </c>
      <c r="AA11" s="11">
        <v>1771.4402282264894</v>
      </c>
      <c r="AB11" s="11">
        <v>1790.2133863705644</v>
      </c>
      <c r="AC11" s="11">
        <v>1807.5814238244254</v>
      </c>
      <c r="AD11" s="11">
        <v>1824.3600137164926</v>
      </c>
      <c r="AE11" s="11">
        <v>1841.0969599099535</v>
      </c>
      <c r="AF11" s="11">
        <v>1857.8548276309418</v>
      </c>
      <c r="AG11" s="11">
        <v>1875.2461839184571</v>
      </c>
      <c r="AH11" s="11">
        <v>1892.5556245746161</v>
      </c>
      <c r="AI11" s="11">
        <v>1909.9471806531574</v>
      </c>
      <c r="AJ11" s="11">
        <v>1927.5121797950296</v>
      </c>
      <c r="AK11" s="11">
        <v>1945.1019634097602</v>
      </c>
      <c r="AL11" s="11">
        <v>1962.7779742263765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x14ac:dyDescent="0.3">
      <c r="L12" s="232" t="str">
        <f>'Occ T3'!A14</f>
        <v>23 Teaching and other educational professionals</v>
      </c>
      <c r="M12" s="11">
        <v>1568.8005791843532</v>
      </c>
      <c r="N12" s="11">
        <v>1572.1271857461288</v>
      </c>
      <c r="O12" s="11">
        <v>1580.2709263827867</v>
      </c>
      <c r="P12" s="11">
        <v>1597.959773380426</v>
      </c>
      <c r="Q12" s="11">
        <v>1635.7171325015024</v>
      </c>
      <c r="R12" s="11">
        <v>1646.9786897581305</v>
      </c>
      <c r="S12" s="11">
        <v>1703.0193808246067</v>
      </c>
      <c r="T12" s="11">
        <v>1659.0970557777123</v>
      </c>
      <c r="U12" s="11">
        <v>1676.129881568894</v>
      </c>
      <c r="V12" s="11">
        <v>1740.7273501948343</v>
      </c>
      <c r="W12" s="11">
        <v>1814.3949916428305</v>
      </c>
      <c r="X12" s="11">
        <v>1828.7963954215725</v>
      </c>
      <c r="Y12" s="11">
        <v>1847.249537731685</v>
      </c>
      <c r="Z12" s="11">
        <v>1868.3017869156618</v>
      </c>
      <c r="AA12" s="11">
        <v>1890.9397988969317</v>
      </c>
      <c r="AB12" s="11">
        <v>1909.7720176323999</v>
      </c>
      <c r="AC12" s="11">
        <v>1927.1524534360199</v>
      </c>
      <c r="AD12" s="11">
        <v>1943.8712937233036</v>
      </c>
      <c r="AE12" s="11">
        <v>1960.5632739521843</v>
      </c>
      <c r="AF12" s="11">
        <v>1977.2731288280675</v>
      </c>
      <c r="AG12" s="11">
        <v>1994.6594249323241</v>
      </c>
      <c r="AH12" s="11">
        <v>2011.9386153738981</v>
      </c>
      <c r="AI12" s="11">
        <v>2029.2971310604262</v>
      </c>
      <c r="AJ12" s="11">
        <v>2046.8310232887766</v>
      </c>
      <c r="AK12" s="11">
        <v>2064.3843094687977</v>
      </c>
      <c r="AL12" s="11">
        <v>2082.0254777556443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x14ac:dyDescent="0.3">
      <c r="L13" s="232" t="str">
        <f>'Occ T3'!A15</f>
        <v>24 Business, media and public service professionals</v>
      </c>
      <c r="M13" s="11">
        <v>1998.1579226801998</v>
      </c>
      <c r="N13" s="11">
        <v>1883.8352135968773</v>
      </c>
      <c r="O13" s="11">
        <v>1894.4927841579256</v>
      </c>
      <c r="P13" s="11">
        <v>1986.2107224553586</v>
      </c>
      <c r="Q13" s="11">
        <v>2033.8418193294681</v>
      </c>
      <c r="R13" s="11">
        <v>2002.3539721741229</v>
      </c>
      <c r="S13" s="11">
        <v>2166.1809770776113</v>
      </c>
      <c r="T13" s="11">
        <v>2170.6431228932825</v>
      </c>
      <c r="U13" s="11">
        <v>2275.4417932713654</v>
      </c>
      <c r="V13" s="11">
        <v>2371.5803917003777</v>
      </c>
      <c r="W13" s="11">
        <v>2564.0058358864653</v>
      </c>
      <c r="X13" s="11">
        <v>2725.8674511359445</v>
      </c>
      <c r="Y13" s="11">
        <v>2761.5701125721071</v>
      </c>
      <c r="Z13" s="11">
        <v>2802.2934853776505</v>
      </c>
      <c r="AA13" s="11">
        <v>2845.0961353710159</v>
      </c>
      <c r="AB13" s="11">
        <v>2881.7791948453123</v>
      </c>
      <c r="AC13" s="11">
        <v>2916.6530969794157</v>
      </c>
      <c r="AD13" s="11">
        <v>2950.5493646527793</v>
      </c>
      <c r="AE13" s="11">
        <v>2984.6216134477127</v>
      </c>
      <c r="AF13" s="11">
        <v>3018.8268876289449</v>
      </c>
      <c r="AG13" s="11">
        <v>3054.329599705623</v>
      </c>
      <c r="AH13" s="11">
        <v>3089.7416981135339</v>
      </c>
      <c r="AI13" s="11">
        <v>3125.4121148974164</v>
      </c>
      <c r="AJ13" s="11">
        <v>3161.4329282065687</v>
      </c>
      <c r="AK13" s="11">
        <v>3197.5993344957833</v>
      </c>
      <c r="AL13" s="11">
        <v>3234.0308052677001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x14ac:dyDescent="0.3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x14ac:dyDescent="0.3">
      <c r="L15" s="16" t="str">
        <f>'Occ T3'!A17</f>
        <v>Associate professional occupations</v>
      </c>
      <c r="M15" s="86">
        <f>SUM(M16:M20)</f>
        <v>3810.18597995136</v>
      </c>
      <c r="N15" s="86">
        <f t="shared" ref="N15:P15" si="4">SUM(N16:N20)</f>
        <v>3872.3715995902021</v>
      </c>
      <c r="O15" s="86">
        <f t="shared" si="4"/>
        <v>4024.5015485184176</v>
      </c>
      <c r="P15" s="86">
        <f t="shared" si="4"/>
        <v>3996.846734646113</v>
      </c>
      <c r="Q15" s="86">
        <f>SUM(Q16:Q20)</f>
        <v>4156.7387627168882</v>
      </c>
      <c r="R15" s="86">
        <f t="shared" ref="R15:AL15" si="5">SUM(R16:R20)</f>
        <v>4219.4704423124967</v>
      </c>
      <c r="S15" s="86">
        <f t="shared" si="5"/>
        <v>4366.2152729838726</v>
      </c>
      <c r="T15" s="86">
        <f t="shared" si="5"/>
        <v>4471.5558558482771</v>
      </c>
      <c r="U15" s="86">
        <f t="shared" si="5"/>
        <v>4533.0010764128028</v>
      </c>
      <c r="V15" s="86">
        <f t="shared" si="5"/>
        <v>4570.8250970036297</v>
      </c>
      <c r="W15" s="86">
        <f t="shared" si="5"/>
        <v>4781.923896536362</v>
      </c>
      <c r="X15" s="86">
        <f t="shared" si="5"/>
        <v>4534.6038276794861</v>
      </c>
      <c r="Y15" s="86">
        <f t="shared" si="5"/>
        <v>4573.1298608860034</v>
      </c>
      <c r="Z15" s="86">
        <f t="shared" si="5"/>
        <v>4619.9643281446588</v>
      </c>
      <c r="AA15" s="86">
        <f t="shared" si="5"/>
        <v>4670.2846004075509</v>
      </c>
      <c r="AB15" s="86">
        <f t="shared" si="5"/>
        <v>4710.4240048833362</v>
      </c>
      <c r="AC15" s="86">
        <f t="shared" si="5"/>
        <v>4747.3260081370099</v>
      </c>
      <c r="AD15" s="86">
        <f t="shared" si="5"/>
        <v>4782.5533508100871</v>
      </c>
      <c r="AE15" s="86">
        <f t="shared" si="5"/>
        <v>4817.8429425247459</v>
      </c>
      <c r="AF15" s="86">
        <f t="shared" si="5"/>
        <v>4853.2034103831247</v>
      </c>
      <c r="AG15" s="86">
        <f t="shared" si="5"/>
        <v>4890.4644104844119</v>
      </c>
      <c r="AH15" s="86">
        <f t="shared" si="5"/>
        <v>4927.4742926261442</v>
      </c>
      <c r="AI15" s="86">
        <f t="shared" si="5"/>
        <v>4964.7541207691229</v>
      </c>
      <c r="AJ15" s="86">
        <f t="shared" si="5"/>
        <v>5002.4628808979178</v>
      </c>
      <c r="AK15" s="86">
        <f t="shared" si="5"/>
        <v>5040.2573598012004</v>
      </c>
      <c r="AL15" s="86">
        <f t="shared" si="5"/>
        <v>5078.3169459225455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 x14ac:dyDescent="0.3">
      <c r="L16" s="232" t="str">
        <f>'Occ T3'!A18</f>
        <v>31 Science, engineering and technology associate professionals</v>
      </c>
      <c r="M16" s="11">
        <v>550.99862514281085</v>
      </c>
      <c r="N16" s="11">
        <v>541.4576266167245</v>
      </c>
      <c r="O16" s="11">
        <v>561.21077434250071</v>
      </c>
      <c r="P16" s="11">
        <v>572.0372643645976</v>
      </c>
      <c r="Q16" s="11">
        <v>540.61067423873908</v>
      </c>
      <c r="R16" s="11">
        <v>543.13411333119222</v>
      </c>
      <c r="S16" s="11">
        <v>578.13221556134204</v>
      </c>
      <c r="T16" s="11">
        <v>638.69710345939541</v>
      </c>
      <c r="U16" s="11">
        <v>654.99166068701174</v>
      </c>
      <c r="V16" s="11">
        <v>639.96984679802495</v>
      </c>
      <c r="W16" s="11">
        <v>694.16022623804326</v>
      </c>
      <c r="X16" s="11">
        <v>594.127210816603</v>
      </c>
      <c r="Y16" s="11">
        <v>598.84799868148502</v>
      </c>
      <c r="Z16" s="11">
        <v>604.57617670132811</v>
      </c>
      <c r="AA16" s="11">
        <v>610.68687978397986</v>
      </c>
      <c r="AB16" s="11">
        <v>615.4898763289159</v>
      </c>
      <c r="AC16" s="11">
        <v>619.923680735689</v>
      </c>
      <c r="AD16" s="11">
        <v>624.12432715718774</v>
      </c>
      <c r="AE16" s="11">
        <v>628.37187136396858</v>
      </c>
      <c r="AF16" s="11">
        <v>632.6410140662631</v>
      </c>
      <c r="AG16" s="11">
        <v>637.18366088405469</v>
      </c>
      <c r="AH16" s="11">
        <v>641.68933575399183</v>
      </c>
      <c r="AI16" s="11">
        <v>646.23784479456219</v>
      </c>
      <c r="AJ16" s="11">
        <v>650.84783878260919</v>
      </c>
      <c r="AK16" s="11">
        <v>655.47811237190547</v>
      </c>
      <c r="AL16" s="11">
        <v>660.15471895472103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2:67" x14ac:dyDescent="0.3">
      <c r="L17" s="232" t="str">
        <f>'Occ T3'!A19</f>
        <v>32 Health and social care associate professionals</v>
      </c>
      <c r="M17" s="11">
        <v>450.51771031130943</v>
      </c>
      <c r="N17" s="11">
        <v>575.29898395942223</v>
      </c>
      <c r="O17" s="11">
        <v>572.96314377744534</v>
      </c>
      <c r="P17" s="11">
        <v>567.81852796881981</v>
      </c>
      <c r="Q17" s="11">
        <v>582.09596674024385</v>
      </c>
      <c r="R17" s="11">
        <v>594.94854959952465</v>
      </c>
      <c r="S17" s="11">
        <v>611.09983237535153</v>
      </c>
      <c r="T17" s="11">
        <v>609.31653872477511</v>
      </c>
      <c r="U17" s="11">
        <v>662.63552740939963</v>
      </c>
      <c r="V17" s="11">
        <v>665.16059805117277</v>
      </c>
      <c r="W17" s="11">
        <v>684.34670849941995</v>
      </c>
      <c r="X17" s="11">
        <v>664.78073583980517</v>
      </c>
      <c r="Y17" s="11">
        <v>672.01691744446191</v>
      </c>
      <c r="Z17" s="11">
        <v>680.21151463305091</v>
      </c>
      <c r="AA17" s="11">
        <v>689.06482658115056</v>
      </c>
      <c r="AB17" s="11">
        <v>696.56541801708568</v>
      </c>
      <c r="AC17" s="11">
        <v>703.5101764986274</v>
      </c>
      <c r="AD17" s="11">
        <v>710.24258641376866</v>
      </c>
      <c r="AE17" s="11">
        <v>716.96006977908428</v>
      </c>
      <c r="AF17" s="11">
        <v>723.69654805981565</v>
      </c>
      <c r="AG17" s="11">
        <v>730.68103425305958</v>
      </c>
      <c r="AH17" s="11">
        <v>737.64894503499249</v>
      </c>
      <c r="AI17" s="11">
        <v>744.65917831959541</v>
      </c>
      <c r="AJ17" s="11">
        <v>751.75139134913161</v>
      </c>
      <c r="AK17" s="11">
        <v>758.86515384323241</v>
      </c>
      <c r="AL17" s="11">
        <v>766.0236239924069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12:67" x14ac:dyDescent="0.3">
      <c r="L18" s="232" t="str">
        <f>'Occ T3'!A20</f>
        <v>33 Protective service occupations</v>
      </c>
      <c r="M18" s="11">
        <v>341.02651426661851</v>
      </c>
      <c r="N18" s="11">
        <v>389.80871713572333</v>
      </c>
      <c r="O18" s="11">
        <v>389.0151615396656</v>
      </c>
      <c r="P18" s="11">
        <v>354.1981172313242</v>
      </c>
      <c r="Q18" s="11">
        <v>358.7565442584804</v>
      </c>
      <c r="R18" s="11">
        <v>363.34672944829595</v>
      </c>
      <c r="S18" s="11">
        <v>393.55208001302788</v>
      </c>
      <c r="T18" s="11">
        <v>377.20262806754999</v>
      </c>
      <c r="U18" s="11">
        <v>375.1784831635959</v>
      </c>
      <c r="V18" s="11">
        <v>374.45016456591787</v>
      </c>
      <c r="W18" s="11">
        <v>396.95240357529076</v>
      </c>
      <c r="X18" s="11">
        <v>441.74267758511826</v>
      </c>
      <c r="Y18" s="11">
        <v>448.60763438450493</v>
      </c>
      <c r="Z18" s="11">
        <v>456.22354014682986</v>
      </c>
      <c r="AA18" s="11">
        <v>464.16205877126271</v>
      </c>
      <c r="AB18" s="11">
        <v>471.17241079229422</v>
      </c>
      <c r="AC18" s="11">
        <v>477.94977313754032</v>
      </c>
      <c r="AD18" s="11">
        <v>484.57891134977075</v>
      </c>
      <c r="AE18" s="11">
        <v>491.28150196050257</v>
      </c>
      <c r="AF18" s="11">
        <v>498.03451239548752</v>
      </c>
      <c r="AG18" s="11">
        <v>505.03815523838978</v>
      </c>
      <c r="AH18" s="11">
        <v>512.0418045744924</v>
      </c>
      <c r="AI18" s="11">
        <v>519.11221569961697</v>
      </c>
      <c r="AJ18" s="11">
        <v>526.26410306890739</v>
      </c>
      <c r="AK18" s="11">
        <v>533.46622028601803</v>
      </c>
      <c r="AL18" s="11">
        <v>540.74077072874798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12:67" x14ac:dyDescent="0.3">
      <c r="L19" s="232" t="str">
        <f>'Occ T3'!A21</f>
        <v>34 Culture, media and sports occupations</v>
      </c>
      <c r="M19" s="11">
        <v>518.36121513758724</v>
      </c>
      <c r="N19" s="11">
        <v>547.74553935918448</v>
      </c>
      <c r="O19" s="11">
        <v>596.85480457730523</v>
      </c>
      <c r="P19" s="11">
        <v>596.48160213497829</v>
      </c>
      <c r="Q19" s="11">
        <v>663.98752860652235</v>
      </c>
      <c r="R19" s="11">
        <v>690.99398123085246</v>
      </c>
      <c r="S19" s="11">
        <v>696.4241913468536</v>
      </c>
      <c r="T19" s="11">
        <v>722.53168688595599</v>
      </c>
      <c r="U19" s="11">
        <v>717.22434737864512</v>
      </c>
      <c r="V19" s="11">
        <v>706.28772737996678</v>
      </c>
      <c r="W19" s="11">
        <v>752.69702031034967</v>
      </c>
      <c r="X19" s="11">
        <v>710.88344019664703</v>
      </c>
      <c r="Y19" s="11">
        <v>718.52720450510435</v>
      </c>
      <c r="Z19" s="11">
        <v>728.54166198874373</v>
      </c>
      <c r="AA19" s="11">
        <v>739.27023901882512</v>
      </c>
      <c r="AB19" s="11">
        <v>748.06174924159575</v>
      </c>
      <c r="AC19" s="11">
        <v>756.31846271922234</v>
      </c>
      <c r="AD19" s="11">
        <v>764.35788922208769</v>
      </c>
      <c r="AE19" s="11">
        <v>772.35680907263156</v>
      </c>
      <c r="AF19" s="11">
        <v>780.36372471023242</v>
      </c>
      <c r="AG19" s="11">
        <v>788.70894213479949</v>
      </c>
      <c r="AH19" s="11">
        <v>797.07118454743863</v>
      </c>
      <c r="AI19" s="11">
        <v>805.51513822109257</v>
      </c>
      <c r="AJ19" s="11">
        <v>814.04877313218708</v>
      </c>
      <c r="AK19" s="11">
        <v>822.61476237907436</v>
      </c>
      <c r="AL19" s="11">
        <v>831.23766135714891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12:67" x14ac:dyDescent="0.3">
      <c r="L20" s="232" t="str">
        <f>'Occ T3'!A22</f>
        <v>35 Business and public service associate professionals</v>
      </c>
      <c r="M20" s="11">
        <v>1949.2819150930341</v>
      </c>
      <c r="N20" s="11">
        <v>1818.0607325191475</v>
      </c>
      <c r="O20" s="11">
        <v>1904.4576642815009</v>
      </c>
      <c r="P20" s="11">
        <v>1906.3112229463934</v>
      </c>
      <c r="Q20" s="11">
        <v>2011.2880488729029</v>
      </c>
      <c r="R20" s="11">
        <v>2027.0470687026313</v>
      </c>
      <c r="S20" s="11">
        <v>2087.006953687297</v>
      </c>
      <c r="T20" s="11">
        <v>2123.8078987106001</v>
      </c>
      <c r="U20" s="11">
        <v>2122.9710577741503</v>
      </c>
      <c r="V20" s="11">
        <v>2184.9567602085476</v>
      </c>
      <c r="W20" s="11">
        <v>2253.7675379132588</v>
      </c>
      <c r="X20" s="11">
        <v>2123.0697632413126</v>
      </c>
      <c r="Y20" s="11">
        <v>2135.1301058704471</v>
      </c>
      <c r="Z20" s="11">
        <v>2150.4114346747065</v>
      </c>
      <c r="AA20" s="11">
        <v>2167.1005962523327</v>
      </c>
      <c r="AB20" s="11">
        <v>2179.1345505034442</v>
      </c>
      <c r="AC20" s="11">
        <v>2189.6239150459305</v>
      </c>
      <c r="AD20" s="11">
        <v>2199.2496366672726</v>
      </c>
      <c r="AE20" s="11">
        <v>2208.872690348559</v>
      </c>
      <c r="AF20" s="11">
        <v>2218.4676111513259</v>
      </c>
      <c r="AG20" s="11">
        <v>2228.8526179741079</v>
      </c>
      <c r="AH20" s="11">
        <v>2239.0230227152283</v>
      </c>
      <c r="AI20" s="11">
        <v>2249.2297437342563</v>
      </c>
      <c r="AJ20" s="11">
        <v>2259.5507745650825</v>
      </c>
      <c r="AK20" s="11">
        <v>2269.8331109209707</v>
      </c>
      <c r="AL20" s="11">
        <v>2280.1601708895205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2:67" x14ac:dyDescent="0.3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2:67" x14ac:dyDescent="0.3">
      <c r="L22" s="16" t="str">
        <f>'Occ T3'!A24</f>
        <v>Administrative and secretarial occupations</v>
      </c>
      <c r="M22" s="86">
        <f t="shared" ref="M22:P22" si="6">SUM(M23:M24)</f>
        <v>3643.7520387661757</v>
      </c>
      <c r="N22" s="86">
        <f t="shared" si="6"/>
        <v>3596.6297761111473</v>
      </c>
      <c r="O22" s="86">
        <f t="shared" si="6"/>
        <v>3634.7970731205969</v>
      </c>
      <c r="P22" s="86">
        <f t="shared" si="6"/>
        <v>3582.9472446079781</v>
      </c>
      <c r="Q22" s="86">
        <f>SUM(Q23:Q24)</f>
        <v>3695.6428292401456</v>
      </c>
      <c r="R22" s="86">
        <f t="shared" ref="R22:AL22" si="7">SUM(R23:R24)</f>
        <v>3735.6125804733579</v>
      </c>
      <c r="S22" s="86">
        <f t="shared" si="7"/>
        <v>3640.5904700918609</v>
      </c>
      <c r="T22" s="86">
        <f t="shared" si="7"/>
        <v>3760.8385528672511</v>
      </c>
      <c r="U22" s="86">
        <f t="shared" si="7"/>
        <v>3711.9891114884317</v>
      </c>
      <c r="V22" s="86">
        <f t="shared" si="7"/>
        <v>3627.5245586753754</v>
      </c>
      <c r="W22" s="86">
        <f t="shared" si="7"/>
        <v>3741.7432874574629</v>
      </c>
      <c r="X22" s="86">
        <f t="shared" si="7"/>
        <v>3603.5453662423333</v>
      </c>
      <c r="Y22" s="86">
        <f t="shared" si="7"/>
        <v>3584.1074203498629</v>
      </c>
      <c r="Z22" s="86">
        <f t="shared" si="7"/>
        <v>3568.4485629620399</v>
      </c>
      <c r="AA22" s="86">
        <f t="shared" si="7"/>
        <v>3555.0018424487125</v>
      </c>
      <c r="AB22" s="86">
        <f t="shared" si="7"/>
        <v>3533.6821923072539</v>
      </c>
      <c r="AC22" s="86">
        <f t="shared" si="7"/>
        <v>3508.8790754775332</v>
      </c>
      <c r="AD22" s="86">
        <f t="shared" si="7"/>
        <v>3482.2350509130802</v>
      </c>
      <c r="AE22" s="86">
        <f t="shared" si="7"/>
        <v>3454.9532439588647</v>
      </c>
      <c r="AF22" s="86">
        <f t="shared" si="7"/>
        <v>3427.1124581028566</v>
      </c>
      <c r="AG22" s="86">
        <f t="shared" si="7"/>
        <v>3399.8278675074939</v>
      </c>
      <c r="AH22" s="86">
        <f t="shared" si="7"/>
        <v>3371.7523555720672</v>
      </c>
      <c r="AI22" s="86">
        <f t="shared" si="7"/>
        <v>3343.1956831831194</v>
      </c>
      <c r="AJ22" s="86">
        <f t="shared" si="7"/>
        <v>3314.3279705912732</v>
      </c>
      <c r="AK22" s="86">
        <f t="shared" si="7"/>
        <v>3284.8805678832528</v>
      </c>
      <c r="AL22" s="86">
        <f t="shared" si="7"/>
        <v>3254.962815422205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2:67" x14ac:dyDescent="0.3">
      <c r="L23" s="232" t="str">
        <f>'Occ T3'!A25</f>
        <v>41 Administrative occupations</v>
      </c>
      <c r="M23" s="11">
        <v>2782.8999872171203</v>
      </c>
      <c r="N23" s="11">
        <v>2812.1732798326407</v>
      </c>
      <c r="O23" s="11">
        <v>2867.3057816159926</v>
      </c>
      <c r="P23" s="11">
        <v>2789.6320843099084</v>
      </c>
      <c r="Q23" s="11">
        <v>2893.6146865526462</v>
      </c>
      <c r="R23" s="11">
        <v>2983.2974966503325</v>
      </c>
      <c r="S23" s="11">
        <v>2919.8010078846123</v>
      </c>
      <c r="T23" s="11">
        <v>3013.8510462041559</v>
      </c>
      <c r="U23" s="11">
        <v>2955.2929958730861</v>
      </c>
      <c r="V23" s="11">
        <v>2936.1562259666393</v>
      </c>
      <c r="W23" s="11">
        <v>3065.8450120205653</v>
      </c>
      <c r="X23" s="11">
        <v>2852.279072412091</v>
      </c>
      <c r="Y23" s="11">
        <v>2844.0256100575039</v>
      </c>
      <c r="Z23" s="11">
        <v>2838.9940326569554</v>
      </c>
      <c r="AA23" s="11">
        <v>2835.7499116631006</v>
      </c>
      <c r="AB23" s="11">
        <v>2826.2804049751931</v>
      </c>
      <c r="AC23" s="11">
        <v>2814.1839965088143</v>
      </c>
      <c r="AD23" s="11">
        <v>2800.6774438149946</v>
      </c>
      <c r="AE23" s="11">
        <v>2786.7594303023511</v>
      </c>
      <c r="AF23" s="11">
        <v>2772.4723539289266</v>
      </c>
      <c r="AG23" s="11">
        <v>2758.743047939819</v>
      </c>
      <c r="AH23" s="11">
        <v>2744.4494429621286</v>
      </c>
      <c r="AI23" s="11">
        <v>2729.8556627920116</v>
      </c>
      <c r="AJ23" s="11">
        <v>2715.0921050934203</v>
      </c>
      <c r="AK23" s="11">
        <v>2699.9455231068941</v>
      </c>
      <c r="AL23" s="11">
        <v>2684.5081609977879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2:67" x14ac:dyDescent="0.3">
      <c r="L24" s="232" t="str">
        <f>'Occ T3'!A26</f>
        <v>42 Secretarial and related occupations</v>
      </c>
      <c r="M24" s="11">
        <v>860.85205154905532</v>
      </c>
      <c r="N24" s="11">
        <v>784.45649627850662</v>
      </c>
      <c r="O24" s="11">
        <v>767.49129150460431</v>
      </c>
      <c r="P24" s="11">
        <v>793.3151602980696</v>
      </c>
      <c r="Q24" s="11">
        <v>802.02814268749944</v>
      </c>
      <c r="R24" s="11">
        <v>752.31508382302525</v>
      </c>
      <c r="S24" s="11">
        <v>720.78946220724845</v>
      </c>
      <c r="T24" s="11">
        <v>746.98750666309536</v>
      </c>
      <c r="U24" s="11">
        <v>756.69611561534566</v>
      </c>
      <c r="V24" s="11">
        <v>691.36833270873626</v>
      </c>
      <c r="W24" s="11">
        <v>675.89827543689773</v>
      </c>
      <c r="X24" s="11">
        <v>751.26629383024226</v>
      </c>
      <c r="Y24" s="11">
        <v>740.0818102923588</v>
      </c>
      <c r="Z24" s="11">
        <v>729.45453030508463</v>
      </c>
      <c r="AA24" s="11">
        <v>719.25193078561176</v>
      </c>
      <c r="AB24" s="11">
        <v>707.40178733206074</v>
      </c>
      <c r="AC24" s="11">
        <v>694.69507896871903</v>
      </c>
      <c r="AD24" s="11">
        <v>681.55760709808544</v>
      </c>
      <c r="AE24" s="11">
        <v>668.1938136565135</v>
      </c>
      <c r="AF24" s="11">
        <v>654.6401041739299</v>
      </c>
      <c r="AG24" s="11">
        <v>641.08481956767491</v>
      </c>
      <c r="AH24" s="11">
        <v>627.3029126099384</v>
      </c>
      <c r="AI24" s="11">
        <v>613.34002039110771</v>
      </c>
      <c r="AJ24" s="11">
        <v>599.23586549785284</v>
      </c>
      <c r="AK24" s="11">
        <v>584.9350447763585</v>
      </c>
      <c r="AL24" s="11">
        <v>570.45465442441707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12:67" x14ac:dyDescent="0.3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2:67" x14ac:dyDescent="0.3">
      <c r="L26" s="16" t="str">
        <f>'Occ T3'!A28</f>
        <v>Skilled trades occupations</v>
      </c>
      <c r="M26" s="86">
        <f t="shared" ref="M26:P26" si="8">SUM(M27:M30)</f>
        <v>3301.5445500462142</v>
      </c>
      <c r="N26" s="86">
        <f t="shared" si="8"/>
        <v>3262.2850534862873</v>
      </c>
      <c r="O26" s="86">
        <f t="shared" si="8"/>
        <v>3248.1986355088343</v>
      </c>
      <c r="P26" s="86">
        <f t="shared" si="8"/>
        <v>3272.2384711385725</v>
      </c>
      <c r="Q26" s="86">
        <f>SUM(Q27:Q30)</f>
        <v>3452.2944816995141</v>
      </c>
      <c r="R26" s="86">
        <f t="shared" ref="R26:AL26" si="9">SUM(R27:R30)</f>
        <v>3489.0889692270907</v>
      </c>
      <c r="S26" s="86">
        <f t="shared" si="9"/>
        <v>3431.0831468747351</v>
      </c>
      <c r="T26" s="86">
        <f t="shared" si="9"/>
        <v>3460.8305872890064</v>
      </c>
      <c r="U26" s="86">
        <f>SUM(U27:U30)</f>
        <v>3353.1389548076036</v>
      </c>
      <c r="V26" s="86">
        <f t="shared" si="9"/>
        <v>3434.4565427301281</v>
      </c>
      <c r="W26" s="86">
        <f t="shared" si="9"/>
        <v>3028.9282668384967</v>
      </c>
      <c r="X26" s="86">
        <f t="shared" si="9"/>
        <v>3075.7917406089455</v>
      </c>
      <c r="Y26" s="86">
        <f t="shared" si="9"/>
        <v>3069.4462229526789</v>
      </c>
      <c r="Z26" s="86">
        <f t="shared" si="9"/>
        <v>3071.6794533727807</v>
      </c>
      <c r="AA26" s="86">
        <f t="shared" si="9"/>
        <v>3075.2503753979263</v>
      </c>
      <c r="AB26" s="86">
        <f t="shared" si="9"/>
        <v>3070.1795836971373</v>
      </c>
      <c r="AC26" s="86">
        <f t="shared" si="9"/>
        <v>3063.0236926694565</v>
      </c>
      <c r="AD26" s="86">
        <f t="shared" si="9"/>
        <v>3054.4016191912219</v>
      </c>
      <c r="AE26" s="86">
        <f t="shared" si="9"/>
        <v>3045.7660532970494</v>
      </c>
      <c r="AF26" s="86">
        <f t="shared" si="9"/>
        <v>3036.9569769213294</v>
      </c>
      <c r="AG26" s="86">
        <f t="shared" si="9"/>
        <v>3029.3777753904519</v>
      </c>
      <c r="AH26" s="86">
        <f t="shared" si="9"/>
        <v>3021.4880990144293</v>
      </c>
      <c r="AI26" s="86">
        <f t="shared" si="9"/>
        <v>3013.6508961016266</v>
      </c>
      <c r="AJ26" s="86">
        <f t="shared" si="9"/>
        <v>3005.8749155960563</v>
      </c>
      <c r="AK26" s="86">
        <f t="shared" si="9"/>
        <v>2997.9712592324031</v>
      </c>
      <c r="AL26" s="86">
        <f t="shared" si="9"/>
        <v>2990.0528560786383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2:67" x14ac:dyDescent="0.3">
      <c r="L27" s="232" t="str">
        <f>'Occ T3'!A29</f>
        <v>51 Skilled agricultural and related trades</v>
      </c>
      <c r="M27" s="11">
        <v>372.68142471686542</v>
      </c>
      <c r="N27" s="11">
        <v>369.43723270583808</v>
      </c>
      <c r="O27" s="11">
        <v>389.71720937016619</v>
      </c>
      <c r="P27" s="11">
        <v>371.16418450303729</v>
      </c>
      <c r="Q27" s="11">
        <v>409.069862661917</v>
      </c>
      <c r="R27" s="11">
        <v>404.75546845929</v>
      </c>
      <c r="S27" s="11">
        <v>401.36743769005466</v>
      </c>
      <c r="T27" s="11">
        <v>389.66482899523709</v>
      </c>
      <c r="U27" s="11">
        <v>383.7862937907708</v>
      </c>
      <c r="V27" s="11">
        <v>408.46552052824893</v>
      </c>
      <c r="W27" s="11">
        <v>376.47025514650636</v>
      </c>
      <c r="X27" s="11">
        <v>369.04352297583614</v>
      </c>
      <c r="Y27" s="11">
        <v>372.43881117406102</v>
      </c>
      <c r="Z27" s="11">
        <v>377.23363874696412</v>
      </c>
      <c r="AA27" s="11">
        <v>382.29788366921599</v>
      </c>
      <c r="AB27" s="11">
        <v>386.22303951218908</v>
      </c>
      <c r="AC27" s="11">
        <v>389.89972854003207</v>
      </c>
      <c r="AD27" s="11">
        <v>393.43691507294488</v>
      </c>
      <c r="AE27" s="11">
        <v>396.98248281301363</v>
      </c>
      <c r="AF27" s="11">
        <v>400.53261781625474</v>
      </c>
      <c r="AG27" s="11">
        <v>404.27892840518257</v>
      </c>
      <c r="AH27" s="11">
        <v>408.03618049841612</v>
      </c>
      <c r="AI27" s="11">
        <v>411.84424527128238</v>
      </c>
      <c r="AJ27" s="11">
        <v>415.70093595043659</v>
      </c>
      <c r="AK27" s="11">
        <v>419.57914225781457</v>
      </c>
      <c r="AL27" s="11">
        <v>423.49261595568004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2:67" x14ac:dyDescent="0.3">
      <c r="L28" s="232" t="str">
        <f>'Occ T3'!A30</f>
        <v>52 Skilled metal, electrical and electronic trades</v>
      </c>
      <c r="M28" s="11">
        <v>1146.3396774364326</v>
      </c>
      <c r="N28" s="11">
        <v>1176.8723853051563</v>
      </c>
      <c r="O28" s="11">
        <v>1121.8207357763852</v>
      </c>
      <c r="P28" s="11">
        <v>1155.5603085853638</v>
      </c>
      <c r="Q28" s="11">
        <v>1231.7596617025467</v>
      </c>
      <c r="R28" s="11">
        <v>1243.0037577536757</v>
      </c>
      <c r="S28" s="11">
        <v>1229.8401049100603</v>
      </c>
      <c r="T28" s="11">
        <v>1209.2609155938724</v>
      </c>
      <c r="U28" s="11">
        <v>1198.6463047252923</v>
      </c>
      <c r="V28" s="11">
        <v>1262.3427682116287</v>
      </c>
      <c r="W28" s="11">
        <v>1101.9773582511193</v>
      </c>
      <c r="X28" s="11">
        <v>1106.7654785658628</v>
      </c>
      <c r="Y28" s="11">
        <v>1101.4653870286029</v>
      </c>
      <c r="Z28" s="11">
        <v>1098.6494805811556</v>
      </c>
      <c r="AA28" s="11">
        <v>1096.2446762949071</v>
      </c>
      <c r="AB28" s="11">
        <v>1091.030578805357</v>
      </c>
      <c r="AC28" s="11">
        <v>1085.1637125346167</v>
      </c>
      <c r="AD28" s="11">
        <v>1078.7762283098139</v>
      </c>
      <c r="AE28" s="11">
        <v>1072.443652877321</v>
      </c>
      <c r="AF28" s="11">
        <v>1066.0799155453822</v>
      </c>
      <c r="AG28" s="11">
        <v>1060.1736174950684</v>
      </c>
      <c r="AH28" s="11">
        <v>1054.1433673700844</v>
      </c>
      <c r="AI28" s="11">
        <v>1048.1363880401407</v>
      </c>
      <c r="AJ28" s="11">
        <v>1042.1604472528211</v>
      </c>
      <c r="AK28" s="11">
        <v>1036.1545975238691</v>
      </c>
      <c r="AL28" s="11">
        <v>1030.1623941830187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2:67" x14ac:dyDescent="0.3">
      <c r="L29" s="232" t="str">
        <f>'Occ T3'!A31</f>
        <v>53 Skilled construction and building trades</v>
      </c>
      <c r="M29" s="11">
        <v>1118.8913624076717</v>
      </c>
      <c r="N29" s="11">
        <v>1055.7249227460904</v>
      </c>
      <c r="O29" s="11">
        <v>1027.6120445036961</v>
      </c>
      <c r="P29" s="11">
        <v>1042.4185383423762</v>
      </c>
      <c r="Q29" s="11">
        <v>1077.7465782774261</v>
      </c>
      <c r="R29" s="11">
        <v>1085.8029793612313</v>
      </c>
      <c r="S29" s="11">
        <v>1050.7167430307413</v>
      </c>
      <c r="T29" s="11">
        <v>1100.1664387187295</v>
      </c>
      <c r="U29" s="11">
        <v>1048.9716297138116</v>
      </c>
      <c r="V29" s="11">
        <v>1074.3217952996649</v>
      </c>
      <c r="W29" s="11">
        <v>902.6086997361848</v>
      </c>
      <c r="X29" s="11">
        <v>959.37617792221397</v>
      </c>
      <c r="Y29" s="11">
        <v>954.35818818173755</v>
      </c>
      <c r="Z29" s="11">
        <v>952.70820937283088</v>
      </c>
      <c r="AA29" s="11">
        <v>951.26777759760228</v>
      </c>
      <c r="AB29" s="11">
        <v>946.65514273475333</v>
      </c>
      <c r="AC29" s="11">
        <v>941.34703496755481</v>
      </c>
      <c r="AD29" s="11">
        <v>935.5075925807372</v>
      </c>
      <c r="AE29" s="11">
        <v>929.63138689918719</v>
      </c>
      <c r="AF29" s="11">
        <v>923.64251010283908</v>
      </c>
      <c r="AG29" s="11">
        <v>918.01217269941492</v>
      </c>
      <c r="AH29" s="11">
        <v>912.25193902561421</v>
      </c>
      <c r="AI29" s="11">
        <v>906.47191002690886</v>
      </c>
      <c r="AJ29" s="11">
        <v>900.65625393080359</v>
      </c>
      <c r="AK29" s="11">
        <v>894.75172315633677</v>
      </c>
      <c r="AL29" s="11">
        <v>888.79123577476093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2:67" x14ac:dyDescent="0.3">
      <c r="L30" s="232" t="str">
        <f>'Occ T3'!A32</f>
        <v>54 Textiles, printing and other skilled trades</v>
      </c>
      <c r="M30" s="11">
        <v>663.63208548524437</v>
      </c>
      <c r="N30" s="11">
        <v>660.25051272920223</v>
      </c>
      <c r="O30" s="11">
        <v>709.04864585858684</v>
      </c>
      <c r="P30" s="11">
        <v>703.09543970779532</v>
      </c>
      <c r="Q30" s="11">
        <v>733.71837905762425</v>
      </c>
      <c r="R30" s="11">
        <v>755.52676365289369</v>
      </c>
      <c r="S30" s="11">
        <v>749.15886124387862</v>
      </c>
      <c r="T30" s="11">
        <v>761.73840398116715</v>
      </c>
      <c r="U30" s="11">
        <v>721.73472657772879</v>
      </c>
      <c r="V30" s="11">
        <v>689.32645869058581</v>
      </c>
      <c r="W30" s="11">
        <v>647.87195370468623</v>
      </c>
      <c r="X30" s="11">
        <v>640.60656114503263</v>
      </c>
      <c r="Y30" s="11">
        <v>641.18383656827723</v>
      </c>
      <c r="Z30" s="11">
        <v>643.0881246718302</v>
      </c>
      <c r="AA30" s="11">
        <v>645.4400378362011</v>
      </c>
      <c r="AB30" s="11">
        <v>646.27082264483795</v>
      </c>
      <c r="AC30" s="11">
        <v>646.61321662725265</v>
      </c>
      <c r="AD30" s="11">
        <v>646.68088322772621</v>
      </c>
      <c r="AE30" s="11">
        <v>646.70853070752764</v>
      </c>
      <c r="AF30" s="11">
        <v>646.70193345685368</v>
      </c>
      <c r="AG30" s="11">
        <v>646.91305679078607</v>
      </c>
      <c r="AH30" s="11">
        <v>647.05661212031487</v>
      </c>
      <c r="AI30" s="11">
        <v>647.19835276329468</v>
      </c>
      <c r="AJ30" s="11">
        <v>647.35727846199495</v>
      </c>
      <c r="AK30" s="11">
        <v>647.48579629438245</v>
      </c>
      <c r="AL30" s="11">
        <v>647.60661016517849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12:67" x14ac:dyDescent="0.3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12:67" x14ac:dyDescent="0.3">
      <c r="L32" s="16" t="str">
        <f>'Occ T3'!A34</f>
        <v>Caring, leisure and other service occupations</v>
      </c>
      <c r="M32" s="86">
        <f>SUM(M33:M35)</f>
        <v>2942.3312190819966</v>
      </c>
      <c r="N32" s="86">
        <f t="shared" ref="N32:AL32" si="10">SUM(N33:N35)</f>
        <v>2864.6344133414882</v>
      </c>
      <c r="O32" s="86">
        <f t="shared" si="10"/>
        <v>2882.9946338260415</v>
      </c>
      <c r="P32" s="86">
        <f t="shared" si="10"/>
        <v>2947.9329118820428</v>
      </c>
      <c r="Q32" s="86">
        <f t="shared" si="10"/>
        <v>3082.5920329228502</v>
      </c>
      <c r="R32" s="86">
        <f t="shared" si="10"/>
        <v>3148.6020297528362</v>
      </c>
      <c r="S32" s="86">
        <f t="shared" si="10"/>
        <v>3232.7818474477413</v>
      </c>
      <c r="T32" s="86">
        <f t="shared" si="10"/>
        <v>3220.7333636027597</v>
      </c>
      <c r="U32" s="86">
        <f t="shared" si="10"/>
        <v>3159.3741441184889</v>
      </c>
      <c r="V32" s="86">
        <f t="shared" si="10"/>
        <v>3251.1744182255684</v>
      </c>
      <c r="W32" s="86">
        <f t="shared" si="10"/>
        <v>3133.5407600361896</v>
      </c>
      <c r="X32" s="86">
        <f t="shared" si="10"/>
        <v>3226.1278638102531</v>
      </c>
      <c r="Y32" s="86">
        <f t="shared" si="10"/>
        <v>3255.5580298299437</v>
      </c>
      <c r="Z32" s="86">
        <f t="shared" si="10"/>
        <v>3289.9240244310822</v>
      </c>
      <c r="AA32" s="86">
        <f t="shared" si="10"/>
        <v>3327.4882494932181</v>
      </c>
      <c r="AB32" s="86">
        <f t="shared" si="10"/>
        <v>3358.3390070352661</v>
      </c>
      <c r="AC32" s="86">
        <f t="shared" si="10"/>
        <v>3386.3923374132214</v>
      </c>
      <c r="AD32" s="86">
        <f t="shared" si="10"/>
        <v>3413.3441038548972</v>
      </c>
      <c r="AE32" s="86">
        <f t="shared" si="10"/>
        <v>3440.1204811901307</v>
      </c>
      <c r="AF32" s="86">
        <f t="shared" si="10"/>
        <v>3466.9036300178254</v>
      </c>
      <c r="AG32" s="86">
        <f t="shared" si="10"/>
        <v>3494.8054087755254</v>
      </c>
      <c r="AH32" s="86">
        <f t="shared" si="10"/>
        <v>3522.5683762996591</v>
      </c>
      <c r="AI32" s="86">
        <f t="shared" si="10"/>
        <v>3550.4639215566099</v>
      </c>
      <c r="AJ32" s="86">
        <f t="shared" si="10"/>
        <v>3578.67981334968</v>
      </c>
      <c r="AK32" s="86">
        <f t="shared" si="10"/>
        <v>3606.9219294180302</v>
      </c>
      <c r="AL32" s="86">
        <f t="shared" si="10"/>
        <v>3635.2994154397293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12:67" x14ac:dyDescent="0.3">
      <c r="L33" s="232" t="str">
        <f>'Occ T3'!A35</f>
        <v>61 Caring personal service occupations</v>
      </c>
      <c r="M33" s="11">
        <v>2234.118402916512</v>
      </c>
      <c r="N33" s="11">
        <v>2123.3168511329086</v>
      </c>
      <c r="O33" s="11">
        <v>2147.1489391248679</v>
      </c>
      <c r="P33" s="11">
        <v>2211.6562230382942</v>
      </c>
      <c r="Q33" s="11">
        <v>2328.1590244618183</v>
      </c>
      <c r="R33" s="11">
        <v>2378.4874023039993</v>
      </c>
      <c r="S33" s="11">
        <v>2454.6023315871307</v>
      </c>
      <c r="T33" s="11">
        <v>2438.6247070958616</v>
      </c>
      <c r="U33" s="11">
        <v>2386.8727624604112</v>
      </c>
      <c r="V33" s="11">
        <v>2425.9290474878148</v>
      </c>
      <c r="W33" s="11">
        <v>2366.0754145696519</v>
      </c>
      <c r="X33" s="11">
        <v>2468.6237055749966</v>
      </c>
      <c r="Y33" s="11">
        <v>2494.9603344765787</v>
      </c>
      <c r="Z33" s="11">
        <v>2524.560382669134</v>
      </c>
      <c r="AA33" s="11">
        <v>2556.6094652889924</v>
      </c>
      <c r="AB33" s="11">
        <v>2583.6927520604086</v>
      </c>
      <c r="AC33" s="11">
        <v>2608.6330479618314</v>
      </c>
      <c r="AD33" s="11">
        <v>2632.7448507559811</v>
      </c>
      <c r="AE33" s="11">
        <v>2656.7834106882719</v>
      </c>
      <c r="AF33" s="11">
        <v>2680.8682876520179</v>
      </c>
      <c r="AG33" s="11">
        <v>2705.8314506566162</v>
      </c>
      <c r="AH33" s="11">
        <v>2730.7078122012726</v>
      </c>
      <c r="AI33" s="11">
        <v>2755.7101940053835</v>
      </c>
      <c r="AJ33" s="11">
        <v>2780.9970589889108</v>
      </c>
      <c r="AK33" s="11">
        <v>2806.33948254509</v>
      </c>
      <c r="AL33" s="11">
        <v>2831.8232058057956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2:67" x14ac:dyDescent="0.3">
      <c r="L34" s="232" t="str">
        <f>'Occ T3'!A36</f>
        <v>62 Leisure, travel and related personal service occupations</v>
      </c>
      <c r="M34" s="11">
        <v>656.79164620785082</v>
      </c>
      <c r="N34" s="11">
        <v>704.64925054965511</v>
      </c>
      <c r="O34" s="11">
        <v>699.64546766528497</v>
      </c>
      <c r="P34" s="11">
        <v>703.48276171926329</v>
      </c>
      <c r="Q34" s="11">
        <v>716.95722371179363</v>
      </c>
      <c r="R34" s="11">
        <v>734.9431095897952</v>
      </c>
      <c r="S34" s="11">
        <v>747.89926537161773</v>
      </c>
      <c r="T34" s="11">
        <v>749.96363896262619</v>
      </c>
      <c r="U34" s="11">
        <v>739.66471335184565</v>
      </c>
      <c r="V34" s="11">
        <v>794.74477127636385</v>
      </c>
      <c r="W34" s="11">
        <v>729.01453888132892</v>
      </c>
      <c r="X34" s="11">
        <v>727.26463756958947</v>
      </c>
      <c r="Y34" s="11">
        <v>730.08980730525673</v>
      </c>
      <c r="Z34" s="11">
        <v>734.54666573387749</v>
      </c>
      <c r="AA34" s="11">
        <v>739.73559914725888</v>
      </c>
      <c r="AB34" s="11">
        <v>743.24387513858949</v>
      </c>
      <c r="AC34" s="11">
        <v>746.11998811927367</v>
      </c>
      <c r="AD34" s="11">
        <v>748.73795876363397</v>
      </c>
      <c r="AE34" s="11">
        <v>751.25471522810074</v>
      </c>
      <c r="AF34" s="11">
        <v>753.73395281874832</v>
      </c>
      <c r="AG34" s="11">
        <v>756.44305029455279</v>
      </c>
      <c r="AH34" s="11">
        <v>759.10534799151958</v>
      </c>
      <c r="AI34" s="11">
        <v>761.77526192608434</v>
      </c>
      <c r="AJ34" s="11">
        <v>764.48110784680375</v>
      </c>
      <c r="AK34" s="11">
        <v>767.15975992426763</v>
      </c>
      <c r="AL34" s="11">
        <v>769.83325122450708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2:67" x14ac:dyDescent="0.3">
      <c r="L35" s="232" t="str">
        <f>'Occ T3'!A37</f>
        <v>63 Community and civil enforcement occupations</v>
      </c>
      <c r="M35" s="11">
        <v>51.421169957633786</v>
      </c>
      <c r="N35" s="11">
        <v>36.668311658924381</v>
      </c>
      <c r="O35" s="11">
        <v>36.200227035888965</v>
      </c>
      <c r="P35" s="11">
        <v>32.793927124485236</v>
      </c>
      <c r="Q35" s="11">
        <v>37.475784749238386</v>
      </c>
      <c r="R35" s="11">
        <v>35.1715178590417</v>
      </c>
      <c r="S35" s="11">
        <v>30.280250488992671</v>
      </c>
      <c r="T35" s="11">
        <v>32.145017544271994</v>
      </c>
      <c r="U35" s="11">
        <v>32.836668306231914</v>
      </c>
      <c r="V35" s="11">
        <v>30.500599461389967</v>
      </c>
      <c r="W35" s="11">
        <v>38.450806585208952</v>
      </c>
      <c r="X35" s="11">
        <v>30.239520665666785</v>
      </c>
      <c r="Y35" s="11">
        <v>30.507888048108434</v>
      </c>
      <c r="Z35" s="11">
        <v>30.816976028070506</v>
      </c>
      <c r="AA35" s="11">
        <v>31.143185056966907</v>
      </c>
      <c r="AB35" s="11">
        <v>31.402379836268015</v>
      </c>
      <c r="AC35" s="11">
        <v>31.639301332116027</v>
      </c>
      <c r="AD35" s="11">
        <v>31.861294335281709</v>
      </c>
      <c r="AE35" s="11">
        <v>32.082355273757926</v>
      </c>
      <c r="AF35" s="11">
        <v>32.301389547059124</v>
      </c>
      <c r="AG35" s="11">
        <v>32.530907824356341</v>
      </c>
      <c r="AH35" s="11">
        <v>32.755216106867202</v>
      </c>
      <c r="AI35" s="11">
        <v>32.978465625141808</v>
      </c>
      <c r="AJ35" s="11">
        <v>33.201646513965507</v>
      </c>
      <c r="AK35" s="11">
        <v>33.422686948672606</v>
      </c>
      <c r="AL35" s="11">
        <v>33.642958409426491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2:67" x14ac:dyDescent="0.3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2:67" x14ac:dyDescent="0.3">
      <c r="L37" s="16" t="str">
        <f>'Occ T3'!A39</f>
        <v>Sales and customer service occupations</v>
      </c>
      <c r="M37" s="86">
        <f t="shared" ref="M37:P37" si="11">SUM(M38:M39)</f>
        <v>2647.9579321861033</v>
      </c>
      <c r="N37" s="86">
        <f t="shared" si="11"/>
        <v>2794.2101293504315</v>
      </c>
      <c r="O37" s="86">
        <f t="shared" si="11"/>
        <v>2888.7853570171874</v>
      </c>
      <c r="P37" s="86">
        <f t="shared" si="11"/>
        <v>2821.1457126188434</v>
      </c>
      <c r="Q37" s="86">
        <f>SUM(Q38:Q39)</f>
        <v>2869.2872819761569</v>
      </c>
      <c r="R37" s="86">
        <f t="shared" ref="R37:AL37" si="12">SUM(R38:R39)</f>
        <v>2887.2607292090461</v>
      </c>
      <c r="S37" s="86">
        <f t="shared" si="12"/>
        <v>2931.3528025370965</v>
      </c>
      <c r="T37" s="86">
        <f t="shared" si="12"/>
        <v>2902.2628416992093</v>
      </c>
      <c r="U37" s="86">
        <f t="shared" si="12"/>
        <v>2862.4922552374483</v>
      </c>
      <c r="V37" s="86">
        <f t="shared" si="12"/>
        <v>2817.2683829511043</v>
      </c>
      <c r="W37" s="86">
        <f t="shared" si="12"/>
        <v>2787.0869152161558</v>
      </c>
      <c r="X37" s="86">
        <f t="shared" si="12"/>
        <v>2773.6999695713889</v>
      </c>
      <c r="Y37" s="86">
        <f t="shared" si="12"/>
        <v>2778.5495393158262</v>
      </c>
      <c r="Z37" s="86">
        <f t="shared" si="12"/>
        <v>2787.678404289632</v>
      </c>
      <c r="AA37" s="86">
        <f t="shared" si="12"/>
        <v>2799.0448158706813</v>
      </c>
      <c r="AB37" s="86">
        <f t="shared" si="12"/>
        <v>2804.3168749890683</v>
      </c>
      <c r="AC37" s="86">
        <f t="shared" si="12"/>
        <v>2807.0392773337021</v>
      </c>
      <c r="AD37" s="86">
        <f t="shared" si="12"/>
        <v>2808.4299300510279</v>
      </c>
      <c r="AE37" s="86">
        <f t="shared" si="12"/>
        <v>2809.5087325478698</v>
      </c>
      <c r="AF37" s="86">
        <f t="shared" si="12"/>
        <v>2810.3365476194758</v>
      </c>
      <c r="AG37" s="86">
        <f t="shared" si="12"/>
        <v>2811.8414244326941</v>
      </c>
      <c r="AH37" s="86">
        <f t="shared" si="12"/>
        <v>2812.981276467262</v>
      </c>
      <c r="AI37" s="86">
        <f t="shared" si="12"/>
        <v>2813.9765357648425</v>
      </c>
      <c r="AJ37" s="86">
        <f t="shared" si="12"/>
        <v>2814.9969574584879</v>
      </c>
      <c r="AK37" s="86">
        <f t="shared" si="12"/>
        <v>2815.7836015028684</v>
      </c>
      <c r="AL37" s="86">
        <f t="shared" si="12"/>
        <v>2816.4265212171349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2:67" x14ac:dyDescent="0.3">
      <c r="L38" s="232" t="str">
        <f>'Occ T3'!A40</f>
        <v>71 Sales occupations</v>
      </c>
      <c r="M38" s="11">
        <v>2151.3388054461584</v>
      </c>
      <c r="N38" s="11">
        <v>2297.9497143494114</v>
      </c>
      <c r="O38" s="11">
        <v>2383.5195457048699</v>
      </c>
      <c r="P38" s="11">
        <v>2316.0406809888959</v>
      </c>
      <c r="Q38" s="11">
        <v>2376.3132084002809</v>
      </c>
      <c r="R38" s="11">
        <v>2342.1745624620294</v>
      </c>
      <c r="S38" s="11">
        <v>2397.1628960108774</v>
      </c>
      <c r="T38" s="11">
        <v>2319.3905059165395</v>
      </c>
      <c r="U38" s="11">
        <v>2262.9008407576557</v>
      </c>
      <c r="V38" s="11">
        <v>2227.4479501027699</v>
      </c>
      <c r="W38" s="11">
        <v>2182.3387584985444</v>
      </c>
      <c r="X38" s="11">
        <v>2044.257470378501</v>
      </c>
      <c r="Y38" s="11">
        <v>2037.6792537425688</v>
      </c>
      <c r="Z38" s="11">
        <v>2034.3115102970228</v>
      </c>
      <c r="AA38" s="11">
        <v>2032.5100429319477</v>
      </c>
      <c r="AB38" s="11">
        <v>2026.1126707279607</v>
      </c>
      <c r="AC38" s="11">
        <v>2017.7259697196992</v>
      </c>
      <c r="AD38" s="11">
        <v>2008.2822004235898</v>
      </c>
      <c r="AE38" s="11">
        <v>1998.5078153088975</v>
      </c>
      <c r="AF38" s="11">
        <v>1988.4598873568295</v>
      </c>
      <c r="AG38" s="11">
        <v>1978.7861312282471</v>
      </c>
      <c r="AH38" s="11">
        <v>1968.7761238292824</v>
      </c>
      <c r="AI38" s="11">
        <v>1958.5718546101023</v>
      </c>
      <c r="AJ38" s="11">
        <v>1948.2985739154415</v>
      </c>
      <c r="AK38" s="11">
        <v>1937.7666954551228</v>
      </c>
      <c r="AL38" s="11">
        <v>1927.0365395209469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2:67" x14ac:dyDescent="0.3">
      <c r="L39" s="232" t="str">
        <f>'Occ T3'!A41</f>
        <v>72 Customer service occupations</v>
      </c>
      <c r="M39" s="11">
        <v>496.61912673994505</v>
      </c>
      <c r="N39" s="11">
        <v>496.26041500102008</v>
      </c>
      <c r="O39" s="11">
        <v>505.26581131231757</v>
      </c>
      <c r="P39" s="11">
        <v>505.10503162994729</v>
      </c>
      <c r="Q39" s="11">
        <v>492.97407357587593</v>
      </c>
      <c r="R39" s="11">
        <v>545.0861667470167</v>
      </c>
      <c r="S39" s="11">
        <v>534.18990652621926</v>
      </c>
      <c r="T39" s="11">
        <v>582.87233578266967</v>
      </c>
      <c r="U39" s="11">
        <v>599.59141447979277</v>
      </c>
      <c r="V39" s="11">
        <v>589.82043284833424</v>
      </c>
      <c r="W39" s="11">
        <v>604.74815671761121</v>
      </c>
      <c r="X39" s="11">
        <v>729.44249919288802</v>
      </c>
      <c r="Y39" s="11">
        <v>740.87028557325755</v>
      </c>
      <c r="Z39" s="11">
        <v>753.36689399260922</v>
      </c>
      <c r="AA39" s="11">
        <v>766.53477293873334</v>
      </c>
      <c r="AB39" s="11">
        <v>778.20420426110786</v>
      </c>
      <c r="AC39" s="11">
        <v>789.31330761400284</v>
      </c>
      <c r="AD39" s="11">
        <v>800.14772962743825</v>
      </c>
      <c r="AE39" s="11">
        <v>811.00091723897231</v>
      </c>
      <c r="AF39" s="11">
        <v>821.8766602626464</v>
      </c>
      <c r="AG39" s="11">
        <v>833.05529320444691</v>
      </c>
      <c r="AH39" s="11">
        <v>844.2051526379795</v>
      </c>
      <c r="AI39" s="11">
        <v>855.40468115474027</v>
      </c>
      <c r="AJ39" s="11">
        <v>866.69838354304648</v>
      </c>
      <c r="AK39" s="11">
        <v>878.01690604774547</v>
      </c>
      <c r="AL39" s="11">
        <v>889.38998169618799</v>
      </c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2:67" x14ac:dyDescent="0.3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2:67" x14ac:dyDescent="0.3">
      <c r="L41" s="16" t="str">
        <f>'Occ T3'!A43</f>
        <v>Process, plant and machine operatives</v>
      </c>
      <c r="M41" s="86">
        <f t="shared" ref="M41:P41" si="13">SUM(M42:M43)</f>
        <v>2031.1211070266936</v>
      </c>
      <c r="N41" s="86">
        <f t="shared" si="13"/>
        <v>1985.4590883764861</v>
      </c>
      <c r="O41" s="86">
        <f t="shared" si="13"/>
        <v>1983.3400950300593</v>
      </c>
      <c r="P41" s="86">
        <f t="shared" si="13"/>
        <v>2000.0606561212223</v>
      </c>
      <c r="Q41" s="86">
        <f>SUM(Q42:Q43)</f>
        <v>2093.3133222264719</v>
      </c>
      <c r="R41" s="86">
        <f t="shared" ref="R41:AL41" si="14">SUM(R42:R43)</f>
        <v>2113.0176188901855</v>
      </c>
      <c r="S41" s="86">
        <f t="shared" si="14"/>
        <v>2188.4618969399908</v>
      </c>
      <c r="T41" s="86">
        <f t="shared" si="14"/>
        <v>2200.4993414120599</v>
      </c>
      <c r="U41" s="86">
        <f t="shared" si="14"/>
        <v>2244.296302520881</v>
      </c>
      <c r="V41" s="86">
        <f t="shared" si="14"/>
        <v>2208.8202039417993</v>
      </c>
      <c r="W41" s="86">
        <f t="shared" si="14"/>
        <v>1957.2722281630472</v>
      </c>
      <c r="X41" s="86">
        <f t="shared" si="14"/>
        <v>2191.579975356638</v>
      </c>
      <c r="Y41" s="86">
        <f t="shared" si="14"/>
        <v>2190.8931066493665</v>
      </c>
      <c r="Z41" s="86">
        <f t="shared" si="14"/>
        <v>2195.191958563908</v>
      </c>
      <c r="AA41" s="86">
        <f t="shared" si="14"/>
        <v>2200.5905195226446</v>
      </c>
      <c r="AB41" s="86">
        <f t="shared" si="14"/>
        <v>2200.4595251607248</v>
      </c>
      <c r="AC41" s="86">
        <f t="shared" si="14"/>
        <v>2198.882651074453</v>
      </c>
      <c r="AD41" s="86">
        <f t="shared" si="14"/>
        <v>2196.2640442440502</v>
      </c>
      <c r="AE41" s="86">
        <f t="shared" si="14"/>
        <v>2193.6645347517456</v>
      </c>
      <c r="AF41" s="86">
        <f t="shared" si="14"/>
        <v>2190.9715448156494</v>
      </c>
      <c r="AG41" s="86">
        <f t="shared" si="14"/>
        <v>2189.1328544980797</v>
      </c>
      <c r="AH41" s="86">
        <f t="shared" si="14"/>
        <v>2187.0548828863912</v>
      </c>
      <c r="AI41" s="86">
        <f t="shared" si="14"/>
        <v>2185.0055327428327</v>
      </c>
      <c r="AJ41" s="86">
        <f t="shared" si="14"/>
        <v>2183.0245171031847</v>
      </c>
      <c r="AK41" s="86">
        <f t="shared" si="14"/>
        <v>2180.9646225426586</v>
      </c>
      <c r="AL41" s="86">
        <f t="shared" si="14"/>
        <v>2178.9115502901782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12:67" x14ac:dyDescent="0.3">
      <c r="L42" s="232" t="str">
        <f>'Occ T3'!A44</f>
        <v>81 Process, plant and machine operatives</v>
      </c>
      <c r="M42" s="11">
        <v>862.05490244757755</v>
      </c>
      <c r="N42" s="11">
        <v>815.47607975553296</v>
      </c>
      <c r="O42" s="11">
        <v>835.41406664908664</v>
      </c>
      <c r="P42" s="11">
        <v>867.15379401619293</v>
      </c>
      <c r="Q42" s="11">
        <v>890.03188226598797</v>
      </c>
      <c r="R42" s="11">
        <v>904.53857920670657</v>
      </c>
      <c r="S42" s="11">
        <v>891.91213941011233</v>
      </c>
      <c r="T42" s="11">
        <v>919.02857627462902</v>
      </c>
      <c r="U42" s="11">
        <v>923.45130632905523</v>
      </c>
      <c r="V42" s="11">
        <v>870.99992587765519</v>
      </c>
      <c r="W42" s="11">
        <v>765.07385705408774</v>
      </c>
      <c r="X42" s="11">
        <v>919.73730419989374</v>
      </c>
      <c r="Y42" s="11">
        <v>919.13628056766754</v>
      </c>
      <c r="Z42" s="11">
        <v>920.25105226023834</v>
      </c>
      <c r="AA42" s="11">
        <v>921.83584732621989</v>
      </c>
      <c r="AB42" s="11">
        <v>921.25332068124919</v>
      </c>
      <c r="AC42" s="11">
        <v>920.0586448006261</v>
      </c>
      <c r="AD42" s="11">
        <v>918.44093239291817</v>
      </c>
      <c r="AE42" s="11">
        <v>916.83082593531549</v>
      </c>
      <c r="AF42" s="11">
        <v>915.18579037247059</v>
      </c>
      <c r="AG42" s="11">
        <v>913.88644841705479</v>
      </c>
      <c r="AH42" s="11">
        <v>912.4743477410143</v>
      </c>
      <c r="AI42" s="11">
        <v>911.06462988210455</v>
      </c>
      <c r="AJ42" s="11">
        <v>909.67787624539483</v>
      </c>
      <c r="AK42" s="11">
        <v>908.25501788646193</v>
      </c>
      <c r="AL42" s="11">
        <v>906.8322616503707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12:67" x14ac:dyDescent="0.3">
      <c r="L43" s="232" t="str">
        <f>'Occ T3'!A45</f>
        <v>82 Transport and mobile machine drivers and operatives</v>
      </c>
      <c r="M43" s="11">
        <v>1169.0662045791159</v>
      </c>
      <c r="N43" s="11">
        <v>1169.9830086209531</v>
      </c>
      <c r="O43" s="11">
        <v>1147.9260283809726</v>
      </c>
      <c r="P43" s="11">
        <v>1132.9068621050294</v>
      </c>
      <c r="Q43" s="11">
        <v>1203.281439960484</v>
      </c>
      <c r="R43" s="11">
        <v>1208.479039683479</v>
      </c>
      <c r="S43" s="11">
        <v>1296.5497575298782</v>
      </c>
      <c r="T43" s="11">
        <v>1281.470765137431</v>
      </c>
      <c r="U43" s="11">
        <v>1320.8449961918257</v>
      </c>
      <c r="V43" s="11">
        <v>1337.8202780641443</v>
      </c>
      <c r="W43" s="11">
        <v>1192.1983711089595</v>
      </c>
      <c r="X43" s="11">
        <v>1271.842671156744</v>
      </c>
      <c r="Y43" s="11">
        <v>1271.7568260816988</v>
      </c>
      <c r="Z43" s="11">
        <v>1274.9409063036699</v>
      </c>
      <c r="AA43" s="11">
        <v>1278.7546721964247</v>
      </c>
      <c r="AB43" s="11">
        <v>1279.2062044794754</v>
      </c>
      <c r="AC43" s="11">
        <v>1278.8240062738269</v>
      </c>
      <c r="AD43" s="11">
        <v>1277.8231118511319</v>
      </c>
      <c r="AE43" s="11">
        <v>1276.8337088164301</v>
      </c>
      <c r="AF43" s="11">
        <v>1275.7857544431786</v>
      </c>
      <c r="AG43" s="11">
        <v>1275.2464060810248</v>
      </c>
      <c r="AH43" s="11">
        <v>1274.5805351453766</v>
      </c>
      <c r="AI43" s="11">
        <v>1273.9409028607279</v>
      </c>
      <c r="AJ43" s="11">
        <v>1273.3466408577897</v>
      </c>
      <c r="AK43" s="11">
        <v>1272.7096046561969</v>
      </c>
      <c r="AL43" s="11">
        <v>1272.0792886398074</v>
      </c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12:67" x14ac:dyDescent="0.3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2:67" x14ac:dyDescent="0.3">
      <c r="L45" s="16" t="str">
        <f>'Occ T3'!A47</f>
        <v>Elementary occupations</v>
      </c>
      <c r="M45" s="86">
        <f t="shared" ref="M45:P45" si="15">SUM(M46:M47)</f>
        <v>3836.6735164135544</v>
      </c>
      <c r="N45" s="86">
        <f t="shared" si="15"/>
        <v>3711.0812137099747</v>
      </c>
      <c r="O45" s="86">
        <f t="shared" si="15"/>
        <v>3714.8888601410872</v>
      </c>
      <c r="P45" s="86">
        <f t="shared" si="15"/>
        <v>3728.6312898395481</v>
      </c>
      <c r="Q45" s="86">
        <f>SUM(Q46:Q47)</f>
        <v>3904.2364067765388</v>
      </c>
      <c r="R45" s="86">
        <f t="shared" ref="R45:AL45" si="16">SUM(R46:R47)</f>
        <v>3972.0256462651741</v>
      </c>
      <c r="S45" s="86">
        <f t="shared" si="16"/>
        <v>3970.7138024364572</v>
      </c>
      <c r="T45" s="86">
        <f t="shared" si="16"/>
        <v>3915.9132448048817</v>
      </c>
      <c r="U45" s="86">
        <f t="shared" si="16"/>
        <v>3902.3948543148235</v>
      </c>
      <c r="V45" s="86">
        <f t="shared" si="16"/>
        <v>3940.7752619985308</v>
      </c>
      <c r="W45" s="86">
        <f t="shared" si="16"/>
        <v>3598.3337334970051</v>
      </c>
      <c r="X45" s="86">
        <f t="shared" si="16"/>
        <v>3615.7561960549392</v>
      </c>
      <c r="Y45" s="86">
        <f t="shared" si="16"/>
        <v>3606.364089287611</v>
      </c>
      <c r="Z45" s="86">
        <f t="shared" si="16"/>
        <v>3603.1554778736527</v>
      </c>
      <c r="AA45" s="86">
        <f t="shared" si="16"/>
        <v>3602.5665704422327</v>
      </c>
      <c r="AB45" s="86">
        <f t="shared" si="16"/>
        <v>3593.7838726699715</v>
      </c>
      <c r="AC45" s="86">
        <f t="shared" si="16"/>
        <v>3581.8327925175618</v>
      </c>
      <c r="AD45" s="86">
        <f t="shared" si="16"/>
        <v>3568.0972604604685</v>
      </c>
      <c r="AE45" s="86">
        <f t="shared" si="16"/>
        <v>3553.964215077458</v>
      </c>
      <c r="AF45" s="86">
        <f t="shared" si="16"/>
        <v>3539.4780298786582</v>
      </c>
      <c r="AG45" s="86">
        <f t="shared" si="16"/>
        <v>3525.8886358335403</v>
      </c>
      <c r="AH45" s="86">
        <f t="shared" si="16"/>
        <v>3511.7999763763619</v>
      </c>
      <c r="AI45" s="86">
        <f t="shared" si="16"/>
        <v>3497.5209840598754</v>
      </c>
      <c r="AJ45" s="86">
        <f t="shared" si="16"/>
        <v>3483.2327055087417</v>
      </c>
      <c r="AK45" s="86">
        <f t="shared" si="16"/>
        <v>3468.6309104113502</v>
      </c>
      <c r="AL45" s="86">
        <f t="shared" si="16"/>
        <v>3453.8359448220758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2:67" x14ac:dyDescent="0.3">
      <c r="L46" s="232" t="str">
        <f>'Occ T3'!A48</f>
        <v>91 Elementary trades and related occupations</v>
      </c>
      <c r="M46" s="11">
        <v>532.62708861179635</v>
      </c>
      <c r="N46" s="11">
        <v>523.81851367688034</v>
      </c>
      <c r="O46" s="11">
        <v>524.91097080924567</v>
      </c>
      <c r="P46" s="11">
        <v>516.69958210278514</v>
      </c>
      <c r="Q46" s="11">
        <v>567.56114133110339</v>
      </c>
      <c r="R46" s="11">
        <v>586.32680498173522</v>
      </c>
      <c r="S46" s="11">
        <v>592.38457957898618</v>
      </c>
      <c r="T46" s="11">
        <v>547.51163222164143</v>
      </c>
      <c r="U46" s="11">
        <v>550.12099188473644</v>
      </c>
      <c r="V46" s="11">
        <v>523.17721969052866</v>
      </c>
      <c r="W46" s="11">
        <v>464.80863120633876</v>
      </c>
      <c r="X46" s="11">
        <v>394.95855411401305</v>
      </c>
      <c r="Y46" s="11">
        <v>393.18302889482698</v>
      </c>
      <c r="Z46" s="11">
        <v>392.28541987826094</v>
      </c>
      <c r="AA46" s="11">
        <v>391.58432303872928</v>
      </c>
      <c r="AB46" s="11">
        <v>389.87330472296622</v>
      </c>
      <c r="AC46" s="11">
        <v>387.87407442679546</v>
      </c>
      <c r="AD46" s="11">
        <v>385.67988216652981</v>
      </c>
      <c r="AE46" s="11">
        <v>383.47127036708378</v>
      </c>
      <c r="AF46" s="11">
        <v>381.23236001577584</v>
      </c>
      <c r="AG46" s="11">
        <v>379.12568633632299</v>
      </c>
      <c r="AH46" s="11">
        <v>376.96892963777947</v>
      </c>
      <c r="AI46" s="11">
        <v>374.80560156292245</v>
      </c>
      <c r="AJ46" s="11">
        <v>372.64274387325179</v>
      </c>
      <c r="AK46" s="11">
        <v>370.45428957807127</v>
      </c>
      <c r="AL46" s="11">
        <v>368.2541352592807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12:67" x14ac:dyDescent="0.3">
      <c r="L47" s="232" t="str">
        <f>'Occ T3'!A49</f>
        <v>92 Elementary administration and service occupations</v>
      </c>
      <c r="M47" s="11">
        <v>3304.046427801758</v>
      </c>
      <c r="N47" s="11">
        <v>3187.2627000330945</v>
      </c>
      <c r="O47" s="11">
        <v>3189.9778893318417</v>
      </c>
      <c r="P47" s="11">
        <v>3211.9317077367627</v>
      </c>
      <c r="Q47" s="11">
        <v>3336.6752654454353</v>
      </c>
      <c r="R47" s="11">
        <v>3385.6988412834389</v>
      </c>
      <c r="S47" s="11">
        <v>3378.329222857471</v>
      </c>
      <c r="T47" s="11">
        <v>3368.4016125832404</v>
      </c>
      <c r="U47" s="11">
        <v>3352.2738624300873</v>
      </c>
      <c r="V47" s="11">
        <v>3417.5980423080023</v>
      </c>
      <c r="W47" s="11">
        <v>3133.5251022906664</v>
      </c>
      <c r="X47" s="11">
        <v>3220.797641940926</v>
      </c>
      <c r="Y47" s="11">
        <v>3213.1810603927838</v>
      </c>
      <c r="Z47" s="11">
        <v>3210.8700579953916</v>
      </c>
      <c r="AA47" s="11">
        <v>3210.9822474035032</v>
      </c>
      <c r="AB47" s="11">
        <v>3203.9105679470053</v>
      </c>
      <c r="AC47" s="11">
        <v>3193.9587180907661</v>
      </c>
      <c r="AD47" s="11">
        <v>3182.4173782939388</v>
      </c>
      <c r="AE47" s="11">
        <v>3170.4929447103741</v>
      </c>
      <c r="AF47" s="11">
        <v>3158.2456698628821</v>
      </c>
      <c r="AG47" s="11">
        <v>3146.7629494972175</v>
      </c>
      <c r="AH47" s="11">
        <v>3134.8310467385822</v>
      </c>
      <c r="AI47" s="11">
        <v>3122.7153824969532</v>
      </c>
      <c r="AJ47" s="11">
        <v>3110.58996163549</v>
      </c>
      <c r="AK47" s="11">
        <v>3098.1766208332788</v>
      </c>
      <c r="AL47" s="11">
        <v>3085.5818095627951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12:67" x14ac:dyDescent="0.3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x14ac:dyDescent="0.3">
      <c r="L49" s="16" t="str">
        <f>'Occ T3'!A51</f>
        <v>All occupations</v>
      </c>
      <c r="M49" s="86">
        <f>SUM(M5,M9,M15,M22,M26,M32,M37,M41,M45)</f>
        <v>31261.016999999829</v>
      </c>
      <c r="N49" s="86">
        <f t="shared" ref="N49:P49" si="17">SUM(N5,N9,N15,N22,N26,N32,N37,N41,N45)</f>
        <v>31294.025000000118</v>
      </c>
      <c r="O49" s="86">
        <f t="shared" si="17"/>
        <v>31800.96799999979</v>
      </c>
      <c r="P49" s="86">
        <f t="shared" si="17"/>
        <v>31971.959999999563</v>
      </c>
      <c r="Q49" s="86">
        <f>SUM(Q5,Q9,Q15,Q22,Q26,Q32,Q37,Q41,Q45)</f>
        <v>33191.983999999939</v>
      </c>
      <c r="R49" s="86">
        <f t="shared" ref="R49:AL49" si="18">SUM(R5,R9,R15,R22,R26,R32,R37,R41,R45)</f>
        <v>33655.985000000073</v>
      </c>
      <c r="S49" s="86">
        <f t="shared" si="18"/>
        <v>34343.950999999579</v>
      </c>
      <c r="T49" s="86">
        <f t="shared" si="18"/>
        <v>34654.003000000099</v>
      </c>
      <c r="U49" s="86">
        <f t="shared" si="18"/>
        <v>34795.007999999936</v>
      </c>
      <c r="V49" s="86">
        <f t="shared" si="18"/>
        <v>35365.00400000019</v>
      </c>
      <c r="W49" s="86">
        <f t="shared" si="18"/>
        <v>34974.967999999841</v>
      </c>
      <c r="X49" s="86">
        <f t="shared" si="18"/>
        <v>35139.638000000239</v>
      </c>
      <c r="Y49" s="86">
        <f t="shared" si="18"/>
        <v>35320.323999999979</v>
      </c>
      <c r="Z49" s="86">
        <f t="shared" si="18"/>
        <v>35563.954999999871</v>
      </c>
      <c r="AA49" s="86">
        <f t="shared" si="18"/>
        <v>35833.231000000022</v>
      </c>
      <c r="AB49" s="86">
        <f t="shared" si="18"/>
        <v>36022.323999999819</v>
      </c>
      <c r="AC49" s="86">
        <f t="shared" si="18"/>
        <v>36184.380000000485</v>
      </c>
      <c r="AD49" s="86">
        <f t="shared" si="18"/>
        <v>36331.80500000035</v>
      </c>
      <c r="AE49" s="86">
        <f t="shared" si="18"/>
        <v>36478.374999999716</v>
      </c>
      <c r="AF49" s="86">
        <f t="shared" si="18"/>
        <v>36624.071999999825</v>
      </c>
      <c r="AG49" s="86">
        <f t="shared" si="18"/>
        <v>36782.546000000002</v>
      </c>
      <c r="AH49" s="86">
        <f t="shared" si="18"/>
        <v>36937.968000000299</v>
      </c>
      <c r="AI49" s="86">
        <f t="shared" si="18"/>
        <v>37094.087999999756</v>
      </c>
      <c r="AJ49" s="86">
        <f t="shared" si="18"/>
        <v>37252.260999999853</v>
      </c>
      <c r="AK49" s="86">
        <f t="shared" si="18"/>
        <v>37409.748999999923</v>
      </c>
      <c r="AL49" s="86">
        <f t="shared" si="18"/>
        <v>37567.87200000009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1:57" x14ac:dyDescent="0.3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7" x14ac:dyDescent="0.3">
      <c r="L51" s="1" t="s">
        <v>61</v>
      </c>
      <c r="M51" s="47">
        <f>M4</f>
        <v>2010</v>
      </c>
      <c r="N51" s="47">
        <f t="shared" ref="N51:AL51" si="19">N4</f>
        <v>2011</v>
      </c>
      <c r="O51" s="47">
        <f t="shared" si="19"/>
        <v>2012</v>
      </c>
      <c r="P51" s="47">
        <f t="shared" si="19"/>
        <v>2013</v>
      </c>
      <c r="Q51" s="47">
        <f t="shared" si="19"/>
        <v>2014</v>
      </c>
      <c r="R51" s="47">
        <f t="shared" si="19"/>
        <v>2015</v>
      </c>
      <c r="S51" s="47">
        <f t="shared" si="19"/>
        <v>2016</v>
      </c>
      <c r="T51" s="47">
        <f t="shared" si="19"/>
        <v>2017</v>
      </c>
      <c r="U51" s="47">
        <f t="shared" si="19"/>
        <v>2018</v>
      </c>
      <c r="V51" s="47">
        <f t="shared" si="19"/>
        <v>2019</v>
      </c>
      <c r="W51" s="47">
        <f t="shared" si="19"/>
        <v>2020</v>
      </c>
      <c r="X51" s="47">
        <f t="shared" si="19"/>
        <v>2021</v>
      </c>
      <c r="Y51" s="47">
        <f t="shared" si="19"/>
        <v>2022</v>
      </c>
      <c r="Z51" s="47">
        <f t="shared" si="19"/>
        <v>2023</v>
      </c>
      <c r="AA51" s="47">
        <f t="shared" si="19"/>
        <v>2024</v>
      </c>
      <c r="AB51" s="47">
        <f t="shared" si="19"/>
        <v>2025</v>
      </c>
      <c r="AC51" s="47">
        <f t="shared" si="19"/>
        <v>2026</v>
      </c>
      <c r="AD51" s="47">
        <f t="shared" si="19"/>
        <v>2027</v>
      </c>
      <c r="AE51" s="47">
        <f t="shared" si="19"/>
        <v>2028</v>
      </c>
      <c r="AF51" s="47">
        <f t="shared" si="19"/>
        <v>2029</v>
      </c>
      <c r="AG51" s="47">
        <f t="shared" si="19"/>
        <v>2030</v>
      </c>
      <c r="AH51" s="47">
        <f t="shared" si="19"/>
        <v>2031</v>
      </c>
      <c r="AI51" s="47">
        <f t="shared" si="19"/>
        <v>2032</v>
      </c>
      <c r="AJ51" s="47">
        <f t="shared" si="19"/>
        <v>2033</v>
      </c>
      <c r="AK51" s="47">
        <f t="shared" si="19"/>
        <v>2034</v>
      </c>
      <c r="AL51" s="47">
        <f t="shared" si="19"/>
        <v>2035</v>
      </c>
    </row>
    <row r="52" spans="1:57" x14ac:dyDescent="0.3">
      <c r="L52" s="16" t="str">
        <f>'Occ T3'!A7</f>
        <v>Managers, directors and senior officials</v>
      </c>
      <c r="M52" s="336">
        <f>M5/M$49</f>
        <v>8.3727699448822385E-2</v>
      </c>
      <c r="N52" s="336">
        <f t="shared" ref="N52:AG52" si="20">N5/N$49</f>
        <v>9.1726817458934642E-2</v>
      </c>
      <c r="O52" s="336">
        <f t="shared" si="20"/>
        <v>9.377046883037099E-2</v>
      </c>
      <c r="P52" s="336">
        <f t="shared" si="20"/>
        <v>9.4600932540396962E-2</v>
      </c>
      <c r="Q52" s="336">
        <f t="shared" si="20"/>
        <v>9.3534494631461768E-2</v>
      </c>
      <c r="R52" s="336">
        <f t="shared" si="20"/>
        <v>9.5240865431101482E-2</v>
      </c>
      <c r="S52" s="336">
        <f t="shared" si="20"/>
        <v>9.6334310790491331E-2</v>
      </c>
      <c r="T52" s="336">
        <f t="shared" si="20"/>
        <v>9.9857282226859065E-2</v>
      </c>
      <c r="U52" s="336">
        <f t="shared" si="20"/>
        <v>0.10095304571260803</v>
      </c>
      <c r="V52" s="336">
        <f t="shared" si="20"/>
        <v>0.10399335840570342</v>
      </c>
      <c r="W52" s="336">
        <f t="shared" si="20"/>
        <v>0.10712116168497275</v>
      </c>
      <c r="X52" s="336">
        <f t="shared" si="20"/>
        <v>0.1042033063202482</v>
      </c>
      <c r="Y52" s="336">
        <f t="shared" si="20"/>
        <v>0.10495076724387276</v>
      </c>
      <c r="Z52" s="336">
        <f t="shared" si="20"/>
        <v>0.10571818977586613</v>
      </c>
      <c r="AA52" s="336">
        <f t="shared" si="20"/>
        <v>0.10647762444612487</v>
      </c>
      <c r="AB52" s="336">
        <f t="shared" si="20"/>
        <v>0.10722917995360076</v>
      </c>
      <c r="AC52" s="336">
        <f t="shared" si="20"/>
        <v>0.10798946001772064</v>
      </c>
      <c r="AD52" s="336">
        <f t="shared" si="20"/>
        <v>0.10875110353591319</v>
      </c>
      <c r="AE52" s="336">
        <f t="shared" si="20"/>
        <v>0.10951669178475985</v>
      </c>
      <c r="AF52" s="336">
        <f t="shared" si="20"/>
        <v>0.11028433776268672</v>
      </c>
      <c r="AG52" s="336">
        <f t="shared" si="20"/>
        <v>0.11105709120788367</v>
      </c>
      <c r="AH52" s="336">
        <f t="shared" ref="AH52:AL52" si="21">AH5/AH$49</f>
        <v>0.11183089637668052</v>
      </c>
      <c r="AI52" s="336">
        <f t="shared" si="21"/>
        <v>0.1126071926843752</v>
      </c>
      <c r="AJ52" s="336">
        <f t="shared" si="21"/>
        <v>0.11338453512162538</v>
      </c>
      <c r="AK52" s="336">
        <f t="shared" si="21"/>
        <v>0.11416382123959125</v>
      </c>
      <c r="AL52" s="336">
        <f t="shared" si="21"/>
        <v>0.11494526148177284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7" x14ac:dyDescent="0.3">
      <c r="L53" s="232" t="str">
        <f>'Occ T3'!A8</f>
        <v>11 Corporate managers and directors</v>
      </c>
      <c r="M53" s="335">
        <f t="shared" ref="M53:AG53" si="22">M6/M$49</f>
        <v>5.6669964361173976E-2</v>
      </c>
      <c r="N53" s="335">
        <f t="shared" si="22"/>
        <v>6.1842169481828739E-2</v>
      </c>
      <c r="O53" s="335">
        <f t="shared" si="22"/>
        <v>6.3128884442158625E-2</v>
      </c>
      <c r="P53" s="335">
        <f t="shared" si="22"/>
        <v>6.3980948956974634E-2</v>
      </c>
      <c r="Q53" s="335">
        <f t="shared" si="22"/>
        <v>6.0840477752057927E-2</v>
      </c>
      <c r="R53" s="335">
        <f t="shared" si="22"/>
        <v>6.3821377497742429E-2</v>
      </c>
      <c r="S53" s="335">
        <f t="shared" si="22"/>
        <v>6.7304640326612764E-2</v>
      </c>
      <c r="T53" s="335">
        <f t="shared" si="22"/>
        <v>6.8821475024297668E-2</v>
      </c>
      <c r="U53" s="335">
        <f t="shared" si="22"/>
        <v>6.9755269430420291E-2</v>
      </c>
      <c r="V53" s="335">
        <f t="shared" si="22"/>
        <v>7.1947037286539062E-2</v>
      </c>
      <c r="W53" s="335">
        <f t="shared" si="22"/>
        <v>7.4442240046846825E-2</v>
      </c>
      <c r="X53" s="335">
        <f t="shared" si="22"/>
        <v>6.6578505086305098E-2</v>
      </c>
      <c r="Y53" s="335">
        <f t="shared" si="22"/>
        <v>6.691479841153665E-2</v>
      </c>
      <c r="Z53" s="335">
        <f t="shared" si="22"/>
        <v>6.725477838633892E-2</v>
      </c>
      <c r="AA53" s="335">
        <f t="shared" si="22"/>
        <v>6.7587582363760043E-2</v>
      </c>
      <c r="AB53" s="335">
        <f t="shared" si="22"/>
        <v>6.7918248701766396E-2</v>
      </c>
      <c r="AC53" s="335">
        <f t="shared" si="22"/>
        <v>6.8255437721625442E-2</v>
      </c>
      <c r="AD53" s="335">
        <f t="shared" si="22"/>
        <v>6.8593128736745113E-2</v>
      </c>
      <c r="AE53" s="335">
        <f t="shared" si="22"/>
        <v>6.8934490975114865E-2</v>
      </c>
      <c r="AF53" s="335">
        <f t="shared" si="22"/>
        <v>6.9277557114005892E-2</v>
      </c>
      <c r="AG53" s="335">
        <f t="shared" si="22"/>
        <v>6.9624074636177105E-2</v>
      </c>
      <c r="AH53" s="335">
        <f t="shared" ref="AH53:AL53" si="23">AH6/AH$49</f>
        <v>6.9970986170729096E-2</v>
      </c>
      <c r="AI53" s="335">
        <f t="shared" si="23"/>
        <v>7.0319456791407303E-2</v>
      </c>
      <c r="AJ53" s="335">
        <f t="shared" si="23"/>
        <v>7.0668713076111597E-2</v>
      </c>
      <c r="AK53" s="335">
        <f t="shared" si="23"/>
        <v>7.1019352886070516E-2</v>
      </c>
      <c r="AL53" s="335">
        <f t="shared" si="23"/>
        <v>7.1371557447167416E-2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7" x14ac:dyDescent="0.3">
      <c r="L54" s="232" t="str">
        <f>'Occ T3'!A9</f>
        <v>12 Other managers and proprietors</v>
      </c>
      <c r="M54" s="335">
        <f t="shared" ref="M54:AG54" si="24">M7/M$49</f>
        <v>2.7057735087648398E-2</v>
      </c>
      <c r="N54" s="335">
        <f t="shared" si="24"/>
        <v>2.98846479771059E-2</v>
      </c>
      <c r="O54" s="335">
        <f t="shared" si="24"/>
        <v>3.0641584388212358E-2</v>
      </c>
      <c r="P54" s="335">
        <f t="shared" si="24"/>
        <v>3.0619983583422321E-2</v>
      </c>
      <c r="Q54" s="335">
        <f t="shared" si="24"/>
        <v>3.2694016879403848E-2</v>
      </c>
      <c r="R54" s="335">
        <f t="shared" si="24"/>
        <v>3.1419487933359053E-2</v>
      </c>
      <c r="S54" s="335">
        <f t="shared" si="24"/>
        <v>2.9029670463878568E-2</v>
      </c>
      <c r="T54" s="335">
        <f t="shared" si="24"/>
        <v>3.103580720256139E-2</v>
      </c>
      <c r="U54" s="335">
        <f t="shared" si="24"/>
        <v>3.1197776282187759E-2</v>
      </c>
      <c r="V54" s="335">
        <f t="shared" si="24"/>
        <v>3.2046321119164368E-2</v>
      </c>
      <c r="W54" s="335">
        <f t="shared" si="24"/>
        <v>3.267892163812592E-2</v>
      </c>
      <c r="X54" s="335">
        <f t="shared" si="24"/>
        <v>3.76248012339431E-2</v>
      </c>
      <c r="Y54" s="335">
        <f t="shared" si="24"/>
        <v>3.803596883233612E-2</v>
      </c>
      <c r="Z54" s="335">
        <f t="shared" si="24"/>
        <v>3.8463411389527212E-2</v>
      </c>
      <c r="AA54" s="335">
        <f t="shared" si="24"/>
        <v>3.8890042082364823E-2</v>
      </c>
      <c r="AB54" s="335">
        <f t="shared" si="24"/>
        <v>3.9310931251834366E-2</v>
      </c>
      <c r="AC54" s="335">
        <f t="shared" si="24"/>
        <v>3.9734022296095198E-2</v>
      </c>
      <c r="AD54" s="335">
        <f t="shared" si="24"/>
        <v>4.0157974799168071E-2</v>
      </c>
      <c r="AE54" s="335">
        <f t="shared" si="24"/>
        <v>4.0582200809644989E-2</v>
      </c>
      <c r="AF54" s="335">
        <f t="shared" si="24"/>
        <v>4.1006780648680817E-2</v>
      </c>
      <c r="AG54" s="335">
        <f t="shared" si="24"/>
        <v>4.1433016571706567E-2</v>
      </c>
      <c r="AH54" s="335">
        <f t="shared" ref="AH54:AL54" si="25">AH7/AH$49</f>
        <v>4.1859910205951409E-2</v>
      </c>
      <c r="AI54" s="335">
        <f t="shared" si="25"/>
        <v>4.2287735892967894E-2</v>
      </c>
      <c r="AJ54" s="335">
        <f t="shared" si="25"/>
        <v>4.2715822045513781E-2</v>
      </c>
      <c r="AK54" s="335">
        <f t="shared" si="25"/>
        <v>4.3144468353520732E-2</v>
      </c>
      <c r="AL54" s="335">
        <f t="shared" si="25"/>
        <v>4.3573704034605427E-2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7" x14ac:dyDescent="0.3">
      <c r="L55" s="232"/>
      <c r="M55" s="335"/>
      <c r="N55" s="335"/>
      <c r="O55" s="335"/>
      <c r="P55" s="335"/>
      <c r="Q55" s="335"/>
      <c r="R55" s="335"/>
      <c r="S55" s="335"/>
      <c r="T55" s="335"/>
      <c r="U55" s="335"/>
      <c r="V55" s="335"/>
      <c r="W55" s="335"/>
      <c r="X55" s="335"/>
      <c r="Y55" s="335"/>
      <c r="Z55" s="335"/>
      <c r="AA55" s="335"/>
      <c r="AB55" s="335"/>
      <c r="AC55" s="335"/>
      <c r="AD55" s="335"/>
      <c r="AE55" s="335"/>
      <c r="AF55" s="335"/>
      <c r="AG55" s="335"/>
      <c r="AH55" s="335"/>
      <c r="AI55" s="335"/>
      <c r="AJ55" s="335"/>
      <c r="AK55" s="335"/>
      <c r="AL55" s="335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7" x14ac:dyDescent="0.3">
      <c r="L56" s="16" t="str">
        <f>'Occ T3'!A11</f>
        <v>Professional occupations</v>
      </c>
      <c r="M56" s="336">
        <f t="shared" ref="M56:AG56" si="26">M9/M$49</f>
        <v>0.20568868954862388</v>
      </c>
      <c r="N56" s="336">
        <f t="shared" si="26"/>
        <v>0.20249400348161431</v>
      </c>
      <c r="O56" s="336">
        <f t="shared" si="26"/>
        <v>0.20255578755395137</v>
      </c>
      <c r="P56" s="336">
        <f t="shared" si="26"/>
        <v>0.20635518585664145</v>
      </c>
      <c r="Q56" s="336">
        <f t="shared" si="26"/>
        <v>0.20587149696100779</v>
      </c>
      <c r="R56" s="336">
        <f t="shared" si="26"/>
        <v>0.20458417263775491</v>
      </c>
      <c r="S56" s="336">
        <f t="shared" si="26"/>
        <v>0.21180588428164684</v>
      </c>
      <c r="T56" s="336">
        <f t="shared" si="26"/>
        <v>0.20952600063592083</v>
      </c>
      <c r="U56" s="336">
        <f t="shared" si="26"/>
        <v>0.21599820491217925</v>
      </c>
      <c r="V56" s="336">
        <f t="shared" si="26"/>
        <v>0.22158725044914046</v>
      </c>
      <c r="W56" s="336">
        <f t="shared" si="26"/>
        <v>0.23444137847961499</v>
      </c>
      <c r="X56" s="336">
        <f t="shared" si="26"/>
        <v>0.24066459074449029</v>
      </c>
      <c r="Y56" s="336">
        <f t="shared" si="26"/>
        <v>0.24222259760772627</v>
      </c>
      <c r="Z56" s="336">
        <f t="shared" si="26"/>
        <v>0.24373430476143057</v>
      </c>
      <c r="AA56" s="336">
        <f t="shared" si="26"/>
        <v>0.2452351202521427</v>
      </c>
      <c r="AB56" s="336">
        <f t="shared" si="26"/>
        <v>0.24674961772911194</v>
      </c>
      <c r="AC56" s="336">
        <f t="shared" si="26"/>
        <v>0.24826935014780868</v>
      </c>
      <c r="AD56" s="336">
        <f t="shared" si="26"/>
        <v>0.24979094083747777</v>
      </c>
      <c r="AE56" s="336">
        <f t="shared" si="26"/>
        <v>0.25131502828643165</v>
      </c>
      <c r="AF56" s="336">
        <f t="shared" si="26"/>
        <v>0.25284047813055888</v>
      </c>
      <c r="AG56" s="336">
        <f t="shared" si="26"/>
        <v>0.25436643393574843</v>
      </c>
      <c r="AH56" s="336">
        <f t="shared" ref="AH56:AL56" si="27">AH9/AH$49</f>
        <v>0.25588962200045035</v>
      </c>
      <c r="AI56" s="336">
        <f t="shared" si="27"/>
        <v>0.25741188760199868</v>
      </c>
      <c r="AJ56" s="336">
        <f t="shared" si="27"/>
        <v>0.25893276501472251</v>
      </c>
      <c r="AK56" s="336">
        <f t="shared" si="27"/>
        <v>0.26045346767106631</v>
      </c>
      <c r="AL56" s="336">
        <f t="shared" si="27"/>
        <v>0.26197430294837509</v>
      </c>
    </row>
    <row r="57" spans="1:57" x14ac:dyDescent="0.3">
      <c r="L57" s="232" t="str">
        <f>'Occ T3'!A12</f>
        <v>21 Science, research, engineering and technology professionals</v>
      </c>
      <c r="M57" s="335">
        <f t="shared" ref="M57:AG57" si="28">M10/M$49</f>
        <v>5.2097955601949547E-2</v>
      </c>
      <c r="N57" s="335">
        <f t="shared" si="28"/>
        <v>5.0234505919120875E-2</v>
      </c>
      <c r="O57" s="335">
        <f t="shared" si="28"/>
        <v>5.0879319618090675E-2</v>
      </c>
      <c r="P57" s="335">
        <f t="shared" si="28"/>
        <v>5.081299170953648E-2</v>
      </c>
      <c r="Q57" s="335">
        <f t="shared" si="28"/>
        <v>5.2335944598875771E-2</v>
      </c>
      <c r="R57" s="335">
        <f t="shared" si="28"/>
        <v>5.3614370025066617E-2</v>
      </c>
      <c r="S57" s="335">
        <f t="shared" si="28"/>
        <v>5.5553596858537696E-2</v>
      </c>
      <c r="T57" s="335">
        <f t="shared" si="28"/>
        <v>5.4002462091398459E-2</v>
      </c>
      <c r="U57" s="335">
        <f t="shared" si="28"/>
        <v>5.732871822753282E-2</v>
      </c>
      <c r="V57" s="335">
        <f t="shared" si="28"/>
        <v>5.8775719251427147E-2</v>
      </c>
      <c r="W57" s="335">
        <f t="shared" si="28"/>
        <v>6.2001183202446075E-2</v>
      </c>
      <c r="X57" s="335">
        <f t="shared" si="28"/>
        <v>6.2386060552561087E-2</v>
      </c>
      <c r="Y57" s="335">
        <f t="shared" si="28"/>
        <v>6.2804990497025523E-2</v>
      </c>
      <c r="Z57" s="335">
        <f t="shared" si="28"/>
        <v>6.3223702146608426E-2</v>
      </c>
      <c r="AA57" s="335">
        <f t="shared" si="28"/>
        <v>6.3630615693387391E-2</v>
      </c>
      <c r="AB57" s="335">
        <f t="shared" si="28"/>
        <v>6.4036125983040523E-2</v>
      </c>
      <c r="AC57" s="335">
        <f t="shared" si="28"/>
        <v>6.4450061984248283E-2</v>
      </c>
      <c r="AD57" s="335">
        <f t="shared" si="28"/>
        <v>6.486259301406215E-2</v>
      </c>
      <c r="AE57" s="335">
        <f t="shared" si="28"/>
        <v>6.5279278412433583E-2</v>
      </c>
      <c r="AF57" s="335">
        <f t="shared" si="28"/>
        <v>6.5697037497087357E-2</v>
      </c>
      <c r="AG57" s="335">
        <f t="shared" si="28"/>
        <v>6.6118583758210295E-2</v>
      </c>
      <c r="AH57" s="335">
        <f t="shared" ref="AH57:AL57" si="29">AH10/AH$49</f>
        <v>6.6538763879018428E-2</v>
      </c>
      <c r="AI57" s="335">
        <f t="shared" si="29"/>
        <v>6.6959532320719203E-2</v>
      </c>
      <c r="AJ57" s="335">
        <f t="shared" si="29"/>
        <v>6.7379931985597052E-2</v>
      </c>
      <c r="AK57" s="335">
        <f t="shared" si="29"/>
        <v>6.7800862400329162E-2</v>
      </c>
      <c r="AL57" s="335">
        <f t="shared" si="29"/>
        <v>6.8222730933604023E-2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7" x14ac:dyDescent="0.3">
      <c r="L58" s="232" t="str">
        <f>'Occ T3'!A13</f>
        <v>22 Health professionals</v>
      </c>
      <c r="M58" s="335">
        <f t="shared" ref="M58:AG58" si="30">M11/M$49</f>
        <v>3.9488288019704894E-2</v>
      </c>
      <c r="N58" s="335">
        <f t="shared" si="30"/>
        <v>4.1824281915321393E-2</v>
      </c>
      <c r="O58" s="335">
        <f t="shared" si="30"/>
        <v>4.241049494595879E-2</v>
      </c>
      <c r="P58" s="335">
        <f t="shared" si="30"/>
        <v>4.3438635408890834E-2</v>
      </c>
      <c r="Q58" s="335">
        <f t="shared" si="30"/>
        <v>4.2979975092904084E-2</v>
      </c>
      <c r="R58" s="335">
        <f t="shared" si="30"/>
        <v>4.2539380447589127E-2</v>
      </c>
      <c r="S58" s="335">
        <f t="shared" si="30"/>
        <v>4.3591971843743658E-2</v>
      </c>
      <c r="T58" s="335">
        <f t="shared" si="30"/>
        <v>4.5009893737860809E-2</v>
      </c>
      <c r="U58" s="335">
        <f t="shared" si="30"/>
        <v>4.5102285468878144E-2</v>
      </c>
      <c r="V58" s="335">
        <f t="shared" si="30"/>
        <v>4.6529691051584963E-2</v>
      </c>
      <c r="W58" s="335">
        <f t="shared" si="30"/>
        <v>4.7253495248470792E-2</v>
      </c>
      <c r="X58" s="335">
        <f t="shared" si="30"/>
        <v>4.866240134741788E-2</v>
      </c>
      <c r="Y58" s="335">
        <f t="shared" si="30"/>
        <v>4.8931271529413463E-2</v>
      </c>
      <c r="Z58" s="335">
        <f t="shared" si="30"/>
        <v>4.9181135116245847E-2</v>
      </c>
      <c r="AA58" s="335">
        <f t="shared" si="30"/>
        <v>4.943568243194392E-2</v>
      </c>
      <c r="AB58" s="335">
        <f t="shared" si="30"/>
        <v>4.9697331753791714E-2</v>
      </c>
      <c r="AC58" s="335">
        <f t="shared" si="30"/>
        <v>4.9954743561293605E-2</v>
      </c>
      <c r="AD58" s="335">
        <f t="shared" si="30"/>
        <v>5.0213855703466287E-2</v>
      </c>
      <c r="AE58" s="335">
        <f t="shared" si="30"/>
        <v>5.0470914888888767E-2</v>
      </c>
      <c r="AF58" s="335">
        <f t="shared" si="30"/>
        <v>5.0727697008430703E-2</v>
      </c>
      <c r="AG58" s="335">
        <f t="shared" si="30"/>
        <v>5.0981957146698245E-2</v>
      </c>
      <c r="AH58" s="335">
        <f t="shared" ref="AH58:AL58" si="31">AH11/AH$49</f>
        <v>5.1236051332726282E-2</v>
      </c>
      <c r="AI58" s="335">
        <f t="shared" si="31"/>
        <v>5.1489261055647731E-2</v>
      </c>
      <c r="AJ58" s="335">
        <f t="shared" si="31"/>
        <v>5.1742152772821959E-2</v>
      </c>
      <c r="AK58" s="335">
        <f t="shared" si="31"/>
        <v>5.1994520556921248E-2</v>
      </c>
      <c r="AL58" s="335">
        <f t="shared" si="31"/>
        <v>5.2246184565002025E-2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7" ht="15.45" x14ac:dyDescent="0.4">
      <c r="A59" s="79" t="str">
        <f>CONCATENATE("Occupation Figure 2.1  Employment by Occupation (% shares), ",$M$2,"-",$O$2,", ",Info!B5)</f>
        <v>Occupation Figure 2.1  Employment by Occupation (% shares), 2010-2035, United Kingdom</v>
      </c>
      <c r="L59" s="232" t="str">
        <f>'Occ T3'!A14</f>
        <v>23 Teaching and other educational professionals</v>
      </c>
      <c r="M59" s="335">
        <f t="shared" ref="M59:AG59" si="32">M12/M$49</f>
        <v>5.0183926491718482E-2</v>
      </c>
      <c r="N59" s="335">
        <f t="shared" si="32"/>
        <v>5.02372956417758E-2</v>
      </c>
      <c r="O59" s="335">
        <f t="shared" si="32"/>
        <v>4.9692541635298557E-2</v>
      </c>
      <c r="P59" s="335">
        <f t="shared" si="32"/>
        <v>4.9980037926371977E-2</v>
      </c>
      <c r="Q59" s="335">
        <f t="shared" si="32"/>
        <v>4.9280486894109896E-2</v>
      </c>
      <c r="R59" s="335">
        <f t="shared" si="32"/>
        <v>4.8935685280288986E-2</v>
      </c>
      <c r="S59" s="335">
        <f t="shared" si="32"/>
        <v>4.9587171284533563E-2</v>
      </c>
      <c r="T59" s="335">
        <f t="shared" si="32"/>
        <v>4.7876057948563908E-2</v>
      </c>
      <c r="U59" s="335">
        <f t="shared" si="32"/>
        <v>4.8171561896720845E-2</v>
      </c>
      <c r="V59" s="335">
        <f t="shared" si="32"/>
        <v>4.9221748997817873E-2</v>
      </c>
      <c r="W59" s="335">
        <f t="shared" si="32"/>
        <v>5.1876959305376315E-2</v>
      </c>
      <c r="X59" s="335">
        <f t="shared" si="32"/>
        <v>5.2043689107484831E-2</v>
      </c>
      <c r="Y59" s="335">
        <f t="shared" si="32"/>
        <v>5.2299903526697153E-2</v>
      </c>
      <c r="Z59" s="335">
        <f t="shared" si="32"/>
        <v>5.2533577520151191E-2</v>
      </c>
      <c r="AA59" s="335">
        <f t="shared" si="32"/>
        <v>5.2770563695384617E-2</v>
      </c>
      <c r="AB59" s="335">
        <f t="shared" si="32"/>
        <v>5.3016346686360641E-2</v>
      </c>
      <c r="AC59" s="335">
        <f t="shared" si="32"/>
        <v>5.3259236538970516E-2</v>
      </c>
      <c r="AD59" s="335">
        <f t="shared" si="32"/>
        <v>5.3503295355771197E-2</v>
      </c>
      <c r="AE59" s="335">
        <f t="shared" si="32"/>
        <v>5.374590490810513E-2</v>
      </c>
      <c r="AF59" s="335">
        <f t="shared" si="32"/>
        <v>5.3988347577191224E-2</v>
      </c>
      <c r="AG59" s="335">
        <f t="shared" si="32"/>
        <v>5.4228421951333219E-2</v>
      </c>
      <c r="AH59" s="335">
        <f t="shared" ref="AH59:AL59" si="33">AH12/AH$49</f>
        <v>5.4468037206970396E-2</v>
      </c>
      <c r="AI59" s="335">
        <f t="shared" si="33"/>
        <v>5.4706753568397194E-2</v>
      </c>
      <c r="AJ59" s="335">
        <f t="shared" si="33"/>
        <v>5.4945148786775241E-2</v>
      </c>
      <c r="AK59" s="335">
        <f t="shared" si="33"/>
        <v>5.5183056947770537E-2</v>
      </c>
      <c r="AL59" s="335">
        <f t="shared" si="33"/>
        <v>5.542037296537955E-2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7" x14ac:dyDescent="0.3">
      <c r="L60" s="232" t="str">
        <f>'Occ T3'!A15</f>
        <v>24 Business, media and public service professionals</v>
      </c>
      <c r="M60" s="335">
        <f t="shared" ref="M60:AG60" si="34">M13/M$49</f>
        <v>6.3918519435250967E-2</v>
      </c>
      <c r="N60" s="335">
        <f t="shared" si="34"/>
        <v>6.0197920005396248E-2</v>
      </c>
      <c r="O60" s="335">
        <f t="shared" si="34"/>
        <v>5.9573431354603364E-2</v>
      </c>
      <c r="P60" s="335">
        <f t="shared" si="34"/>
        <v>6.2123520811842178E-2</v>
      </c>
      <c r="Q60" s="335">
        <f t="shared" si="34"/>
        <v>6.1275090375118038E-2</v>
      </c>
      <c r="R60" s="335">
        <f t="shared" si="34"/>
        <v>5.949473688481019E-2</v>
      </c>
      <c r="S60" s="335">
        <f t="shared" si="34"/>
        <v>6.3073144294831948E-2</v>
      </c>
      <c r="T60" s="335">
        <f t="shared" si="34"/>
        <v>6.2637586858097644E-2</v>
      </c>
      <c r="U60" s="335">
        <f t="shared" si="34"/>
        <v>6.5395639319047419E-2</v>
      </c>
      <c r="V60" s="335">
        <f t="shared" si="34"/>
        <v>6.7060091148310491E-2</v>
      </c>
      <c r="W60" s="335">
        <f t="shared" si="34"/>
        <v>7.3309740723321803E-2</v>
      </c>
      <c r="X60" s="335">
        <f t="shared" si="34"/>
        <v>7.7572439737026488E-2</v>
      </c>
      <c r="Y60" s="335">
        <f t="shared" si="34"/>
        <v>7.8186432054590124E-2</v>
      </c>
      <c r="Z60" s="335">
        <f t="shared" si="34"/>
        <v>7.8795889978425085E-2</v>
      </c>
      <c r="AA60" s="335">
        <f t="shared" si="34"/>
        <v>7.9398258431426796E-2</v>
      </c>
      <c r="AB60" s="335">
        <f t="shared" si="34"/>
        <v>7.9999813305919043E-2</v>
      </c>
      <c r="AC60" s="335">
        <f t="shared" si="34"/>
        <v>8.0605308063296285E-2</v>
      </c>
      <c r="AD60" s="335">
        <f t="shared" si="34"/>
        <v>8.1211196764178137E-2</v>
      </c>
      <c r="AE60" s="335">
        <f t="shared" si="34"/>
        <v>8.1818930077004137E-2</v>
      </c>
      <c r="AF60" s="335">
        <f t="shared" si="34"/>
        <v>8.2427396047849599E-2</v>
      </c>
      <c r="AG60" s="335">
        <f t="shared" si="34"/>
        <v>8.3037471079506639E-2</v>
      </c>
      <c r="AH60" s="335">
        <f t="shared" ref="AH60:AL60" si="35">AH13/AH$49</f>
        <v>8.3646769581735211E-2</v>
      </c>
      <c r="AI60" s="335">
        <f t="shared" si="35"/>
        <v>8.4256340657234571E-2</v>
      </c>
      <c r="AJ60" s="335">
        <f t="shared" si="35"/>
        <v>8.4865531469528285E-2</v>
      </c>
      <c r="AK60" s="335">
        <f t="shared" si="35"/>
        <v>8.5475027766045417E-2</v>
      </c>
      <c r="AL60" s="335">
        <f t="shared" si="35"/>
        <v>8.6085014484389544E-2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7" x14ac:dyDescent="0.3">
      <c r="L61" s="232"/>
      <c r="M61" s="335"/>
      <c r="N61" s="335"/>
      <c r="O61" s="335"/>
      <c r="P61" s="335"/>
      <c r="Q61" s="335"/>
      <c r="R61" s="335"/>
      <c r="S61" s="335"/>
      <c r="T61" s="335"/>
      <c r="U61" s="335"/>
      <c r="V61" s="335"/>
      <c r="W61" s="335"/>
      <c r="X61" s="335"/>
      <c r="Y61" s="335"/>
      <c r="Z61" s="335"/>
      <c r="AA61" s="335"/>
      <c r="AB61" s="335"/>
      <c r="AC61" s="335"/>
      <c r="AD61" s="335"/>
      <c r="AE61" s="335"/>
      <c r="AF61" s="335"/>
      <c r="AG61" s="335"/>
      <c r="AH61" s="335"/>
      <c r="AI61" s="335"/>
      <c r="AJ61" s="335"/>
      <c r="AK61" s="335"/>
      <c r="AL61" s="335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7" x14ac:dyDescent="0.3">
      <c r="L62" s="16" t="str">
        <f>'Occ T3'!A17</f>
        <v>Associate professional occupations</v>
      </c>
      <c r="M62" s="336">
        <f t="shared" ref="M62:AG62" si="36">M15/M$49</f>
        <v>0.12188298224435183</v>
      </c>
      <c r="N62" s="336">
        <f t="shared" si="36"/>
        <v>0.12374156407142219</v>
      </c>
      <c r="O62" s="336">
        <f t="shared" si="36"/>
        <v>0.1265528001700591</v>
      </c>
      <c r="P62" s="336">
        <f t="shared" si="36"/>
        <v>0.12501100134762361</v>
      </c>
      <c r="Q62" s="336">
        <f t="shared" si="36"/>
        <v>0.12523321181152944</v>
      </c>
      <c r="R62" s="336">
        <f t="shared" si="36"/>
        <v>0.1253705824480397</v>
      </c>
      <c r="S62" s="336">
        <f t="shared" si="36"/>
        <v>0.12713200275017647</v>
      </c>
      <c r="T62" s="336">
        <f t="shared" si="36"/>
        <v>0.12903432413993454</v>
      </c>
      <c r="U62" s="336">
        <f t="shared" si="36"/>
        <v>0.13027733968081889</v>
      </c>
      <c r="V62" s="336">
        <f t="shared" si="36"/>
        <v>0.129247125124137</v>
      </c>
      <c r="W62" s="336">
        <f t="shared" si="36"/>
        <v>0.1367241821789911</v>
      </c>
      <c r="X62" s="336">
        <f t="shared" si="36"/>
        <v>0.12904526300696254</v>
      </c>
      <c r="Y62" s="336">
        <f t="shared" si="36"/>
        <v>0.12947587516145112</v>
      </c>
      <c r="Z62" s="336">
        <f t="shared" si="36"/>
        <v>0.1299058085115864</v>
      </c>
      <c r="AA62" s="336">
        <f t="shared" si="36"/>
        <v>0.13033389594166231</v>
      </c>
      <c r="AB62" s="336">
        <f t="shared" si="36"/>
        <v>0.13076402302314977</v>
      </c>
      <c r="AC62" s="336">
        <f t="shared" si="36"/>
        <v>0.13119821337651624</v>
      </c>
      <c r="AD62" s="336">
        <f t="shared" si="36"/>
        <v>0.13163544588027049</v>
      </c>
      <c r="AE62" s="336">
        <f t="shared" si="36"/>
        <v>0.13207394634560293</v>
      </c>
      <c r="AF62" s="336">
        <f t="shared" si="36"/>
        <v>0.13251403094618064</v>
      </c>
      <c r="AG62" s="336">
        <f t="shared" si="36"/>
        <v>0.13295611485089726</v>
      </c>
      <c r="AH62" s="336">
        <f t="shared" ref="AH62:AL62" si="37">AH15/AH$49</f>
        <v>0.13339862909151104</v>
      </c>
      <c r="AI62" s="336">
        <f t="shared" si="37"/>
        <v>0.13384219395740787</v>
      </c>
      <c r="AJ62" s="336">
        <f t="shared" si="37"/>
        <v>0.13428615462825028</v>
      </c>
      <c r="AK62" s="336">
        <f t="shared" si="37"/>
        <v>0.13473111941492072</v>
      </c>
      <c r="AL62" s="336">
        <f t="shared" si="37"/>
        <v>0.13517712544172142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7" x14ac:dyDescent="0.3">
      <c r="L63" s="232" t="str">
        <f>'Occ T3'!A18</f>
        <v>31 Science, engineering and technology associate professionals</v>
      </c>
      <c r="M63" s="335">
        <f t="shared" ref="M63:AG63" si="38">M16/M$49</f>
        <v>1.7625742154927775E-2</v>
      </c>
      <c r="N63" s="335">
        <f t="shared" si="38"/>
        <v>1.7302268615709309E-2</v>
      </c>
      <c r="O63" s="335">
        <f t="shared" si="38"/>
        <v>1.7647600360545766E-2</v>
      </c>
      <c r="P63" s="335">
        <f t="shared" si="38"/>
        <v>1.7891842238155105E-2</v>
      </c>
      <c r="Q63" s="335">
        <f t="shared" si="38"/>
        <v>1.6287386564139705E-2</v>
      </c>
      <c r="R63" s="335">
        <f t="shared" si="38"/>
        <v>1.613781659729142E-2</v>
      </c>
      <c r="S63" s="335">
        <f t="shared" si="38"/>
        <v>1.6833596564394968E-2</v>
      </c>
      <c r="T63" s="335">
        <f t="shared" si="38"/>
        <v>1.8430687602219969E-2</v>
      </c>
      <c r="U63" s="335">
        <f t="shared" si="38"/>
        <v>1.8824299758373759E-2</v>
      </c>
      <c r="V63" s="335">
        <f t="shared" si="38"/>
        <v>1.8096133872854123E-2</v>
      </c>
      <c r="W63" s="335">
        <f t="shared" si="38"/>
        <v>1.9847344141617124E-2</v>
      </c>
      <c r="X63" s="335">
        <f t="shared" si="38"/>
        <v>1.6907607608723771E-2</v>
      </c>
      <c r="Y63" s="335">
        <f t="shared" si="38"/>
        <v>1.6954770819245187E-2</v>
      </c>
      <c r="Z63" s="335">
        <f t="shared" si="38"/>
        <v>1.6999689058804914E-2</v>
      </c>
      <c r="AA63" s="335">
        <f t="shared" si="38"/>
        <v>1.7042473222243885E-2</v>
      </c>
      <c r="AB63" s="335">
        <f t="shared" si="38"/>
        <v>1.708634557639643E-2</v>
      </c>
      <c r="AC63" s="335">
        <f t="shared" si="38"/>
        <v>1.7132356025878589E-2</v>
      </c>
      <c r="AD63" s="335">
        <f t="shared" si="38"/>
        <v>1.7178456373339604E-2</v>
      </c>
      <c r="AE63" s="335">
        <f t="shared" si="38"/>
        <v>1.7225873448693189E-2</v>
      </c>
      <c r="AF63" s="335">
        <f t="shared" si="38"/>
        <v>1.7273912471181964E-2</v>
      </c>
      <c r="AG63" s="335">
        <f t="shared" si="38"/>
        <v>1.732298957456764E-2</v>
      </c>
      <c r="AH63" s="335">
        <f t="shared" ref="AH63:AL63" si="39">AH16/AH$49</f>
        <v>1.7372080016799695E-2</v>
      </c>
      <c r="AI63" s="335">
        <f t="shared" si="39"/>
        <v>1.7421586016471584E-2</v>
      </c>
      <c r="AJ63" s="335">
        <f t="shared" si="39"/>
        <v>1.7471364725556167E-2</v>
      </c>
      <c r="AK63" s="335">
        <f t="shared" si="39"/>
        <v>1.752158541271974E-2</v>
      </c>
      <c r="AL63" s="335">
        <f t="shared" si="39"/>
        <v>1.7572321342947492E-2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7" x14ac:dyDescent="0.3">
      <c r="L64" s="232" t="str">
        <f>'Occ T3'!A19</f>
        <v>32 Health and social care associate professionals</v>
      </c>
      <c r="M64" s="335">
        <f t="shared" ref="M64:AG64" si="40">M17/M$49</f>
        <v>1.4411486047025019E-2</v>
      </c>
      <c r="N64" s="335">
        <f t="shared" si="40"/>
        <v>1.8383668574413807E-2</v>
      </c>
      <c r="O64" s="335">
        <f t="shared" si="40"/>
        <v>1.8017160476921618E-2</v>
      </c>
      <c r="P64" s="335">
        <f t="shared" si="40"/>
        <v>1.7759891103605395E-2</v>
      </c>
      <c r="Q64" s="335">
        <f t="shared" si="40"/>
        <v>1.7537245340328102E-2</v>
      </c>
      <c r="R64" s="335">
        <f t="shared" si="40"/>
        <v>1.7677347716892652E-2</v>
      </c>
      <c r="S64" s="335">
        <f t="shared" si="40"/>
        <v>1.7793521554213695E-2</v>
      </c>
      <c r="T64" s="335">
        <f t="shared" si="40"/>
        <v>1.7582861602591003E-2</v>
      </c>
      <c r="U64" s="335">
        <f t="shared" si="40"/>
        <v>1.9043982614097999E-2</v>
      </c>
      <c r="V64" s="335">
        <f t="shared" si="40"/>
        <v>1.8808441193762321E-2</v>
      </c>
      <c r="W64" s="335">
        <f t="shared" si="40"/>
        <v>1.9566757244764973E-2</v>
      </c>
      <c r="X64" s="335">
        <f t="shared" si="40"/>
        <v>1.8918257946760882E-2</v>
      </c>
      <c r="Y64" s="335">
        <f t="shared" si="40"/>
        <v>1.9026352007542807E-2</v>
      </c>
      <c r="Z64" s="335">
        <f t="shared" si="40"/>
        <v>1.9126430528692701E-2</v>
      </c>
      <c r="AA64" s="335">
        <f t="shared" si="40"/>
        <v>1.9229771007285113E-2</v>
      </c>
      <c r="AB64" s="335">
        <f t="shared" si="40"/>
        <v>1.9337048270874728E-2</v>
      </c>
      <c r="AC64" s="335">
        <f t="shared" si="40"/>
        <v>1.944237199859768E-2</v>
      </c>
      <c r="AD64" s="335">
        <f t="shared" si="40"/>
        <v>1.9548783398285932E-2</v>
      </c>
      <c r="AE64" s="335">
        <f t="shared" si="40"/>
        <v>1.9654386188504555E-2</v>
      </c>
      <c r="AF64" s="335">
        <f t="shared" si="40"/>
        <v>1.9760133391497785E-2</v>
      </c>
      <c r="AG64" s="335">
        <f t="shared" si="40"/>
        <v>1.9864884672557998E-2</v>
      </c>
      <c r="AH64" s="335">
        <f t="shared" ref="AH64:AL64" si="41">AH17/AH$49</f>
        <v>1.9969938385213461E-2</v>
      </c>
      <c r="AI64" s="335">
        <f t="shared" si="41"/>
        <v>2.0074874959039302E-2</v>
      </c>
      <c r="AJ64" s="335">
        <f t="shared" si="41"/>
        <v>2.0180020518731322E-2</v>
      </c>
      <c r="AK64" s="335">
        <f t="shared" si="41"/>
        <v>2.0285224416855454E-2</v>
      </c>
      <c r="AL64" s="335">
        <f t="shared" si="41"/>
        <v>2.0390391662120363E-2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2:53" x14ac:dyDescent="0.3">
      <c r="L65" s="232" t="str">
        <f>'Occ T3'!A20</f>
        <v>33 Protective service occupations</v>
      </c>
      <c r="M65" s="335">
        <f t="shared" ref="M65:AG65" si="42">M18/M$49</f>
        <v>1.0909002553135759E-2</v>
      </c>
      <c r="N65" s="335">
        <f t="shared" si="42"/>
        <v>1.2456330469976996E-2</v>
      </c>
      <c r="O65" s="335">
        <f t="shared" si="42"/>
        <v>1.2232808810715076E-2</v>
      </c>
      <c r="P65" s="335">
        <f t="shared" si="42"/>
        <v>1.1078398610261274E-2</v>
      </c>
      <c r="Q65" s="335">
        <f t="shared" si="42"/>
        <v>1.0808529681699083E-2</v>
      </c>
      <c r="R65" s="335">
        <f t="shared" si="42"/>
        <v>1.079590240631184E-2</v>
      </c>
      <c r="S65" s="335">
        <f t="shared" si="42"/>
        <v>1.1459138175832847E-2</v>
      </c>
      <c r="T65" s="335">
        <f t="shared" si="42"/>
        <v>1.0884821244678397E-2</v>
      </c>
      <c r="U65" s="335">
        <f t="shared" si="42"/>
        <v>1.0782537631938368E-2</v>
      </c>
      <c r="V65" s="335">
        <f t="shared" si="42"/>
        <v>1.0588155583579627E-2</v>
      </c>
      <c r="W65" s="335">
        <f t="shared" si="42"/>
        <v>1.13496144892911E-2</v>
      </c>
      <c r="X65" s="335">
        <f t="shared" si="42"/>
        <v>1.2571065119826086E-2</v>
      </c>
      <c r="Y65" s="335">
        <f t="shared" si="42"/>
        <v>1.2701118890769665E-2</v>
      </c>
      <c r="Z65" s="335">
        <f t="shared" si="42"/>
        <v>1.2828256591451415E-2</v>
      </c>
      <c r="AA65" s="335">
        <f t="shared" si="42"/>
        <v>1.2953396772154385E-2</v>
      </c>
      <c r="AB65" s="335">
        <f t="shared" si="42"/>
        <v>1.308001146156746E-2</v>
      </c>
      <c r="AC65" s="335">
        <f t="shared" si="42"/>
        <v>1.3208731865449509E-2</v>
      </c>
      <c r="AD65" s="335">
        <f t="shared" si="42"/>
        <v>1.3337595292878129E-2</v>
      </c>
      <c r="AE65" s="335">
        <f t="shared" si="42"/>
        <v>1.3467746355491613E-2</v>
      </c>
      <c r="AF65" s="335">
        <f t="shared" si="42"/>
        <v>1.3598556501185612E-2</v>
      </c>
      <c r="AG65" s="335">
        <f t="shared" si="42"/>
        <v>1.3730375141470352E-2</v>
      </c>
      <c r="AH65" s="335">
        <f t="shared" ref="AH65:AL65" si="43">AH18/AH$49</f>
        <v>1.3862208245307059E-2</v>
      </c>
      <c r="AI65" s="335">
        <f t="shared" si="43"/>
        <v>1.3994473073434785E-2</v>
      </c>
      <c r="AJ65" s="335">
        <f t="shared" si="43"/>
        <v>1.4127037901643325E-2</v>
      </c>
      <c r="AK65" s="335">
        <f t="shared" si="43"/>
        <v>1.4260085527064592E-2</v>
      </c>
      <c r="AL65" s="335">
        <f t="shared" si="43"/>
        <v>1.4393702436186609E-2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2:53" x14ac:dyDescent="0.3">
      <c r="L66" s="232" t="str">
        <f>'Occ T3'!A21</f>
        <v>34 Culture, media and sports occupations</v>
      </c>
      <c r="M66" s="335">
        <f t="shared" ref="M66:AG66" si="44">M19/M$49</f>
        <v>1.6581713100939425E-2</v>
      </c>
      <c r="N66" s="335">
        <f t="shared" si="44"/>
        <v>1.7503198753090483E-2</v>
      </c>
      <c r="O66" s="335">
        <f t="shared" si="44"/>
        <v>1.8768447695595592E-2</v>
      </c>
      <c r="P66" s="335">
        <f t="shared" si="44"/>
        <v>1.8656397735233827E-2</v>
      </c>
      <c r="Q66" s="335">
        <f t="shared" si="44"/>
        <v>2.0004454346764074E-2</v>
      </c>
      <c r="R66" s="335">
        <f t="shared" si="44"/>
        <v>2.0531087746528617E-2</v>
      </c>
      <c r="S66" s="335">
        <f t="shared" si="44"/>
        <v>2.0277928749282869E-2</v>
      </c>
      <c r="T66" s="335">
        <f t="shared" si="44"/>
        <v>2.0849876618466094E-2</v>
      </c>
      <c r="U66" s="335">
        <f t="shared" si="44"/>
        <v>2.0612851917684468E-2</v>
      </c>
      <c r="V66" s="335">
        <f t="shared" si="44"/>
        <v>1.9971374169220027E-2</v>
      </c>
      <c r="W66" s="335">
        <f t="shared" si="44"/>
        <v>2.1521020985933514E-2</v>
      </c>
      <c r="X66" s="335">
        <f t="shared" si="44"/>
        <v>2.0230243697918635E-2</v>
      </c>
      <c r="Y66" s="335">
        <f t="shared" si="44"/>
        <v>2.034316572252012E-2</v>
      </c>
      <c r="Z66" s="335">
        <f t="shared" si="44"/>
        <v>2.0485394888975265E-2</v>
      </c>
      <c r="AA66" s="335">
        <f t="shared" si="44"/>
        <v>2.0630856285854454E-2</v>
      </c>
      <c r="AB66" s="335">
        <f t="shared" si="44"/>
        <v>2.0766615425523337E-2</v>
      </c>
      <c r="AC66" s="335">
        <f t="shared" si="44"/>
        <v>2.0901794164200471E-2</v>
      </c>
      <c r="AD66" s="335">
        <f t="shared" si="44"/>
        <v>2.1038258055774556E-2</v>
      </c>
      <c r="AE66" s="335">
        <f t="shared" si="44"/>
        <v>2.1173004802780761E-2</v>
      </c>
      <c r="AF66" s="335">
        <f t="shared" si="44"/>
        <v>2.1307399262163861E-2</v>
      </c>
      <c r="AG66" s="335">
        <f t="shared" si="44"/>
        <v>2.1442478237770693E-2</v>
      </c>
      <c r="AH66" s="335">
        <f t="shared" ref="AH66:AL66" si="45">AH19/AH$49</f>
        <v>2.157864191520855E-2</v>
      </c>
      <c r="AI66" s="335">
        <f t="shared" si="45"/>
        <v>2.171545876046603E-2</v>
      </c>
      <c r="AJ66" s="335">
        <f t="shared" si="45"/>
        <v>2.1852331946568028E-2</v>
      </c>
      <c r="AK66" s="335">
        <f t="shared" si="45"/>
        <v>2.1989315201742628E-2</v>
      </c>
      <c r="AL66" s="335">
        <f t="shared" si="45"/>
        <v>2.2126290819909814E-2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2:53" x14ac:dyDescent="0.3">
      <c r="L67" s="232" t="str">
        <f>'Occ T3'!A22</f>
        <v>35 Business and public service associate professionals</v>
      </c>
      <c r="M67" s="335">
        <f t="shared" ref="M67:AG67" si="46">M20/M$49</f>
        <v>6.2355038388323861E-2</v>
      </c>
      <c r="N67" s="335">
        <f t="shared" si="46"/>
        <v>5.809609765823158E-2</v>
      </c>
      <c r="O67" s="335">
        <f t="shared" si="46"/>
        <v>5.9886782826281057E-2</v>
      </c>
      <c r="P67" s="335">
        <f t="shared" si="46"/>
        <v>5.9624471660368009E-2</v>
      </c>
      <c r="Q67" s="335">
        <f t="shared" si="46"/>
        <v>6.0595595878598481E-2</v>
      </c>
      <c r="R67" s="335">
        <f t="shared" si="46"/>
        <v>6.0228427981015173E-2</v>
      </c>
      <c r="S67" s="335">
        <f t="shared" si="46"/>
        <v>6.0767817706452079E-2</v>
      </c>
      <c r="T67" s="335">
        <f t="shared" si="46"/>
        <v>6.128607707197907E-2</v>
      </c>
      <c r="U67" s="335">
        <f t="shared" si="46"/>
        <v>6.1013667758724299E-2</v>
      </c>
      <c r="V67" s="335">
        <f t="shared" si="46"/>
        <v>6.1783020304720902E-2</v>
      </c>
      <c r="W67" s="335">
        <f t="shared" si="46"/>
        <v>6.4439445317384395E-2</v>
      </c>
      <c r="X67" s="335">
        <f t="shared" si="46"/>
        <v>6.0418088633733165E-2</v>
      </c>
      <c r="Y67" s="335">
        <f t="shared" si="46"/>
        <v>6.0450467721373351E-2</v>
      </c>
      <c r="Z67" s="335">
        <f t="shared" si="46"/>
        <v>6.0466037443662107E-2</v>
      </c>
      <c r="AA67" s="335">
        <f t="shared" si="46"/>
        <v>6.0477398654124472E-2</v>
      </c>
      <c r="AB67" s="335">
        <f t="shared" si="46"/>
        <v>6.0494002288787783E-2</v>
      </c>
      <c r="AC67" s="335">
        <f t="shared" si="46"/>
        <v>6.0512959322389967E-2</v>
      </c>
      <c r="AD67" s="335">
        <f t="shared" si="46"/>
        <v>6.0532352759992282E-2</v>
      </c>
      <c r="AE67" s="335">
        <f t="shared" si="46"/>
        <v>6.0552935550132816E-2</v>
      </c>
      <c r="AF67" s="335">
        <f t="shared" si="46"/>
        <v>6.0574029320151414E-2</v>
      </c>
      <c r="AG67" s="335">
        <f t="shared" si="46"/>
        <v>6.0595387224530561E-2</v>
      </c>
      <c r="AH67" s="335">
        <f t="shared" ref="AH67:AL67" si="47">AH20/AH$49</f>
        <v>6.0615760528982272E-2</v>
      </c>
      <c r="AI67" s="335">
        <f t="shared" si="47"/>
        <v>6.0635801147996174E-2</v>
      </c>
      <c r="AJ67" s="335">
        <f t="shared" si="47"/>
        <v>6.0655399535751442E-2</v>
      </c>
      <c r="AK67" s="335">
        <f t="shared" si="47"/>
        <v>6.0674908856538312E-2</v>
      </c>
      <c r="AL67" s="335">
        <f t="shared" si="47"/>
        <v>6.0694419180557124E-2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2:53" x14ac:dyDescent="0.3">
      <c r="L68" s="232"/>
      <c r="M68" s="335"/>
      <c r="N68" s="335"/>
      <c r="O68" s="335"/>
      <c r="P68" s="335"/>
      <c r="Q68" s="335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K68" s="335"/>
      <c r="AL68" s="335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2:53" x14ac:dyDescent="0.3">
      <c r="L69" s="16" t="str">
        <f>'Occ T3'!A24</f>
        <v>Administrative and secretarial occupations</v>
      </c>
      <c r="M69" s="336">
        <f t="shared" ref="M69:AG69" si="48">M22/M$49</f>
        <v>0.11655897307391488</v>
      </c>
      <c r="N69" s="336">
        <f t="shared" si="48"/>
        <v>0.1149302391146915</v>
      </c>
      <c r="O69" s="336">
        <f t="shared" si="48"/>
        <v>0.11429831548274319</v>
      </c>
      <c r="P69" s="336">
        <f t="shared" si="48"/>
        <v>0.11206529861190953</v>
      </c>
      <c r="Q69" s="336">
        <f t="shared" si="48"/>
        <v>0.11134142596718992</v>
      </c>
      <c r="R69" s="336">
        <f t="shared" si="48"/>
        <v>0.11099400538933417</v>
      </c>
      <c r="S69" s="336">
        <f t="shared" si="48"/>
        <v>0.10600383369088505</v>
      </c>
      <c r="T69" s="336">
        <f t="shared" si="48"/>
        <v>0.10852537159609643</v>
      </c>
      <c r="U69" s="336">
        <f t="shared" si="48"/>
        <v>0.10668165707817738</v>
      </c>
      <c r="V69" s="336">
        <f t="shared" si="48"/>
        <v>0.10257384839191185</v>
      </c>
      <c r="W69" s="336">
        <f t="shared" si="48"/>
        <v>0.1069834656448429</v>
      </c>
      <c r="X69" s="336">
        <f t="shared" si="48"/>
        <v>0.1025493024783667</v>
      </c>
      <c r="Y69" s="336">
        <f t="shared" si="48"/>
        <v>0.10147436417485482</v>
      </c>
      <c r="Z69" s="336">
        <f t="shared" si="48"/>
        <v>0.10033891233306455</v>
      </c>
      <c r="AA69" s="336">
        <f t="shared" si="48"/>
        <v>9.9209637067020559E-2</v>
      </c>
      <c r="AB69" s="336">
        <f t="shared" si="48"/>
        <v>9.8097007630803382E-2</v>
      </c>
      <c r="AC69" s="336">
        <f t="shared" si="48"/>
        <v>9.6972203903382792E-2</v>
      </c>
      <c r="AD69" s="336">
        <f t="shared" si="48"/>
        <v>9.5845363336972841E-2</v>
      </c>
      <c r="AE69" s="336">
        <f t="shared" si="48"/>
        <v>9.471236709307615E-2</v>
      </c>
      <c r="AF69" s="336">
        <f t="shared" si="48"/>
        <v>9.3575407401527422E-2</v>
      </c>
      <c r="AG69" s="336">
        <f t="shared" si="48"/>
        <v>9.2430466001659967E-2</v>
      </c>
      <c r="AH69" s="336">
        <f t="shared" ref="AH69:AL69" si="49">AH22/AH$49</f>
        <v>9.1281479142871089E-2</v>
      </c>
      <c r="AI69" s="336">
        <f t="shared" si="49"/>
        <v>9.0127453279971223E-2</v>
      </c>
      <c r="AJ69" s="336">
        <f t="shared" si="49"/>
        <v>8.8969847242058309E-2</v>
      </c>
      <c r="AK69" s="336">
        <f t="shared" si="49"/>
        <v>8.7808142414514984E-2</v>
      </c>
      <c r="AL69" s="336">
        <f t="shared" si="49"/>
        <v>8.6642192973352267E-2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2:53" x14ac:dyDescent="0.3">
      <c r="L70" s="232" t="str">
        <f>'Occ T3'!A25</f>
        <v>41 Administrative occupations</v>
      </c>
      <c r="M70" s="335">
        <f t="shared" ref="M70:AG70" si="50">M23/M$49</f>
        <v>8.902141562499824E-2</v>
      </c>
      <c r="N70" s="335">
        <f t="shared" si="50"/>
        <v>8.9862946036268265E-2</v>
      </c>
      <c r="O70" s="335">
        <f t="shared" si="50"/>
        <v>9.0164103860486622E-2</v>
      </c>
      <c r="P70" s="335">
        <f t="shared" si="50"/>
        <v>8.7252457600658404E-2</v>
      </c>
      <c r="Q70" s="335">
        <f t="shared" si="50"/>
        <v>8.7178117660958482E-2</v>
      </c>
      <c r="R70" s="335">
        <f t="shared" si="50"/>
        <v>8.8640920675782511E-2</v>
      </c>
      <c r="S70" s="335">
        <f t="shared" si="50"/>
        <v>8.501645625701737E-2</v>
      </c>
      <c r="T70" s="335">
        <f t="shared" si="50"/>
        <v>8.6969780841888514E-2</v>
      </c>
      <c r="U70" s="335">
        <f t="shared" si="50"/>
        <v>8.4934396217787658E-2</v>
      </c>
      <c r="V70" s="335">
        <f t="shared" si="50"/>
        <v>8.3024343103895129E-2</v>
      </c>
      <c r="W70" s="335">
        <f t="shared" si="50"/>
        <v>8.7658264963118168E-2</v>
      </c>
      <c r="X70" s="335">
        <f t="shared" si="50"/>
        <v>8.1169847919664723E-2</v>
      </c>
      <c r="Y70" s="335">
        <f t="shared" si="50"/>
        <v>8.0520937748405297E-2</v>
      </c>
      <c r="Z70" s="335">
        <f t="shared" si="50"/>
        <v>7.9827849086440625E-2</v>
      </c>
      <c r="AA70" s="335">
        <f t="shared" si="50"/>
        <v>7.9137432838894683E-2</v>
      </c>
      <c r="AB70" s="335">
        <f t="shared" si="50"/>
        <v>7.8459135645307265E-2</v>
      </c>
      <c r="AC70" s="335">
        <f t="shared" si="50"/>
        <v>7.7773448004602438E-2</v>
      </c>
      <c r="AD70" s="335">
        <f t="shared" si="50"/>
        <v>7.708610799311974E-2</v>
      </c>
      <c r="AE70" s="335">
        <f t="shared" si="50"/>
        <v>7.6394834756273344E-2</v>
      </c>
      <c r="AF70" s="335">
        <f t="shared" si="50"/>
        <v>7.5700821960183448E-2</v>
      </c>
      <c r="AG70" s="335">
        <f t="shared" si="50"/>
        <v>7.500141637666459E-2</v>
      </c>
      <c r="AH70" s="335">
        <f t="shared" ref="AH70:AL70" si="51">AH23/AH$49</f>
        <v>7.4298874344200697E-2</v>
      </c>
      <c r="AI70" s="335">
        <f t="shared" si="51"/>
        <v>7.3592742401215785E-2</v>
      </c>
      <c r="AJ70" s="335">
        <f t="shared" si="51"/>
        <v>7.2883954750919175E-2</v>
      </c>
      <c r="AK70" s="335">
        <f t="shared" si="51"/>
        <v>7.2172243740713141E-2</v>
      </c>
      <c r="AL70" s="335">
        <f t="shared" si="51"/>
        <v>7.1457551841046019E-2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2:53" x14ac:dyDescent="0.3">
      <c r="L71" s="232" t="str">
        <f>'Occ T3'!A26</f>
        <v>42 Secretarial and related occupations</v>
      </c>
      <c r="M71" s="335">
        <f t="shared" ref="M71:AG71" si="52">M24/M$49</f>
        <v>2.7537557448916651E-2</v>
      </c>
      <c r="N71" s="335">
        <f t="shared" si="52"/>
        <v>2.5067293078423234E-2</v>
      </c>
      <c r="O71" s="335">
        <f t="shared" si="52"/>
        <v>2.4134211622256572E-2</v>
      </c>
      <c r="P71" s="335">
        <f t="shared" si="52"/>
        <v>2.4812841011251124E-2</v>
      </c>
      <c r="Q71" s="335">
        <f t="shared" si="52"/>
        <v>2.4163308306231437E-2</v>
      </c>
      <c r="R71" s="335">
        <f t="shared" si="52"/>
        <v>2.2353084713551651E-2</v>
      </c>
      <c r="S71" s="335">
        <f t="shared" si="52"/>
        <v>2.0987377433867679E-2</v>
      </c>
      <c r="T71" s="335">
        <f t="shared" si="52"/>
        <v>2.1555590754207911E-2</v>
      </c>
      <c r="U71" s="335">
        <f t="shared" si="52"/>
        <v>2.1747260860389715E-2</v>
      </c>
      <c r="V71" s="335">
        <f t="shared" si="52"/>
        <v>1.9549505288016723E-2</v>
      </c>
      <c r="W71" s="335">
        <f t="shared" si="52"/>
        <v>1.9325200681724736E-2</v>
      </c>
      <c r="X71" s="335">
        <f t="shared" si="52"/>
        <v>2.1379454558701976E-2</v>
      </c>
      <c r="Y71" s="335">
        <f t="shared" si="52"/>
        <v>2.0953426426449522E-2</v>
      </c>
      <c r="Z71" s="335">
        <f t="shared" si="52"/>
        <v>2.0511063246623929E-2</v>
      </c>
      <c r="AA71" s="335">
        <f t="shared" si="52"/>
        <v>2.0072204228125879E-2</v>
      </c>
      <c r="AB71" s="335">
        <f t="shared" si="52"/>
        <v>1.9637871985496113E-2</v>
      </c>
      <c r="AC71" s="335">
        <f t="shared" si="52"/>
        <v>1.919875589878035E-2</v>
      </c>
      <c r="AD71" s="335">
        <f t="shared" si="52"/>
        <v>1.8759255343853101E-2</v>
      </c>
      <c r="AE71" s="335">
        <f t="shared" si="52"/>
        <v>1.8317532336802795E-2</v>
      </c>
      <c r="AF71" s="335">
        <f t="shared" si="52"/>
        <v>1.787458544134396E-2</v>
      </c>
      <c r="AG71" s="335">
        <f t="shared" si="52"/>
        <v>1.7429049624995367E-2</v>
      </c>
      <c r="AH71" s="335">
        <f t="shared" ref="AH71:AL71" si="53">AH24/AH$49</f>
        <v>1.6982604798670392E-2</v>
      </c>
      <c r="AI71" s="335">
        <f t="shared" si="53"/>
        <v>1.6534710878755444E-2</v>
      </c>
      <c r="AJ71" s="335">
        <f t="shared" si="53"/>
        <v>1.6085892491139134E-2</v>
      </c>
      <c r="AK71" s="335">
        <f t="shared" si="53"/>
        <v>1.5635898673801839E-2</v>
      </c>
      <c r="AL71" s="335">
        <f t="shared" si="53"/>
        <v>1.5184641132306234E-2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2:53" x14ac:dyDescent="0.3">
      <c r="L72" s="232"/>
      <c r="M72" s="335"/>
      <c r="N72" s="335"/>
      <c r="O72" s="335"/>
      <c r="P72" s="335"/>
      <c r="Q72" s="335"/>
      <c r="R72" s="335"/>
      <c r="S72" s="335"/>
      <c r="T72" s="335"/>
      <c r="U72" s="335"/>
      <c r="V72" s="335"/>
      <c r="W72" s="335"/>
      <c r="X72" s="335"/>
      <c r="Y72" s="335"/>
      <c r="Z72" s="335"/>
      <c r="AA72" s="335"/>
      <c r="AB72" s="335"/>
      <c r="AC72" s="335"/>
      <c r="AD72" s="335"/>
      <c r="AE72" s="335"/>
      <c r="AF72" s="335"/>
      <c r="AG72" s="335"/>
      <c r="AH72" s="335"/>
      <c r="AI72" s="335"/>
      <c r="AJ72" s="335"/>
      <c r="AK72" s="335"/>
      <c r="AL72" s="335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2:53" x14ac:dyDescent="0.3">
      <c r="L73" s="16" t="str">
        <f>'Occ T3'!A28</f>
        <v>Skilled trades occupations</v>
      </c>
      <c r="M73" s="336">
        <f t="shared" ref="M73:AG73" si="54">M26/M$49</f>
        <v>0.10561219265663149</v>
      </c>
      <c r="N73" s="336">
        <f t="shared" si="54"/>
        <v>0.104246259581063</v>
      </c>
      <c r="O73" s="336">
        <f t="shared" si="54"/>
        <v>0.10214150196650792</v>
      </c>
      <c r="P73" s="336">
        <f t="shared" si="54"/>
        <v>0.10234713389916093</v>
      </c>
      <c r="Q73" s="336">
        <f t="shared" si="54"/>
        <v>0.10400988629361597</v>
      </c>
      <c r="R73" s="336">
        <f t="shared" si="54"/>
        <v>0.10366919789235356</v>
      </c>
      <c r="S73" s="336">
        <f t="shared" si="54"/>
        <v>9.9903565168572975E-2</v>
      </c>
      <c r="T73" s="336">
        <f t="shared" si="54"/>
        <v>9.986813319341481E-2</v>
      </c>
      <c r="U73" s="336">
        <f t="shared" si="54"/>
        <v>9.6368391546500287E-2</v>
      </c>
      <c r="V73" s="336">
        <f t="shared" si="54"/>
        <v>9.7114552644476146E-2</v>
      </c>
      <c r="W73" s="336">
        <f t="shared" si="54"/>
        <v>8.6602745907830722E-2</v>
      </c>
      <c r="X73" s="336">
        <f t="shared" si="54"/>
        <v>8.7530547144763549E-2</v>
      </c>
      <c r="Y73" s="336">
        <f t="shared" si="54"/>
        <v>8.6903116261127178E-2</v>
      </c>
      <c r="Z73" s="336">
        <f t="shared" si="54"/>
        <v>8.6370580925906354E-2</v>
      </c>
      <c r="AA73" s="336">
        <f t="shared" si="54"/>
        <v>8.582118579811919E-2</v>
      </c>
      <c r="AB73" s="336">
        <f t="shared" si="54"/>
        <v>8.5229914197017184E-2</v>
      </c>
      <c r="AC73" s="336">
        <f t="shared" si="54"/>
        <v>8.4650440125529733E-2</v>
      </c>
      <c r="AD73" s="336">
        <f t="shared" si="54"/>
        <v>8.4069635934443457E-2</v>
      </c>
      <c r="AE73" s="336">
        <f t="shared" si="54"/>
        <v>8.3495113291013459E-2</v>
      </c>
      <c r="AF73" s="336">
        <f t="shared" si="54"/>
        <v>8.2922428093777881E-2</v>
      </c>
      <c r="AG73" s="336">
        <f t="shared" si="54"/>
        <v>8.2359110633354521E-2</v>
      </c>
      <c r="AH73" s="336">
        <f t="shared" ref="AH73:AL73" si="55">AH26/AH$49</f>
        <v>8.1798979819745488E-2</v>
      </c>
      <c r="AI73" s="336">
        <f t="shared" si="55"/>
        <v>8.1243428766914191E-2</v>
      </c>
      <c r="AJ73" s="336">
        <f t="shared" si="55"/>
        <v>8.0689730902402626E-2</v>
      </c>
      <c r="AK73" s="336">
        <f t="shared" si="55"/>
        <v>8.0138769688949507E-2</v>
      </c>
      <c r="AL73" s="336">
        <f t="shared" si="55"/>
        <v>7.9590690047033577E-2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2:53" x14ac:dyDescent="0.3">
      <c r="L74" s="232" t="str">
        <f>'Occ T3'!A29</f>
        <v>51 Skilled agricultural and related trades</v>
      </c>
      <c r="M74" s="335">
        <f t="shared" ref="M74:AG74" si="56">M27/M$49</f>
        <v>1.1921602701436983E-2</v>
      </c>
      <c r="N74" s="335">
        <f t="shared" si="56"/>
        <v>1.1805360055340811E-2</v>
      </c>
      <c r="O74" s="335">
        <f t="shared" si="56"/>
        <v>1.2254885114508739E-2</v>
      </c>
      <c r="P74" s="335">
        <f t="shared" si="56"/>
        <v>1.1609053198585335E-2</v>
      </c>
      <c r="Q74" s="335">
        <f t="shared" si="56"/>
        <v>1.2324357069523707E-2</v>
      </c>
      <c r="R74" s="335">
        <f t="shared" si="56"/>
        <v>1.2026255314152568E-2</v>
      </c>
      <c r="S74" s="335">
        <f t="shared" si="56"/>
        <v>1.1686699578917393E-2</v>
      </c>
      <c r="T74" s="335">
        <f t="shared" si="56"/>
        <v>1.1244439177639478E-2</v>
      </c>
      <c r="U74" s="335">
        <f t="shared" si="56"/>
        <v>1.1029923999177453E-2</v>
      </c>
      <c r="V74" s="335">
        <f t="shared" si="56"/>
        <v>1.1549992204956254E-2</v>
      </c>
      <c r="W74" s="335">
        <f t="shared" si="56"/>
        <v>1.076399141084298E-2</v>
      </c>
      <c r="X74" s="335">
        <f t="shared" si="56"/>
        <v>1.0502200477302402E-2</v>
      </c>
      <c r="Y74" s="335">
        <f t="shared" si="56"/>
        <v>1.0544603474590472E-2</v>
      </c>
      <c r="Z74" s="335">
        <f t="shared" si="56"/>
        <v>1.0607190306785775E-2</v>
      </c>
      <c r="AA74" s="335">
        <f t="shared" si="56"/>
        <v>1.0668808617040863E-2</v>
      </c>
      <c r="AB74" s="335">
        <f t="shared" si="56"/>
        <v>1.0721769076092676E-2</v>
      </c>
      <c r="AC74" s="335">
        <f t="shared" si="56"/>
        <v>1.0775360211782731E-2</v>
      </c>
      <c r="AD74" s="335">
        <f t="shared" si="56"/>
        <v>1.0828994460169021E-2</v>
      </c>
      <c r="AE74" s="335">
        <f t="shared" si="56"/>
        <v>1.0882680021054027E-2</v>
      </c>
      <c r="AF74" s="335">
        <f t="shared" si="56"/>
        <v>1.0936321275696942E-2</v>
      </c>
      <c r="AG74" s="335">
        <f t="shared" si="56"/>
        <v>1.0991053430754428E-2</v>
      </c>
      <c r="AH74" s="335">
        <f t="shared" ref="AH74:AL74" si="57">AH27/AH$49</f>
        <v>1.1046524825036742E-2</v>
      </c>
      <c r="AI74" s="335">
        <f t="shared" si="57"/>
        <v>1.1102692301567978E-2</v>
      </c>
      <c r="AJ74" s="335">
        <f t="shared" si="57"/>
        <v>1.1159079336162663E-2</v>
      </c>
      <c r="AK74" s="335">
        <f t="shared" si="57"/>
        <v>1.1215770045872679E-2</v>
      </c>
      <c r="AL74" s="335">
        <f t="shared" si="57"/>
        <v>1.1272733679343856E-2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2:53" x14ac:dyDescent="0.3">
      <c r="L75" s="232" t="str">
        <f>'Occ T3'!A30</f>
        <v>52 Skilled metal, electrical and electronic trades</v>
      </c>
      <c r="M75" s="335">
        <f t="shared" ref="M75:AG75" si="58">M28/M$49</f>
        <v>3.6669941909965337E-2</v>
      </c>
      <c r="N75" s="335">
        <f t="shared" si="58"/>
        <v>3.7606935678780595E-2</v>
      </c>
      <c r="O75" s="335">
        <f t="shared" si="58"/>
        <v>3.5276307808504215E-2</v>
      </c>
      <c r="P75" s="335">
        <f t="shared" si="58"/>
        <v>3.6142929885605378E-2</v>
      </c>
      <c r="Q75" s="335">
        <f t="shared" si="58"/>
        <v>3.711015471996338E-2</v>
      </c>
      <c r="R75" s="335">
        <f t="shared" si="58"/>
        <v>3.6932621575439646E-2</v>
      </c>
      <c r="S75" s="335">
        <f t="shared" si="58"/>
        <v>3.5809511401587876E-2</v>
      </c>
      <c r="T75" s="335">
        <f t="shared" si="58"/>
        <v>3.4895273587696896E-2</v>
      </c>
      <c r="U75" s="335">
        <f t="shared" si="58"/>
        <v>3.4448800952288749E-2</v>
      </c>
      <c r="V75" s="335">
        <f t="shared" si="58"/>
        <v>3.5694687556422217E-2</v>
      </c>
      <c r="W75" s="335">
        <f t="shared" si="58"/>
        <v>3.1507601615278796E-2</v>
      </c>
      <c r="X75" s="335">
        <f t="shared" si="58"/>
        <v>3.1496211730065497E-2</v>
      </c>
      <c r="Y75" s="335">
        <f t="shared" si="58"/>
        <v>3.1185030664741455E-2</v>
      </c>
      <c r="Z75" s="335">
        <f t="shared" si="58"/>
        <v>3.089221883733571E-2</v>
      </c>
      <c r="AA75" s="335">
        <f t="shared" si="58"/>
        <v>3.0592962055107632E-2</v>
      </c>
      <c r="AB75" s="335">
        <f t="shared" si="58"/>
        <v>3.028762327509359E-2</v>
      </c>
      <c r="AC75" s="335">
        <f t="shared" si="58"/>
        <v>2.9989838503094488E-2</v>
      </c>
      <c r="AD75" s="335">
        <f t="shared" si="58"/>
        <v>2.9692337837599961E-2</v>
      </c>
      <c r="AE75" s="335">
        <f t="shared" si="58"/>
        <v>2.9399436046077421E-2</v>
      </c>
      <c r="AF75" s="335">
        <f t="shared" si="58"/>
        <v>2.9108721595604858E-2</v>
      </c>
      <c r="AG75" s="335">
        <f t="shared" si="58"/>
        <v>2.8822736128572186E-2</v>
      </c>
      <c r="AH75" s="335">
        <f t="shared" ref="AH75:AL75" si="59">AH28/AH$49</f>
        <v>2.8538206740827646E-2</v>
      </c>
      <c r="AI75" s="335">
        <f t="shared" si="59"/>
        <v>2.825615737041837E-2</v>
      </c>
      <c r="AJ75" s="335">
        <f t="shared" si="59"/>
        <v>2.7975763598693384E-2</v>
      </c>
      <c r="AK75" s="335">
        <f t="shared" si="59"/>
        <v>2.7697448532035627E-2</v>
      </c>
      <c r="AL75" s="335">
        <f t="shared" si="59"/>
        <v>2.7421366698199362E-2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2:53" x14ac:dyDescent="0.3">
      <c r="L76" s="232" t="str">
        <f>'Occ T3'!A31</f>
        <v>53 Skilled construction and building trades</v>
      </c>
      <c r="M76" s="335">
        <f t="shared" ref="M76:AG76" si="60">M29/M$49</f>
        <v>3.5791905375556973E-2</v>
      </c>
      <c r="N76" s="335">
        <f t="shared" si="60"/>
        <v>3.3735670714971515E-2</v>
      </c>
      <c r="O76" s="335">
        <f t="shared" si="60"/>
        <v>3.2313860524739467E-2</v>
      </c>
      <c r="P76" s="335">
        <f t="shared" si="60"/>
        <v>3.2604148708505531E-2</v>
      </c>
      <c r="Q76" s="335">
        <f t="shared" si="60"/>
        <v>3.2470086099024034E-2</v>
      </c>
      <c r="R76" s="335">
        <f t="shared" si="60"/>
        <v>3.2261809581898407E-2</v>
      </c>
      <c r="S76" s="335">
        <f t="shared" si="60"/>
        <v>3.0593939032546202E-2</v>
      </c>
      <c r="T76" s="335">
        <f t="shared" si="60"/>
        <v>3.1747167526900898E-2</v>
      </c>
      <c r="U76" s="335">
        <f t="shared" si="60"/>
        <v>3.0147187484877529E-2</v>
      </c>
      <c r="V76" s="335">
        <f t="shared" si="60"/>
        <v>3.0378104730305111E-2</v>
      </c>
      <c r="W76" s="335">
        <f t="shared" si="60"/>
        <v>2.5807277357228431E-2</v>
      </c>
      <c r="X76" s="335">
        <f t="shared" si="60"/>
        <v>2.7301823027380288E-2</v>
      </c>
      <c r="Y76" s="335">
        <f t="shared" si="60"/>
        <v>2.7020085891107288E-2</v>
      </c>
      <c r="Z76" s="335">
        <f t="shared" si="60"/>
        <v>2.6788590002794526E-2</v>
      </c>
      <c r="AA76" s="335">
        <f t="shared" si="60"/>
        <v>2.654708356044147E-2</v>
      </c>
      <c r="AB76" s="335">
        <f t="shared" si="60"/>
        <v>2.6279679865595516E-2</v>
      </c>
      <c r="AC76" s="335">
        <f t="shared" si="60"/>
        <v>2.6015287120230945E-2</v>
      </c>
      <c r="AD76" s="335">
        <f t="shared" si="60"/>
        <v>2.5748998503672696E-2</v>
      </c>
      <c r="AE76" s="335">
        <f t="shared" si="60"/>
        <v>2.5484451730626554E-2</v>
      </c>
      <c r="AF76" s="335">
        <f t="shared" si="60"/>
        <v>2.5219547135633728E-2</v>
      </c>
      <c r="AG76" s="335">
        <f t="shared" si="60"/>
        <v>2.4957820285181315E-2</v>
      </c>
      <c r="AH76" s="335">
        <f t="shared" ref="AH76:AL76" si="61">AH29/AH$49</f>
        <v>2.4696863103720455E-2</v>
      </c>
      <c r="AI76" s="335">
        <f t="shared" si="61"/>
        <v>2.4437099249533103E-2</v>
      </c>
      <c r="AJ76" s="335">
        <f t="shared" si="61"/>
        <v>2.4177223871882762E-2</v>
      </c>
      <c r="AK76" s="335">
        <f t="shared" si="61"/>
        <v>2.3917608299278848E-2</v>
      </c>
      <c r="AL76" s="335">
        <f t="shared" si="61"/>
        <v>2.3658280026474719E-2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2:53" x14ac:dyDescent="0.3">
      <c r="L77" s="232" t="str">
        <f>'Occ T3'!A32</f>
        <v>54 Textiles, printing and other skilled trades</v>
      </c>
      <c r="M77" s="335">
        <f t="shared" ref="M77:AG77" si="62">M30/M$49</f>
        <v>2.1228742669672198E-2</v>
      </c>
      <c r="N77" s="335">
        <f t="shared" si="62"/>
        <v>2.1098293131970071E-2</v>
      </c>
      <c r="O77" s="335">
        <f t="shared" si="62"/>
        <v>2.2296448518755514E-2</v>
      </c>
      <c r="P77" s="335">
        <f t="shared" si="62"/>
        <v>2.1991002106464694E-2</v>
      </c>
      <c r="Q77" s="335">
        <f t="shared" si="62"/>
        <v>2.2105288405104846E-2</v>
      </c>
      <c r="R77" s="335">
        <f t="shared" si="62"/>
        <v>2.2448511420862946E-2</v>
      </c>
      <c r="S77" s="335">
        <f t="shared" si="62"/>
        <v>2.1813415155521501E-2</v>
      </c>
      <c r="T77" s="335">
        <f t="shared" si="62"/>
        <v>2.1981252901177535E-2</v>
      </c>
      <c r="U77" s="335">
        <f t="shared" si="62"/>
        <v>2.0742479110156552E-2</v>
      </c>
      <c r="V77" s="335">
        <f t="shared" si="62"/>
        <v>1.9491768152792577E-2</v>
      </c>
      <c r="W77" s="335">
        <f t="shared" si="62"/>
        <v>1.8523875524480513E-2</v>
      </c>
      <c r="X77" s="335">
        <f t="shared" si="62"/>
        <v>1.8230311910015357E-2</v>
      </c>
      <c r="Y77" s="335">
        <f t="shared" si="62"/>
        <v>1.8153396230687964E-2</v>
      </c>
      <c r="Z77" s="335">
        <f t="shared" si="62"/>
        <v>1.8082581778990345E-2</v>
      </c>
      <c r="AA77" s="335">
        <f t="shared" si="62"/>
        <v>1.8012331565529234E-2</v>
      </c>
      <c r="AB77" s="335">
        <f t="shared" si="62"/>
        <v>1.7940841980235402E-2</v>
      </c>
      <c r="AC77" s="335">
        <f t="shared" si="62"/>
        <v>1.7869954290421559E-2</v>
      </c>
      <c r="AD77" s="335">
        <f t="shared" si="62"/>
        <v>1.7799305133001788E-2</v>
      </c>
      <c r="AE77" s="335">
        <f t="shared" si="62"/>
        <v>1.7728545493255463E-2</v>
      </c>
      <c r="AF77" s="335">
        <f t="shared" si="62"/>
        <v>1.7657838086842358E-2</v>
      </c>
      <c r="AG77" s="335">
        <f t="shared" si="62"/>
        <v>1.7587500788846591E-2</v>
      </c>
      <c r="AH77" s="335">
        <f t="shared" ref="AH77:AL77" si="63">AH30/AH$49</f>
        <v>1.7517385150160658E-2</v>
      </c>
      <c r="AI77" s="335">
        <f t="shared" si="63"/>
        <v>1.7447479845394742E-2</v>
      </c>
      <c r="AJ77" s="335">
        <f t="shared" si="63"/>
        <v>1.7377664095663818E-2</v>
      </c>
      <c r="AK77" s="335">
        <f t="shared" si="63"/>
        <v>1.7307942811762352E-2</v>
      </c>
      <c r="AL77" s="335">
        <f t="shared" si="63"/>
        <v>1.7238309643015631E-2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2:53" x14ac:dyDescent="0.3">
      <c r="L78" s="232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  <c r="AK78" s="335"/>
      <c r="AL78" s="335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2:53" x14ac:dyDescent="0.3">
      <c r="L79" s="16" t="str">
        <f>'Occ T3'!A34</f>
        <v>Caring, leisure and other service occupations</v>
      </c>
      <c r="M79" s="336">
        <f>M32/M$49</f>
        <v>9.4121417069764957E-2</v>
      </c>
      <c r="N79" s="336">
        <f t="shared" ref="N79:AG79" si="64">N32/N$49</f>
        <v>9.1539340603884523E-2</v>
      </c>
      <c r="O79" s="336">
        <f t="shared" si="64"/>
        <v>9.0657448975328694E-2</v>
      </c>
      <c r="P79" s="336">
        <f t="shared" si="64"/>
        <v>9.2203696985798902E-2</v>
      </c>
      <c r="Q79" s="336">
        <f t="shared" si="64"/>
        <v>9.2871581069780454E-2</v>
      </c>
      <c r="R79" s="336">
        <f t="shared" si="64"/>
        <v>9.3552514649410182E-2</v>
      </c>
      <c r="S79" s="336">
        <f t="shared" si="64"/>
        <v>9.4129584783293599E-2</v>
      </c>
      <c r="T79" s="336">
        <f t="shared" si="64"/>
        <v>9.2939720805205406E-2</v>
      </c>
      <c r="U79" s="336">
        <f t="shared" si="64"/>
        <v>9.079963838831405E-2</v>
      </c>
      <c r="V79" s="336">
        <f t="shared" si="64"/>
        <v>9.1931968061577232E-2</v>
      </c>
      <c r="W79" s="336">
        <f t="shared" si="64"/>
        <v>8.9593813496447058E-2</v>
      </c>
      <c r="X79" s="336">
        <f t="shared" si="64"/>
        <v>9.1808796203598664E-2</v>
      </c>
      <c r="Y79" s="336">
        <f t="shared" si="64"/>
        <v>9.2172371630281358E-2</v>
      </c>
      <c r="Z79" s="336">
        <f t="shared" si="64"/>
        <v>9.2507259792424495E-2</v>
      </c>
      <c r="AA79" s="336">
        <f t="shared" si="64"/>
        <v>9.2860402387192384E-2</v>
      </c>
      <c r="AB79" s="336">
        <f t="shared" si="64"/>
        <v>9.3229382064168961E-2</v>
      </c>
      <c r="AC79" s="336">
        <f t="shared" si="64"/>
        <v>9.3587131724052641E-2</v>
      </c>
      <c r="AD79" s="336">
        <f t="shared" si="64"/>
        <v>9.3949202464751316E-2</v>
      </c>
      <c r="AE79" s="336">
        <f t="shared" si="64"/>
        <v>9.4305749123697463E-2</v>
      </c>
      <c r="AF79" s="336">
        <f t="shared" si="64"/>
        <v>9.4661883310458814E-2</v>
      </c>
      <c r="AG79" s="336">
        <f t="shared" si="64"/>
        <v>9.5012602139490976E-2</v>
      </c>
      <c r="AH79" s="336">
        <f t="shared" ref="AH79:AL79" si="65">AH32/AH$49</f>
        <v>9.5364433048933023E-2</v>
      </c>
      <c r="AI79" s="336">
        <f t="shared" si="65"/>
        <v>9.5715088656624564E-2</v>
      </c>
      <c r="AJ79" s="336">
        <f t="shared" si="65"/>
        <v>9.6066110278506159E-2</v>
      </c>
      <c r="AK79" s="336">
        <f t="shared" si="65"/>
        <v>9.6416630045233334E-2</v>
      </c>
      <c r="AL79" s="336">
        <f t="shared" si="65"/>
        <v>9.6766178702901259E-2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2:53" x14ac:dyDescent="0.3">
      <c r="L80" s="232" t="str">
        <f>'Occ T3'!A35</f>
        <v>61 Caring personal service occupations</v>
      </c>
      <c r="M80" s="335">
        <f t="shared" ref="M80:AG80" si="66">M33/M$49</f>
        <v>7.1466593774493145E-2</v>
      </c>
      <c r="N80" s="335">
        <f t="shared" si="66"/>
        <v>6.7850551379469423E-2</v>
      </c>
      <c r="O80" s="335">
        <f t="shared" si="66"/>
        <v>6.7518351615110647E-2</v>
      </c>
      <c r="P80" s="335">
        <f t="shared" si="66"/>
        <v>6.9174871451056635E-2</v>
      </c>
      <c r="Q80" s="335">
        <f t="shared" si="66"/>
        <v>7.0142207361326231E-2</v>
      </c>
      <c r="R80" s="335">
        <f t="shared" si="66"/>
        <v>7.0670562822748889E-2</v>
      </c>
      <c r="S80" s="335">
        <f t="shared" si="66"/>
        <v>7.1471169161263962E-2</v>
      </c>
      <c r="T80" s="335">
        <f t="shared" si="66"/>
        <v>7.0370649736939614E-2</v>
      </c>
      <c r="U80" s="335">
        <f t="shared" si="66"/>
        <v>6.8598138056482572E-2</v>
      </c>
      <c r="V80" s="335">
        <f t="shared" si="66"/>
        <v>6.8596883164152953E-2</v>
      </c>
      <c r="W80" s="335">
        <f t="shared" si="66"/>
        <v>6.7650538367030458E-2</v>
      </c>
      <c r="X80" s="335">
        <f t="shared" si="66"/>
        <v>7.0251825177452876E-2</v>
      </c>
      <c r="Y80" s="335">
        <f t="shared" si="66"/>
        <v>7.063809308421351E-2</v>
      </c>
      <c r="Z80" s="335">
        <f t="shared" si="66"/>
        <v>7.0986491313160843E-2</v>
      </c>
      <c r="AA80" s="335">
        <f t="shared" si="66"/>
        <v>7.1347444646813765E-2</v>
      </c>
      <c r="AB80" s="335">
        <f t="shared" si="66"/>
        <v>7.172476578858214E-2</v>
      </c>
      <c r="AC80" s="335">
        <f t="shared" si="66"/>
        <v>7.2092793850876996E-2</v>
      </c>
      <c r="AD80" s="335">
        <f t="shared" si="66"/>
        <v>7.2463915590099529E-2</v>
      </c>
      <c r="AE80" s="335">
        <f t="shared" si="66"/>
        <v>7.2831736904077904E-2</v>
      </c>
      <c r="AF80" s="335">
        <f t="shared" si="66"/>
        <v>7.3199623669700925E-2</v>
      </c>
      <c r="AG80" s="335">
        <f t="shared" si="66"/>
        <v>7.3562918963157586E-2</v>
      </c>
      <c r="AH80" s="335">
        <f t="shared" ref="AH80:AL80" si="67">AH33/AH$49</f>
        <v>7.3926855213076431E-2</v>
      </c>
      <c r="AI80" s="335">
        <f t="shared" si="67"/>
        <v>7.4289741103903184E-2</v>
      </c>
      <c r="AJ80" s="335">
        <f t="shared" si="67"/>
        <v>7.4653107874148139E-2</v>
      </c>
      <c r="AK80" s="335">
        <f t="shared" si="67"/>
        <v>7.5016260668979512E-2</v>
      </c>
      <c r="AL80" s="335">
        <f t="shared" si="67"/>
        <v>7.5378855789483862E-2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2:53" x14ac:dyDescent="0.3">
      <c r="L81" s="232" t="str">
        <f>'Occ T3'!A36</f>
        <v>62 Leisure, travel and related personal service occupations</v>
      </c>
      <c r="M81" s="335">
        <f t="shared" ref="M81:AG82" si="68">M34/M$49</f>
        <v>2.1009925755385836E-2</v>
      </c>
      <c r="N81" s="335">
        <f t="shared" si="68"/>
        <v>2.2517053991925055E-2</v>
      </c>
      <c r="O81" s="335">
        <f t="shared" si="68"/>
        <v>2.2000760092123282E-2</v>
      </c>
      <c r="P81" s="335">
        <f t="shared" si="68"/>
        <v>2.2003116534590715E-2</v>
      </c>
      <c r="Q81" s="335">
        <f t="shared" si="68"/>
        <v>2.1600312404097176E-2</v>
      </c>
      <c r="R81" s="335">
        <f t="shared" si="68"/>
        <v>2.183692171213511E-2</v>
      </c>
      <c r="S81" s="335">
        <f t="shared" si="68"/>
        <v>2.177673923922227E-2</v>
      </c>
      <c r="T81" s="335">
        <f t="shared" si="68"/>
        <v>2.1641472096675933E-2</v>
      </c>
      <c r="U81" s="335">
        <f t="shared" si="68"/>
        <v>2.1257782534547687E-2</v>
      </c>
      <c r="V81" s="335">
        <f t="shared" si="68"/>
        <v>2.2472633433785548E-2</v>
      </c>
      <c r="W81" s="335">
        <f t="shared" si="68"/>
        <v>2.0843894378440381E-2</v>
      </c>
      <c r="X81" s="335">
        <f t="shared" si="68"/>
        <v>2.0696418032809118E-2</v>
      </c>
      <c r="Y81" s="335">
        <f t="shared" si="68"/>
        <v>2.0670529729717575E-2</v>
      </c>
      <c r="Z81" s="335">
        <f t="shared" si="68"/>
        <v>2.0654245730934037E-2</v>
      </c>
      <c r="AA81" s="335">
        <f t="shared" si="68"/>
        <v>2.0643843117224302E-2</v>
      </c>
      <c r="AB81" s="335">
        <f t="shared" si="68"/>
        <v>2.0632868527266403E-2</v>
      </c>
      <c r="AC81" s="335">
        <f t="shared" si="68"/>
        <v>2.0619946731690958E-2</v>
      </c>
      <c r="AD81" s="335">
        <f t="shared" si="68"/>
        <v>2.0608333628445566E-2</v>
      </c>
      <c r="AE81" s="335">
        <f t="shared" si="68"/>
        <v>2.0594522514451551E-2</v>
      </c>
      <c r="AF81" s="335">
        <f t="shared" si="68"/>
        <v>2.0580288090815021E-2</v>
      </c>
      <c r="AG81" s="335">
        <f t="shared" si="68"/>
        <v>2.0565271645267641E-2</v>
      </c>
      <c r="AH81" s="335">
        <f t="shared" ref="AH81:AL81" si="69">AH34/AH$49</f>
        <v>2.0550815031068127E-2</v>
      </c>
      <c r="AI81" s="335">
        <f t="shared" si="69"/>
        <v>2.0536298450742053E-2</v>
      </c>
      <c r="AJ81" s="335">
        <f t="shared" si="69"/>
        <v>2.0521737132863069E-2</v>
      </c>
      <c r="AK81" s="335">
        <f t="shared" si="69"/>
        <v>2.0506947531892535E-2</v>
      </c>
      <c r="AL81" s="335">
        <f t="shared" si="69"/>
        <v>2.0491798183951044E-2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2:53" x14ac:dyDescent="0.3">
      <c r="L82" s="232" t="str">
        <f>'Occ T3'!A37</f>
        <v>63 Community and civil enforcement occupations</v>
      </c>
      <c r="M82" s="335">
        <f>M35/M$49</f>
        <v>1.6448975398859885E-3</v>
      </c>
      <c r="N82" s="335">
        <f t="shared" si="68"/>
        <v>1.1717352324900438E-3</v>
      </c>
      <c r="O82" s="335">
        <f t="shared" si="68"/>
        <v>1.13833726809477E-3</v>
      </c>
      <c r="P82" s="335">
        <f t="shared" si="68"/>
        <v>1.0257090001515605E-3</v>
      </c>
      <c r="Q82" s="335">
        <f t="shared" si="68"/>
        <v>1.1290613043570537E-3</v>
      </c>
      <c r="R82" s="335">
        <f t="shared" si="68"/>
        <v>1.0450301145261867E-3</v>
      </c>
      <c r="S82" s="335">
        <f t="shared" si="68"/>
        <v>8.8167638280735501E-4</v>
      </c>
      <c r="T82" s="335">
        <f t="shared" si="68"/>
        <v>9.2759897158985942E-4</v>
      </c>
      <c r="U82" s="335">
        <f t="shared" si="68"/>
        <v>9.4371779728379351E-4</v>
      </c>
      <c r="V82" s="335">
        <f t="shared" si="68"/>
        <v>8.624514636387374E-4</v>
      </c>
      <c r="W82" s="335">
        <f t="shared" si="68"/>
        <v>1.0993807509762162E-3</v>
      </c>
      <c r="X82" s="335">
        <f t="shared" si="68"/>
        <v>8.6055299333665815E-4</v>
      </c>
      <c r="Y82" s="335">
        <f t="shared" si="68"/>
        <v>8.6374881635028187E-4</v>
      </c>
      <c r="Z82" s="335">
        <f t="shared" si="68"/>
        <v>8.6652274832961116E-4</v>
      </c>
      <c r="AA82" s="335">
        <f t="shared" si="68"/>
        <v>8.6911462315432527E-4</v>
      </c>
      <c r="AB82" s="335">
        <f t="shared" si="68"/>
        <v>8.7174774832040746E-4</v>
      </c>
      <c r="AC82" s="335">
        <f t="shared" si="68"/>
        <v>8.7439114148468494E-4</v>
      </c>
      <c r="AD82" s="335">
        <f t="shared" si="68"/>
        <v>8.7695324620622075E-4</v>
      </c>
      <c r="AE82" s="335">
        <f t="shared" si="68"/>
        <v>8.7948970516801188E-4</v>
      </c>
      <c r="AF82" s="335">
        <f t="shared" si="68"/>
        <v>8.8197154994287027E-4</v>
      </c>
      <c r="AG82" s="335">
        <f t="shared" si="68"/>
        <v>8.8441153106574887E-4</v>
      </c>
      <c r="AH82" s="335">
        <f t="shared" ref="AH82:AL82" si="70">AH35/AH$49</f>
        <v>8.8676280478847504E-4</v>
      </c>
      <c r="AI82" s="335">
        <f t="shared" si="70"/>
        <v>8.8904910197932423E-4</v>
      </c>
      <c r="AJ82" s="335">
        <f t="shared" si="70"/>
        <v>8.9126527149494732E-4</v>
      </c>
      <c r="AK82" s="335">
        <f t="shared" si="70"/>
        <v>8.9342184436128329E-4</v>
      </c>
      <c r="AL82" s="335">
        <f t="shared" si="70"/>
        <v>8.9552472946634852E-4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2:53" x14ac:dyDescent="0.3">
      <c r="L83" s="232"/>
      <c r="M83" s="335"/>
      <c r="N83" s="335"/>
      <c r="O83" s="335"/>
      <c r="P83" s="335"/>
      <c r="Q83" s="335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/>
      <c r="AD83" s="335"/>
      <c r="AE83" s="335"/>
      <c r="AF83" s="335"/>
      <c r="AG83" s="335"/>
      <c r="AH83" s="335"/>
      <c r="AI83" s="335"/>
      <c r="AJ83" s="335"/>
      <c r="AK83" s="335"/>
      <c r="AL83" s="335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2:53" x14ac:dyDescent="0.3">
      <c r="L84" s="16" t="str">
        <f>'Occ T3'!A39</f>
        <v>Sales and customer service occupations</v>
      </c>
      <c r="M84" s="336">
        <f t="shared" ref="M84:AG84" si="71">M37/M$49</f>
        <v>8.4704791663883422E-2</v>
      </c>
      <c r="N84" s="336">
        <f t="shared" si="71"/>
        <v>8.9288933889150435E-2</v>
      </c>
      <c r="O84" s="336">
        <f t="shared" si="71"/>
        <v>9.0839541645940033E-2</v>
      </c>
      <c r="P84" s="336">
        <f t="shared" si="71"/>
        <v>8.8238122173894942E-2</v>
      </c>
      <c r="Q84" s="336">
        <f t="shared" si="71"/>
        <v>8.6445187548179175E-2</v>
      </c>
      <c r="R84" s="336">
        <f t="shared" si="71"/>
        <v>8.5787438080003886E-2</v>
      </c>
      <c r="S84" s="336">
        <f t="shared" si="71"/>
        <v>8.5352812276523818E-2</v>
      </c>
      <c r="T84" s="336">
        <f t="shared" si="71"/>
        <v>8.3749714043113599E-2</v>
      </c>
      <c r="U84" s="336">
        <f t="shared" si="71"/>
        <v>8.226732568181773E-2</v>
      </c>
      <c r="V84" s="336">
        <f t="shared" si="71"/>
        <v>7.9662606087958845E-2</v>
      </c>
      <c r="W84" s="336">
        <f t="shared" si="71"/>
        <v>7.9688047612114135E-2</v>
      </c>
      <c r="X84" s="336">
        <f t="shared" si="71"/>
        <v>7.8933652349274908E-2</v>
      </c>
      <c r="Y84" s="336">
        <f t="shared" si="71"/>
        <v>7.8667158866261466E-2</v>
      </c>
      <c r="Z84" s="336">
        <f t="shared" si="71"/>
        <v>7.8384937903831053E-2</v>
      </c>
      <c r="AA84" s="336">
        <f t="shared" si="71"/>
        <v>7.811310165892324E-2</v>
      </c>
      <c r="AB84" s="336">
        <f t="shared" si="71"/>
        <v>7.784941568425964E-2</v>
      </c>
      <c r="AC84" s="336">
        <f t="shared" si="71"/>
        <v>7.7575994872198017E-2</v>
      </c>
      <c r="AD84" s="336">
        <f t="shared" si="71"/>
        <v>7.7299488149597875E-2</v>
      </c>
      <c r="AE84" s="336">
        <f t="shared" si="71"/>
        <v>7.701847279512565E-2</v>
      </c>
      <c r="AF84" s="336">
        <f t="shared" si="71"/>
        <v>7.673468279604434E-2</v>
      </c>
      <c r="AG84" s="336">
        <f t="shared" si="71"/>
        <v>7.6444991720602859E-2</v>
      </c>
      <c r="AH84" s="336">
        <f t="shared" ref="AH84:AL84" si="72">AH37/AH$49</f>
        <v>7.6154196583505598E-2</v>
      </c>
      <c r="AI84" s="336">
        <f t="shared" si="72"/>
        <v>7.5860512752459669E-2</v>
      </c>
      <c r="AJ84" s="336">
        <f t="shared" si="72"/>
        <v>7.5565801427690496E-2</v>
      </c>
      <c r="AK84" s="336">
        <f t="shared" si="72"/>
        <v>7.5268711412708869E-2</v>
      </c>
      <c r="AL84" s="336">
        <f t="shared" si="72"/>
        <v>7.4969019305036175E-2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2:53" x14ac:dyDescent="0.3">
      <c r="L85" s="232" t="str">
        <f>'Occ T3'!A40</f>
        <v>71 Sales occupations</v>
      </c>
      <c r="M85" s="335">
        <f t="shared" ref="M85:AG85" si="73">M38/M$49</f>
        <v>6.8818580196740572E-2</v>
      </c>
      <c r="N85" s="335">
        <f t="shared" si="73"/>
        <v>7.3430941349008405E-2</v>
      </c>
      <c r="O85" s="335">
        <f t="shared" si="73"/>
        <v>7.4951163301220439E-2</v>
      </c>
      <c r="P85" s="335">
        <f t="shared" si="73"/>
        <v>7.2439746608870009E-2</v>
      </c>
      <c r="Q85" s="335">
        <f t="shared" si="73"/>
        <v>7.1592984872500695E-2</v>
      </c>
      <c r="R85" s="335">
        <f t="shared" si="73"/>
        <v>6.9591621295945552E-2</v>
      </c>
      <c r="S85" s="335">
        <f t="shared" si="73"/>
        <v>6.979869310933115E-2</v>
      </c>
      <c r="T85" s="335">
        <f t="shared" si="73"/>
        <v>6.692994474308013E-2</v>
      </c>
      <c r="U85" s="335">
        <f t="shared" si="73"/>
        <v>6.5035215418190448E-2</v>
      </c>
      <c r="V85" s="335">
        <f t="shared" si="73"/>
        <v>6.2984524195239963E-2</v>
      </c>
      <c r="W85" s="335">
        <f t="shared" si="73"/>
        <v>6.2397162407655506E-2</v>
      </c>
      <c r="X85" s="335">
        <f t="shared" si="73"/>
        <v>5.8175256967032137E-2</v>
      </c>
      <c r="Y85" s="335">
        <f t="shared" si="73"/>
        <v>5.7691408882392187E-2</v>
      </c>
      <c r="Z85" s="335">
        <f t="shared" si="73"/>
        <v>5.7201498266911829E-2</v>
      </c>
      <c r="AA85" s="335">
        <f t="shared" si="73"/>
        <v>5.6721372486113419E-2</v>
      </c>
      <c r="AB85" s="335">
        <f t="shared" si="73"/>
        <v>5.6246028732848299E-2</v>
      </c>
      <c r="AC85" s="335">
        <f t="shared" si="73"/>
        <v>5.5762347447149078E-2</v>
      </c>
      <c r="AD85" s="335">
        <f t="shared" si="73"/>
        <v>5.5276147178032316E-2</v>
      </c>
      <c r="AE85" s="335">
        <f t="shared" si="73"/>
        <v>5.4786097662215302E-2</v>
      </c>
      <c r="AF85" s="335">
        <f t="shared" si="73"/>
        <v>5.4293795822508185E-2</v>
      </c>
      <c r="AG85" s="335">
        <f t="shared" si="73"/>
        <v>5.3796877769914216E-2</v>
      </c>
      <c r="AH85" s="335">
        <f t="shared" ref="AH85:AL85" si="74">AH38/AH$49</f>
        <v>5.3299524322216817E-2</v>
      </c>
      <c r="AI85" s="335">
        <f t="shared" si="74"/>
        <v>5.2800108055227432E-2</v>
      </c>
      <c r="AJ85" s="335">
        <f t="shared" si="74"/>
        <v>5.2300142907176807E-2</v>
      </c>
      <c r="AK85" s="335">
        <f t="shared" si="74"/>
        <v>5.1798441509327602E-2</v>
      </c>
      <c r="AL85" s="335">
        <f t="shared" si="74"/>
        <v>5.1294801566640298E-2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2:53" x14ac:dyDescent="0.3">
      <c r="L86" s="232" t="str">
        <f>'Occ T3'!A41</f>
        <v>72 Customer service occupations</v>
      </c>
      <c r="M86" s="335">
        <f>M39/M$49</f>
        <v>1.5886211467142856E-2</v>
      </c>
      <c r="N86" s="335">
        <f t="shared" ref="N86:AG86" si="75">N39/N$49</f>
        <v>1.585799254014203E-2</v>
      </c>
      <c r="O86" s="335">
        <f t="shared" si="75"/>
        <v>1.5888378344719598E-2</v>
      </c>
      <c r="P86" s="335">
        <f t="shared" si="75"/>
        <v>1.5798375565024923E-2</v>
      </c>
      <c r="Q86" s="335">
        <f t="shared" si="75"/>
        <v>1.4852202675678466E-2</v>
      </c>
      <c r="R86" s="335">
        <f t="shared" si="75"/>
        <v>1.6195816784058334E-2</v>
      </c>
      <c r="S86" s="335">
        <f t="shared" si="75"/>
        <v>1.5554119167192668E-2</v>
      </c>
      <c r="T86" s="335">
        <f t="shared" si="75"/>
        <v>1.6819769300033476E-2</v>
      </c>
      <c r="U86" s="335">
        <f t="shared" si="75"/>
        <v>1.7232110263627295E-2</v>
      </c>
      <c r="V86" s="335">
        <f t="shared" si="75"/>
        <v>1.6678081892718889E-2</v>
      </c>
      <c r="W86" s="335">
        <f t="shared" si="75"/>
        <v>1.7290885204458629E-2</v>
      </c>
      <c r="X86" s="335">
        <f t="shared" si="75"/>
        <v>2.0758395382242785E-2</v>
      </c>
      <c r="Y86" s="335">
        <f t="shared" si="75"/>
        <v>2.0975749983869287E-2</v>
      </c>
      <c r="Z86" s="335">
        <f t="shared" si="75"/>
        <v>2.1183439636919234E-2</v>
      </c>
      <c r="AA86" s="335">
        <f t="shared" si="75"/>
        <v>2.139172917280981E-2</v>
      </c>
      <c r="AB86" s="335">
        <f t="shared" si="75"/>
        <v>2.1603386951411348E-2</v>
      </c>
      <c r="AC86" s="335">
        <f t="shared" si="75"/>
        <v>2.1813647425048936E-2</v>
      </c>
      <c r="AD86" s="335">
        <f t="shared" si="75"/>
        <v>2.2023340971565563E-2</v>
      </c>
      <c r="AE86" s="335">
        <f t="shared" si="75"/>
        <v>2.2232375132910352E-2</v>
      </c>
      <c r="AF86" s="335">
        <f t="shared" si="75"/>
        <v>2.2440886973536158E-2</v>
      </c>
      <c r="AG86" s="335">
        <f t="shared" si="75"/>
        <v>2.2648113950688647E-2</v>
      </c>
      <c r="AH86" s="335">
        <f t="shared" ref="AH86:AL86" si="76">AH39/AH$49</f>
        <v>2.2854672261288782E-2</v>
      </c>
      <c r="AI86" s="335">
        <f t="shared" si="76"/>
        <v>2.3060404697232237E-2</v>
      </c>
      <c r="AJ86" s="335">
        <f t="shared" si="76"/>
        <v>2.3265658520513693E-2</v>
      </c>
      <c r="AK86" s="335">
        <f t="shared" si="76"/>
        <v>2.3470269903381261E-2</v>
      </c>
      <c r="AL86" s="335">
        <f t="shared" si="76"/>
        <v>2.367421773839588E-2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2:53" x14ac:dyDescent="0.3">
      <c r="L87" s="232"/>
      <c r="M87" s="335"/>
      <c r="N87" s="335"/>
      <c r="O87" s="335"/>
      <c r="P87" s="335"/>
      <c r="Q87" s="335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/>
      <c r="AD87" s="335"/>
      <c r="AE87" s="335"/>
      <c r="AF87" s="335"/>
      <c r="AG87" s="335"/>
      <c r="AH87" s="335"/>
      <c r="AI87" s="335"/>
      <c r="AJ87" s="335"/>
      <c r="AK87" s="335"/>
      <c r="AL87" s="335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2:53" x14ac:dyDescent="0.3">
      <c r="L88" s="16" t="str">
        <f>'Occ T3'!A43</f>
        <v>Process, plant and machine operatives</v>
      </c>
      <c r="M88" s="336">
        <f t="shared" ref="M88:AG88" si="77">M41/M$49</f>
        <v>6.4972969594261909E-2</v>
      </c>
      <c r="N88" s="336">
        <f t="shared" si="77"/>
        <v>6.3445309076620174E-2</v>
      </c>
      <c r="O88" s="336">
        <f t="shared" si="77"/>
        <v>6.2367286902400967E-2</v>
      </c>
      <c r="P88" s="336">
        <f t="shared" si="77"/>
        <v>6.2556710821646516E-2</v>
      </c>
      <c r="Q88" s="336">
        <f t="shared" si="77"/>
        <v>6.306683331211764E-2</v>
      </c>
      <c r="R88" s="336">
        <f t="shared" si="77"/>
        <v>6.2782819129797593E-2</v>
      </c>
      <c r="S88" s="336">
        <f t="shared" si="77"/>
        <v>6.3721902495726762E-2</v>
      </c>
      <c r="T88" s="336">
        <f t="shared" si="77"/>
        <v>6.349913865396889E-2</v>
      </c>
      <c r="U88" s="336">
        <f t="shared" si="77"/>
        <v>6.4500525550127336E-2</v>
      </c>
      <c r="V88" s="336">
        <f t="shared" si="77"/>
        <v>6.2457795959581605E-2</v>
      </c>
      <c r="W88" s="336">
        <f t="shared" si="77"/>
        <v>5.5962087746958225E-2</v>
      </c>
      <c r="X88" s="336">
        <f t="shared" si="77"/>
        <v>6.2367744805926092E-2</v>
      </c>
      <c r="Y88" s="336">
        <f t="shared" si="77"/>
        <v>6.2029247145336711E-2</v>
      </c>
      <c r="Z88" s="336">
        <f t="shared" si="77"/>
        <v>6.1725192222403719E-2</v>
      </c>
      <c r="AA88" s="336">
        <f t="shared" si="77"/>
        <v>6.1412003833052155E-2</v>
      </c>
      <c r="AB88" s="336">
        <f t="shared" si="77"/>
        <v>6.1085995594308017E-2</v>
      </c>
      <c r="AC88" s="336">
        <f t="shared" si="77"/>
        <v>6.0768835919654381E-2</v>
      </c>
      <c r="AD88" s="336">
        <f t="shared" si="77"/>
        <v>6.045017703480543E-2</v>
      </c>
      <c r="AE88" s="336">
        <f t="shared" si="77"/>
        <v>6.0136026748772733E-2</v>
      </c>
      <c r="AF88" s="336">
        <f t="shared" si="77"/>
        <v>5.9823264458841709E-2</v>
      </c>
      <c r="AG88" s="336">
        <f t="shared" si="77"/>
        <v>5.9515533658221473E-2</v>
      </c>
      <c r="AH88" s="336">
        <f t="shared" ref="AH88:AL88" si="78">AH41/AH$49</f>
        <v>5.9208857479284553E-2</v>
      </c>
      <c r="AI88" s="336">
        <f t="shared" si="78"/>
        <v>5.8904414437762884E-2</v>
      </c>
      <c r="AJ88" s="336">
        <f t="shared" si="78"/>
        <v>5.8601128052420584E-2</v>
      </c>
      <c r="AK88" s="336">
        <f t="shared" si="78"/>
        <v>5.8299365294930558E-2</v>
      </c>
      <c r="AL88" s="336">
        <f t="shared" si="78"/>
        <v>5.7999333853409982E-2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2:53" x14ac:dyDescent="0.3">
      <c r="L89" s="232" t="str">
        <f>'Occ T3'!A44</f>
        <v>81 Process, plant and machine operatives</v>
      </c>
      <c r="M89" s="335">
        <f t="shared" ref="M89:AG89" si="79">M42/M$49</f>
        <v>2.7576035112599897E-2</v>
      </c>
      <c r="N89" s="335">
        <f t="shared" si="79"/>
        <v>2.6058523304545514E-2</v>
      </c>
      <c r="O89" s="335">
        <f t="shared" si="79"/>
        <v>2.6270082931094806E-2</v>
      </c>
      <c r="P89" s="335">
        <f t="shared" si="79"/>
        <v>2.7122321997656847E-2</v>
      </c>
      <c r="Q89" s="335">
        <f t="shared" si="79"/>
        <v>2.681466351231037E-2</v>
      </c>
      <c r="R89" s="335">
        <f t="shared" si="79"/>
        <v>2.6876009696542965E-2</v>
      </c>
      <c r="S89" s="335">
        <f t="shared" si="79"/>
        <v>2.5969992194844537E-2</v>
      </c>
      <c r="T89" s="335">
        <f t="shared" si="79"/>
        <v>2.6520127451787501E-2</v>
      </c>
      <c r="U89" s="335">
        <f t="shared" si="79"/>
        <v>2.6539764161831975E-2</v>
      </c>
      <c r="V89" s="335">
        <f t="shared" si="79"/>
        <v>2.4628865470442206E-2</v>
      </c>
      <c r="W89" s="335">
        <f t="shared" si="79"/>
        <v>2.1874897985727712E-2</v>
      </c>
      <c r="X89" s="335">
        <f t="shared" si="79"/>
        <v>2.6173784266072617E-2</v>
      </c>
      <c r="Y89" s="335">
        <f t="shared" si="79"/>
        <v>2.6022872286439618E-2</v>
      </c>
      <c r="Z89" s="335">
        <f t="shared" si="79"/>
        <v>2.587594805640266E-2</v>
      </c>
      <c r="AA89" s="335">
        <f t="shared" si="79"/>
        <v>2.5725725021174321E-2</v>
      </c>
      <c r="AB89" s="335">
        <f t="shared" si="79"/>
        <v>2.5574510980503475E-2</v>
      </c>
      <c r="AC89" s="335">
        <f t="shared" si="79"/>
        <v>2.5426956183873091E-2</v>
      </c>
      <c r="AD89" s="335">
        <f t="shared" si="79"/>
        <v>2.5279254151917566E-2</v>
      </c>
      <c r="AE89" s="335">
        <f t="shared" si="79"/>
        <v>2.5133543529154537E-2</v>
      </c>
      <c r="AF89" s="335">
        <f t="shared" si="79"/>
        <v>2.4988641087546871E-2</v>
      </c>
      <c r="AG89" s="335">
        <f t="shared" si="79"/>
        <v>2.484565501303403E-2</v>
      </c>
      <c r="AH89" s="335">
        <f t="shared" ref="AH89:AL89" si="80">AH42/AH$49</f>
        <v>2.4702884244769688E-2</v>
      </c>
      <c r="AI89" s="335">
        <f t="shared" si="80"/>
        <v>2.456091196748416E-2</v>
      </c>
      <c r="AJ89" s="335">
        <f t="shared" si="80"/>
        <v>2.441940037533288E-2</v>
      </c>
      <c r="AK89" s="335">
        <f t="shared" si="80"/>
        <v>2.427856487052249E-2</v>
      </c>
      <c r="AL89" s="335">
        <f t="shared" si="80"/>
        <v>2.4138504881255147E-2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</row>
    <row r="90" spans="12:53" x14ac:dyDescent="0.3">
      <c r="L90" s="232" t="str">
        <f>'Occ T3'!A45</f>
        <v>82 Transport and mobile machine drivers and operatives</v>
      </c>
      <c r="M90" s="335">
        <f t="shared" ref="M90:AG90" si="81">M43/M$49</f>
        <v>3.7396934481662009E-2</v>
      </c>
      <c r="N90" s="335">
        <f t="shared" si="81"/>
        <v>3.738678577207466E-2</v>
      </c>
      <c r="O90" s="335">
        <f t="shared" si="81"/>
        <v>3.6097203971306162E-2</v>
      </c>
      <c r="P90" s="335">
        <f t="shared" si="81"/>
        <v>3.5434388823989672E-2</v>
      </c>
      <c r="Q90" s="335">
        <f t="shared" si="81"/>
        <v>3.6252169799807277E-2</v>
      </c>
      <c r="R90" s="335">
        <f t="shared" si="81"/>
        <v>3.5906809433254631E-2</v>
      </c>
      <c r="S90" s="335">
        <f t="shared" si="81"/>
        <v>3.7751910300882215E-2</v>
      </c>
      <c r="T90" s="335">
        <f t="shared" si="81"/>
        <v>3.6979011202181389E-2</v>
      </c>
      <c r="U90" s="335">
        <f t="shared" si="81"/>
        <v>3.7960761388295357E-2</v>
      </c>
      <c r="V90" s="335">
        <f t="shared" si="81"/>
        <v>3.7828930489139406E-2</v>
      </c>
      <c r="W90" s="335">
        <f t="shared" si="81"/>
        <v>3.4087189761230513E-2</v>
      </c>
      <c r="X90" s="335">
        <f t="shared" si="81"/>
        <v>3.6193960539853465E-2</v>
      </c>
      <c r="Y90" s="335">
        <f t="shared" si="81"/>
        <v>3.6006374858897093E-2</v>
      </c>
      <c r="Z90" s="335">
        <f t="shared" si="81"/>
        <v>3.5849244166001069E-2</v>
      </c>
      <c r="AA90" s="335">
        <f t="shared" si="81"/>
        <v>3.5686278811877831E-2</v>
      </c>
      <c r="AB90" s="335">
        <f t="shared" si="81"/>
        <v>3.5511484613804538E-2</v>
      </c>
      <c r="AC90" s="335">
        <f t="shared" si="81"/>
        <v>3.534187973578129E-2</v>
      </c>
      <c r="AD90" s="335">
        <f t="shared" si="81"/>
        <v>3.517092288288786E-2</v>
      </c>
      <c r="AE90" s="335">
        <f t="shared" si="81"/>
        <v>3.50024832196182E-2</v>
      </c>
      <c r="AF90" s="335">
        <f t="shared" si="81"/>
        <v>3.483462337129483E-2</v>
      </c>
      <c r="AG90" s="335">
        <f t="shared" si="81"/>
        <v>3.4669878645187439E-2</v>
      </c>
      <c r="AH90" s="335">
        <f t="shared" ref="AH90:AL90" si="82">AH43/AH$49</f>
        <v>3.4505973234514861E-2</v>
      </c>
      <c r="AI90" s="335">
        <f t="shared" si="82"/>
        <v>3.4343502470278724E-2</v>
      </c>
      <c r="AJ90" s="335">
        <f t="shared" si="82"/>
        <v>3.41817276770877E-2</v>
      </c>
      <c r="AK90" s="335">
        <f t="shared" si="82"/>
        <v>3.4020800424408075E-2</v>
      </c>
      <c r="AL90" s="335">
        <f t="shared" si="82"/>
        <v>3.3860828972154831E-2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</row>
    <row r="91" spans="12:53" x14ac:dyDescent="0.3">
      <c r="L91" s="232"/>
      <c r="M91" s="335"/>
      <c r="N91" s="335"/>
      <c r="O91" s="335"/>
      <c r="P91" s="335"/>
      <c r="Q91" s="335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2:53" x14ac:dyDescent="0.3">
      <c r="L92" s="16" t="str">
        <f>'Occ T3'!A47</f>
        <v>Elementary occupations</v>
      </c>
      <c r="M92" s="336">
        <f t="shared" ref="M92:AG92" si="83">M45/M$49</f>
        <v>0.12273028469974523</v>
      </c>
      <c r="N92" s="336">
        <f t="shared" si="83"/>
        <v>0.11858753272261911</v>
      </c>
      <c r="O92" s="336">
        <f t="shared" si="83"/>
        <v>0.1168168484726978</v>
      </c>
      <c r="P92" s="336">
        <f t="shared" si="83"/>
        <v>0.11662191776292724</v>
      </c>
      <c r="Q92" s="336">
        <f t="shared" si="83"/>
        <v>0.11762588240511763</v>
      </c>
      <c r="R92" s="336">
        <f t="shared" si="83"/>
        <v>0.11801840434220438</v>
      </c>
      <c r="S92" s="336">
        <f t="shared" si="83"/>
        <v>0.11561610376268315</v>
      </c>
      <c r="T92" s="336">
        <f t="shared" si="83"/>
        <v>0.11300031470548642</v>
      </c>
      <c r="U92" s="336">
        <f t="shared" si="83"/>
        <v>0.11215387144945708</v>
      </c>
      <c r="V92" s="336">
        <f t="shared" si="83"/>
        <v>0.11143149487551336</v>
      </c>
      <c r="W92" s="336">
        <f t="shared" si="83"/>
        <v>0.10288311724822798</v>
      </c>
      <c r="X92" s="336">
        <f t="shared" si="83"/>
        <v>0.10289679694636907</v>
      </c>
      <c r="Y92" s="336">
        <f t="shared" si="83"/>
        <v>0.10210450190908818</v>
      </c>
      <c r="Z92" s="336">
        <f t="shared" si="83"/>
        <v>0.10131481377348683</v>
      </c>
      <c r="AA92" s="336">
        <f t="shared" si="83"/>
        <v>0.10053702861576257</v>
      </c>
      <c r="AB92" s="336">
        <f t="shared" si="83"/>
        <v>9.9765464123580408E-2</v>
      </c>
      <c r="AC92" s="336">
        <f t="shared" si="83"/>
        <v>9.8988369913136934E-2</v>
      </c>
      <c r="AD92" s="336">
        <f t="shared" si="83"/>
        <v>9.8208642825767509E-2</v>
      </c>
      <c r="AE92" s="336">
        <f t="shared" si="83"/>
        <v>9.7426604531519995E-2</v>
      </c>
      <c r="AF92" s="336">
        <f t="shared" si="83"/>
        <v>9.6643487099923653E-2</v>
      </c>
      <c r="AG92" s="336">
        <f t="shared" si="83"/>
        <v>9.5857655852140858E-2</v>
      </c>
      <c r="AH92" s="336">
        <f t="shared" ref="AH92:AL92" si="84">AH45/AH$49</f>
        <v>9.5072906457018255E-2</v>
      </c>
      <c r="AI92" s="336">
        <f t="shared" si="84"/>
        <v>9.4287827862485754E-2</v>
      </c>
      <c r="AJ92" s="336">
        <f t="shared" si="84"/>
        <v>9.3503927332323683E-2</v>
      </c>
      <c r="AK92" s="336">
        <f t="shared" si="84"/>
        <v>9.271997281808432E-2</v>
      </c>
      <c r="AL92" s="336">
        <f t="shared" si="84"/>
        <v>9.1935895246397434E-2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2:53" x14ac:dyDescent="0.3">
      <c r="L93" s="232" t="str">
        <f>'Occ T3'!A48</f>
        <v>91 Elementary trades and related occupations</v>
      </c>
      <c r="M93" s="335">
        <f t="shared" ref="M93:AG93" si="85">M46/M$49</f>
        <v>1.7038060169693111E-2</v>
      </c>
      <c r="N93" s="335">
        <f t="shared" si="85"/>
        <v>1.673861108236727E-2</v>
      </c>
      <c r="O93" s="335">
        <f t="shared" si="85"/>
        <v>1.6506131851371605E-2</v>
      </c>
      <c r="P93" s="335">
        <f t="shared" si="85"/>
        <v>1.6161023037148559E-2</v>
      </c>
      <c r="Q93" s="335">
        <f t="shared" si="85"/>
        <v>1.7099343664756659E-2</v>
      </c>
      <c r="R93" s="335">
        <f t="shared" si="85"/>
        <v>1.7421175014837153E-2</v>
      </c>
      <c r="S93" s="335">
        <f t="shared" si="85"/>
        <v>1.7248585626592393E-2</v>
      </c>
      <c r="T93" s="335">
        <f t="shared" si="85"/>
        <v>1.5799376257387636E-2</v>
      </c>
      <c r="U93" s="335">
        <f t="shared" si="85"/>
        <v>1.5810342445811119E-2</v>
      </c>
      <c r="V93" s="335">
        <f t="shared" si="85"/>
        <v>1.4793642316300201E-2</v>
      </c>
      <c r="W93" s="335">
        <f t="shared" si="85"/>
        <v>1.3289751436122569E-2</v>
      </c>
      <c r="X93" s="335">
        <f t="shared" si="85"/>
        <v>1.1239687617556287E-2</v>
      </c>
      <c r="Y93" s="335">
        <f t="shared" si="85"/>
        <v>1.113192021949819E-2</v>
      </c>
      <c r="Z93" s="335">
        <f t="shared" si="85"/>
        <v>1.1030421669307094E-2</v>
      </c>
      <c r="AA93" s="335">
        <f t="shared" si="85"/>
        <v>1.0927965804666876E-2</v>
      </c>
      <c r="AB93" s="335">
        <f t="shared" si="85"/>
        <v>1.0823102493969245E-2</v>
      </c>
      <c r="AC93" s="335">
        <f t="shared" si="85"/>
        <v>1.0719378760304592E-2</v>
      </c>
      <c r="AD93" s="335">
        <f t="shared" si="85"/>
        <v>1.0615489160709909E-2</v>
      </c>
      <c r="AE93" s="335">
        <f t="shared" si="85"/>
        <v>1.0512290373874569E-2</v>
      </c>
      <c r="AF93" s="335">
        <f t="shared" si="85"/>
        <v>1.0409338426807857E-2</v>
      </c>
      <c r="AG93" s="335">
        <f t="shared" si="85"/>
        <v>1.0307217078891791E-2</v>
      </c>
      <c r="AH93" s="335">
        <f t="shared" ref="AH93:AL93" si="86">AH46/AH$49</f>
        <v>1.0205459315947657E-2</v>
      </c>
      <c r="AI93" s="335">
        <f t="shared" si="86"/>
        <v>1.0104186995052281E-2</v>
      </c>
      <c r="AJ93" s="335">
        <f t="shared" si="86"/>
        <v>1.0003224874679506E-2</v>
      </c>
      <c r="AK93" s="335">
        <f t="shared" si="86"/>
        <v>9.9026136095719877E-3</v>
      </c>
      <c r="AL93" s="335">
        <f t="shared" si="86"/>
        <v>9.8023687702960601E-3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2:53" x14ac:dyDescent="0.3">
      <c r="L94" s="232" t="str">
        <f>'Occ T3'!A49</f>
        <v>92 Elementary administration and service occupations</v>
      </c>
      <c r="M94" s="335">
        <f t="shared" ref="M94:AG94" si="87">M47/M$49</f>
        <v>0.10569222453005211</v>
      </c>
      <c r="N94" s="335">
        <f t="shared" si="87"/>
        <v>0.10184892164025185</v>
      </c>
      <c r="O94" s="335">
        <f t="shared" si="87"/>
        <v>0.10031071662132621</v>
      </c>
      <c r="P94" s="335">
        <f t="shared" si="87"/>
        <v>0.10046089472577867</v>
      </c>
      <c r="Q94" s="335">
        <f t="shared" si="87"/>
        <v>0.10052653874036097</v>
      </c>
      <c r="R94" s="335">
        <f t="shared" si="87"/>
        <v>0.10059722932736723</v>
      </c>
      <c r="S94" s="335">
        <f t="shared" si="87"/>
        <v>9.8367518136090765E-2</v>
      </c>
      <c r="T94" s="335">
        <f t="shared" si="87"/>
        <v>9.7200938448098795E-2</v>
      </c>
      <c r="U94" s="335">
        <f t="shared" si="87"/>
        <v>9.634352900364597E-2</v>
      </c>
      <c r="V94" s="335">
        <f t="shared" si="87"/>
        <v>9.6637852559213172E-2</v>
      </c>
      <c r="W94" s="335">
        <f t="shared" si="87"/>
        <v>8.9593365812105405E-2</v>
      </c>
      <c r="X94" s="335">
        <f t="shared" si="87"/>
        <v>9.1657109328812783E-2</v>
      </c>
      <c r="Y94" s="335">
        <f t="shared" si="87"/>
        <v>9.0972581689589993E-2</v>
      </c>
      <c r="Z94" s="335">
        <f t="shared" si="87"/>
        <v>9.0284392104179725E-2</v>
      </c>
      <c r="AA94" s="335">
        <f t="shared" si="87"/>
        <v>8.9609062811095694E-2</v>
      </c>
      <c r="AB94" s="335">
        <f t="shared" si="87"/>
        <v>8.8942361629611166E-2</v>
      </c>
      <c r="AC94" s="335">
        <f t="shared" si="87"/>
        <v>8.8268991152832335E-2</v>
      </c>
      <c r="AD94" s="335">
        <f t="shared" si="87"/>
        <v>8.7593153665057599E-2</v>
      </c>
      <c r="AE94" s="335">
        <f t="shared" si="87"/>
        <v>8.6914314157645417E-2</v>
      </c>
      <c r="AF94" s="335">
        <f t="shared" si="87"/>
        <v>8.6234148673115796E-2</v>
      </c>
      <c r="AG94" s="335">
        <f t="shared" si="87"/>
        <v>8.5550438773249068E-2</v>
      </c>
      <c r="AH94" s="335">
        <f t="shared" ref="AH94:AL94" si="88">AH47/AH$49</f>
        <v>8.4867447141070584E-2</v>
      </c>
      <c r="AI94" s="335">
        <f t="shared" si="88"/>
        <v>8.4183640867433476E-2</v>
      </c>
      <c r="AJ94" s="335">
        <f t="shared" si="88"/>
        <v>8.3500702457644169E-2</v>
      </c>
      <c r="AK94" s="335">
        <f t="shared" si="88"/>
        <v>8.2817359208512339E-2</v>
      </c>
      <c r="AL94" s="335">
        <f t="shared" si="88"/>
        <v>8.2133526476101379E-2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2:53" x14ac:dyDescent="0.3">
      <c r="L95" s="232"/>
      <c r="M95" s="335"/>
      <c r="N95" s="335"/>
      <c r="O95" s="335"/>
      <c r="P95" s="335"/>
      <c r="Q95" s="335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2:53" x14ac:dyDescent="0.3">
      <c r="L96" s="16" t="str">
        <f>'Occ T3'!A51</f>
        <v>All occupations</v>
      </c>
      <c r="M96" s="336">
        <f t="shared" ref="M96:AG96" si="89">M49/M$49</f>
        <v>1</v>
      </c>
      <c r="N96" s="336">
        <f t="shared" si="89"/>
        <v>1</v>
      </c>
      <c r="O96" s="336">
        <f t="shared" si="89"/>
        <v>1</v>
      </c>
      <c r="P96" s="336">
        <f t="shared" si="89"/>
        <v>1</v>
      </c>
      <c r="Q96" s="336">
        <f t="shared" si="89"/>
        <v>1</v>
      </c>
      <c r="R96" s="336">
        <f t="shared" si="89"/>
        <v>1</v>
      </c>
      <c r="S96" s="336">
        <f t="shared" si="89"/>
        <v>1</v>
      </c>
      <c r="T96" s="336">
        <f t="shared" si="89"/>
        <v>1</v>
      </c>
      <c r="U96" s="336">
        <f t="shared" si="89"/>
        <v>1</v>
      </c>
      <c r="V96" s="336">
        <f t="shared" si="89"/>
        <v>1</v>
      </c>
      <c r="W96" s="336">
        <f t="shared" si="89"/>
        <v>1</v>
      </c>
      <c r="X96" s="336">
        <f t="shared" si="89"/>
        <v>1</v>
      </c>
      <c r="Y96" s="336">
        <f t="shared" si="89"/>
        <v>1</v>
      </c>
      <c r="Z96" s="336">
        <f t="shared" si="89"/>
        <v>1</v>
      </c>
      <c r="AA96" s="336">
        <f t="shared" si="89"/>
        <v>1</v>
      </c>
      <c r="AB96" s="336">
        <f t="shared" si="89"/>
        <v>1</v>
      </c>
      <c r="AC96" s="336">
        <f t="shared" si="89"/>
        <v>1</v>
      </c>
      <c r="AD96" s="336">
        <f t="shared" si="89"/>
        <v>1</v>
      </c>
      <c r="AE96" s="336">
        <f t="shared" si="89"/>
        <v>1</v>
      </c>
      <c r="AF96" s="336">
        <f t="shared" si="89"/>
        <v>1</v>
      </c>
      <c r="AG96" s="336">
        <f t="shared" si="89"/>
        <v>1</v>
      </c>
      <c r="AH96" s="336">
        <f t="shared" ref="AH96:AL96" si="90">AH49/AH$49</f>
        <v>1</v>
      </c>
      <c r="AI96" s="336">
        <f t="shared" si="90"/>
        <v>1</v>
      </c>
      <c r="AJ96" s="336">
        <f t="shared" si="90"/>
        <v>1</v>
      </c>
      <c r="AK96" s="336">
        <f t="shared" si="90"/>
        <v>1</v>
      </c>
      <c r="AL96" s="336">
        <f t="shared" si="90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2:53" x14ac:dyDescent="0.3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3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3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3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3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3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3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3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3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2:53" x14ac:dyDescent="0.3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2:53" x14ac:dyDescent="0.3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2:53" x14ac:dyDescent="0.3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3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3">
      <c r="L110" s="13"/>
      <c r="M110" s="11"/>
      <c r="N110" s="11"/>
      <c r="O110" s="11"/>
      <c r="P110" s="11"/>
    </row>
    <row r="111" spans="12:53" x14ac:dyDescent="0.3">
      <c r="L111" s="13"/>
      <c r="M111" s="11"/>
      <c r="N111" s="11"/>
      <c r="O111" s="11"/>
      <c r="P111" s="11"/>
    </row>
    <row r="112" spans="12:53" x14ac:dyDescent="0.3">
      <c r="L112" s="13"/>
      <c r="M112" s="11"/>
      <c r="N112" s="11"/>
      <c r="O112" s="11"/>
      <c r="P112" s="11"/>
    </row>
    <row r="113" spans="1:16" x14ac:dyDescent="0.3">
      <c r="L113" s="13"/>
      <c r="M113" s="11"/>
      <c r="N113" s="11"/>
      <c r="O113" s="11"/>
      <c r="P113" s="11"/>
    </row>
    <row r="114" spans="1:16" x14ac:dyDescent="0.3">
      <c r="L114" s="13"/>
      <c r="M114" s="11"/>
      <c r="N114" s="11"/>
      <c r="O114" s="11"/>
      <c r="P114" s="11"/>
    </row>
    <row r="115" spans="1:16" x14ac:dyDescent="0.3">
      <c r="L115" s="13"/>
      <c r="M115" s="11"/>
      <c r="N115" s="11"/>
      <c r="O115" s="11"/>
      <c r="P115" s="11"/>
    </row>
    <row r="116" spans="1:16" x14ac:dyDescent="0.3">
      <c r="L116" s="13"/>
      <c r="M116" s="11"/>
      <c r="N116" s="11"/>
      <c r="O116" s="11"/>
      <c r="P116" s="11"/>
    </row>
    <row r="117" spans="1:16" x14ac:dyDescent="0.3">
      <c r="L117" s="13"/>
    </row>
    <row r="118" spans="1:16" ht="15.45" x14ac:dyDescent="0.4">
      <c r="A118" s="79" t="str">
        <f>CONCATENATE("Occupation Figure 2.2  Employment by Occupation, ",$M$2,"-",$O$2,", ",Info!B5)</f>
        <v>Occupation Figure 2.2  Employment by Occupation, 2010-2035, United Kingdom</v>
      </c>
    </row>
    <row r="145" spans="12:63" s="80" customFormat="1" x14ac:dyDescent="0.3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64" spans="1:1" ht="15.45" x14ac:dyDescent="0.4">
      <c r="A164" s="79" t="str">
        <f>CONCATENATE("Occupation Figure 2.3  Change in Employment in ",$L$5,", ",$M$2,"-",$O$2,", ",Info!B5)</f>
        <v>Occupation Figure 2.3  Change in Employment in Managers, directors and senior officials, 2010-2035, United Kingdom</v>
      </c>
    </row>
    <row r="180" spans="12:63" s="80" customFormat="1" x14ac:dyDescent="0.3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99" spans="1:1" ht="15.45" x14ac:dyDescent="0.4">
      <c r="A199" s="79" t="str">
        <f>CONCATENATE("Occupation Figure 2.4  Change in Employment in ",$L$9,", ",$M$2,"-",$O$2,", ",Info!B5)</f>
        <v>Occupation Figure 2.4  Change in Employment in Professional occupations, 2010-2035, United Kingdom</v>
      </c>
    </row>
    <row r="215" spans="12:63" s="80" customFormat="1" x14ac:dyDescent="0.3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34" spans="1:1" ht="15.45" x14ac:dyDescent="0.4">
      <c r="A234" s="79" t="str">
        <f>CONCATENATE("Occupation Figure 2.5  Change in Employment in ",$L$15,", ",$M$2,"-",$O$2,", ",Info!B5)</f>
        <v>Occupation Figure 2.5  Change in Employment in Associate professional occupations, 2010-2035, United Kingdom</v>
      </c>
    </row>
    <row r="250" spans="12:63" s="80" customFormat="1" x14ac:dyDescent="0.3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69" spans="1:1" ht="15.45" x14ac:dyDescent="0.4">
      <c r="A269" s="79" t="str">
        <f>CONCATENATE("Occupation Figure 2.6  Change in Employment in ",$L$22,", ",$M$2,"-",$O$2,", ",Info!B5)</f>
        <v>Occupation Figure 2.6  Change in Employment in Administrative and secretarial occupations, 2010-2035, United Kingdom</v>
      </c>
    </row>
    <row r="285" spans="12:63" s="80" customFormat="1" x14ac:dyDescent="0.3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304" spans="1:1" ht="15.45" x14ac:dyDescent="0.4">
      <c r="A304" s="79" t="str">
        <f>CONCATENATE("Occupation Figure 2.7  Change in Employment in ",$L$26,", ",$M$2,"- ",$O$2,", ",Info!B5)</f>
        <v>Occupation Figure 2.7  Change in Employment in Skilled trades occupations, 2010- 2035, United Kingdom</v>
      </c>
    </row>
    <row r="320" spans="12:63" s="80" customFormat="1" x14ac:dyDescent="0.3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39" spans="1:1" ht="15.45" x14ac:dyDescent="0.4">
      <c r="A339" s="79" t="str">
        <f>CONCATENATE("Occupation Figure 2.8  Change in Employment in ",$L$32,", ",$M$2,"-",$O$2,", ",Info!B5)</f>
        <v>Occupation Figure 2.8  Change in Employment in Caring, leisure and other service occupations, 2010-2035, United Kingdom</v>
      </c>
    </row>
    <row r="355" spans="12:63" s="80" customFormat="1" x14ac:dyDescent="0.3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74" spans="1:1" ht="15.45" x14ac:dyDescent="0.4">
      <c r="A374" s="79" t="str">
        <f>CONCATENATE("Occupation Figure 2.9  Change in Employment in ",$L$37,", ",$M$2,"-",$O$2,", ",Info!B5)</f>
        <v>Occupation Figure 2.9  Change in Employment in Sales and customer service occupations, 2010-2035, United Kingdom</v>
      </c>
    </row>
    <row r="390" spans="12:63" s="80" customFormat="1" x14ac:dyDescent="0.3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409" spans="1:1" ht="15.45" x14ac:dyDescent="0.4">
      <c r="A409" s="79" t="str">
        <f>CONCATENATE("Occupation Figure 2.10  Change in Employment in ",$L$41,", ",$M$2,"-",$O$2,", ",Info!B5)</f>
        <v>Occupation Figure 2.10  Change in Employment in Process, plant and machine operatives, 2010-2035, United Kingdom</v>
      </c>
    </row>
    <row r="444" spans="1:1" ht="15.45" x14ac:dyDescent="0.4">
      <c r="A444" s="79" t="str">
        <f>CONCATENATE("Occupation Figure 2.11  Change in Employment in ",$L$45,", ",$M$2,"-",$O$2,", ",Info!B5)</f>
        <v>Occupation Figure 2.11  Change in Employment in Elementary occupations, 2010-2035, United Kingdom</v>
      </c>
    </row>
    <row r="479" spans="1:12" ht="15.45" x14ac:dyDescent="0.4">
      <c r="A479" s="79" t="str">
        <f>CONCATENATE("Occupation Figure 2.12  Employment Level by Occupation (SOC 2020), ",'Occ T1'!D6," and ",'Occ T1'!F6," (000s)",", ",Info!B5)</f>
        <v>Occupation Figure 2.12  Employment Level by Occupation (SOC 2020), 2020 and 2035 (000s), United Kingdom</v>
      </c>
      <c r="L479" s="45" t="s">
        <v>423</v>
      </c>
    </row>
    <row r="480" spans="1:12" ht="12.9" x14ac:dyDescent="0.35">
      <c r="L480" s="29" t="s">
        <v>424</v>
      </c>
    </row>
    <row r="507" spans="1:12" ht="15.45" x14ac:dyDescent="0.4">
      <c r="A507" s="79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United Kingdom</v>
      </c>
      <c r="L507" s="45" t="s">
        <v>425</v>
      </c>
    </row>
    <row r="508" spans="1:12" ht="12.9" x14ac:dyDescent="0.35">
      <c r="L508" s="29" t="s">
        <v>424</v>
      </c>
    </row>
  </sheetData>
  <conditionalFormatting sqref="L4:AP4">
    <cfRule type="cellIs" dxfId="8" priority="2" stopIfTrue="1" operator="equal">
      <formula>0</formula>
    </cfRule>
  </conditionalFormatting>
  <conditionalFormatting sqref="L51:AL51">
    <cfRule type="cellIs" dxfId="7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8" max="9" man="1"/>
    <brk id="117" max="9" man="1"/>
    <brk id="163" max="9" man="1"/>
    <brk id="233" max="9" man="1"/>
    <brk id="303" max="9" man="1"/>
    <brk id="373" max="9" man="1"/>
    <brk id="443" max="9" man="1"/>
    <brk id="478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AC19"/>
  <sheetViews>
    <sheetView showGridLines="0" zoomScale="75" zoomScaleNormal="75" workbookViewId="0"/>
  </sheetViews>
  <sheetFormatPr defaultRowHeight="12.45" x14ac:dyDescent="0.3"/>
  <cols>
    <col min="18" max="18" width="9" customWidth="1"/>
    <col min="19" max="22" width="16" customWidth="1"/>
    <col min="23" max="23" width="42.3828125" customWidth="1"/>
    <col min="24" max="29" width="11.3828125" customWidth="1"/>
  </cols>
  <sheetData>
    <row r="1" spans="1:29" ht="15.45" x14ac:dyDescent="0.4">
      <c r="A1" s="79" t="str">
        <f>CONCATENATE("Occupation Figure 3  Changes in Occupational Employment Structure (000s) (SOC 2020), ",$W$1,"-",$X$1,", ",Info!B5)</f>
        <v>Occupation Figure 3  Changes in Occupational Employment Structure (000s) (SOC 2020), 2015-2035, United Kingdom</v>
      </c>
      <c r="W1" t="str">
        <f>LEFT(X3,4)</f>
        <v>2015</v>
      </c>
      <c r="X1" t="str">
        <f>RIGHT(AC3,4)</f>
        <v>2035</v>
      </c>
    </row>
    <row r="2" spans="1:29" x14ac:dyDescent="0.3">
      <c r="A2" s="1" t="s">
        <v>534</v>
      </c>
      <c r="X2" t="s">
        <v>427</v>
      </c>
    </row>
    <row r="3" spans="1:29" x14ac:dyDescent="0.3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3">
      <c r="W4" s="10" t="str">
        <f>name!E4</f>
        <v>Managers, directors and senior officials</v>
      </c>
      <c r="X4" s="11">
        <f>'Occ T1'!C8-'Occ T1'!B8</f>
        <v>472.30039765497804</v>
      </c>
      <c r="Y4" s="11">
        <f>'Occ T1'!D8-'Occ T1'!C8</f>
        <v>68.833666063575947</v>
      </c>
      <c r="Z4" s="11">
        <f>'Occ T1'!E8-'Occ T1'!D8</f>
        <v>116.08506048816116</v>
      </c>
      <c r="AA4" s="11">
        <f>'Occ T1'!F8-'Occ T1'!E8</f>
        <v>455.60460781089068</v>
      </c>
      <c r="AB4" s="11">
        <f>'Occ T1'!D8-'Occ T1'!B8</f>
        <v>541.13406371855399</v>
      </c>
      <c r="AC4" s="11">
        <f>'Occ T1'!F8-'Occ T1'!D8</f>
        <v>571.68966829905185</v>
      </c>
    </row>
    <row r="5" spans="1:29" x14ac:dyDescent="0.3">
      <c r="W5" s="10" t="str">
        <f>name!E5</f>
        <v>Professional occupations</v>
      </c>
      <c r="X5" s="11">
        <f>'Occ T1'!C9-'Occ T1'!B9</f>
        <v>950.95215294919217</v>
      </c>
      <c r="Y5" s="11">
        <f>'Occ T1'!D9-'Occ T1'!C9</f>
        <v>363.14571171748867</v>
      </c>
      <c r="Z5" s="11">
        <f>'Occ T1'!E9-'Occ T1'!D9</f>
        <v>688.91496651378475</v>
      </c>
      <c r="AA5" s="11">
        <f>'Occ T1'!F9-'Occ T1'!E9</f>
        <v>953.32240373963214</v>
      </c>
      <c r="AB5" s="11">
        <f>'Occ T1'!D9-'Occ T1'!B9</f>
        <v>1314.0978646666808</v>
      </c>
      <c r="AC5" s="11">
        <f>'Occ T1'!F9-'Occ T1'!D9</f>
        <v>1642.2373702534169</v>
      </c>
    </row>
    <row r="6" spans="1:29" x14ac:dyDescent="0.3">
      <c r="W6" s="10" t="str">
        <f>name!E6</f>
        <v>Associate professional occupations</v>
      </c>
      <c r="X6" s="11">
        <f>'Occ T1'!C10-'Occ T1'!B10</f>
        <v>351.35465469113296</v>
      </c>
      <c r="Y6" s="11">
        <f>'Occ T1'!D10-'Occ T1'!C10</f>
        <v>211.0987995327323</v>
      </c>
      <c r="Z6" s="11">
        <f>'Occ T1'!E10-'Occ T1'!D10</f>
        <v>-71.49989165302577</v>
      </c>
      <c r="AA6" s="11">
        <f>'Occ T1'!F10-'Occ T1'!E10</f>
        <v>367.89294103920929</v>
      </c>
      <c r="AB6" s="11">
        <f>'Occ T1'!D10-'Occ T1'!B10</f>
        <v>562.45345422386526</v>
      </c>
      <c r="AC6" s="11">
        <f>'Occ T1'!F10-'Occ T1'!D10</f>
        <v>296.39304938618352</v>
      </c>
    </row>
    <row r="7" spans="1:29" x14ac:dyDescent="0.3">
      <c r="W7" s="10" t="str">
        <f>name!E7</f>
        <v>Administrative and secretarial occupations</v>
      </c>
      <c r="X7" s="11">
        <f>'Occ T1'!C11-'Occ T1'!B11</f>
        <v>-108.08802179798249</v>
      </c>
      <c r="Y7" s="11">
        <f>'Occ T1'!D11-'Occ T1'!C11</f>
        <v>114.21872878208751</v>
      </c>
      <c r="Z7" s="11">
        <f>'Occ T1'!E11-'Occ T1'!D11</f>
        <v>-208.06109515020898</v>
      </c>
      <c r="AA7" s="11">
        <f>'Occ T1'!F11-'Occ T1'!E11</f>
        <v>-278.71937688504886</v>
      </c>
      <c r="AB7" s="11">
        <f>'Occ T1'!D11-'Occ T1'!B11</f>
        <v>6.1307069841050179</v>
      </c>
      <c r="AC7" s="11">
        <f>'Occ T1'!F11-'Occ T1'!D11</f>
        <v>-486.78047203525784</v>
      </c>
    </row>
    <row r="8" spans="1:29" x14ac:dyDescent="0.3">
      <c r="W8" s="10" t="str">
        <f>name!E8</f>
        <v>Skilled trades occupations</v>
      </c>
      <c r="X8" s="11">
        <f>'Occ T1'!C12-'Occ T1'!B12</f>
        <v>-54.63242649696258</v>
      </c>
      <c r="Y8" s="11">
        <f>'Occ T1'!D12-'Occ T1'!C12</f>
        <v>-405.52827589163144</v>
      </c>
      <c r="Z8" s="11">
        <f>'Occ T1'!E12-'Occ T1'!D12</f>
        <v>41.251316858640621</v>
      </c>
      <c r="AA8" s="11">
        <f>'Occ T1'!F12-'Occ T1'!E12</f>
        <v>-80.12672761849899</v>
      </c>
      <c r="AB8" s="11">
        <f>'Occ T1'!D12-'Occ T1'!B12</f>
        <v>-460.16070238859402</v>
      </c>
      <c r="AC8" s="11">
        <f>'Occ T1'!F12-'Occ T1'!D12</f>
        <v>-38.875410759858369</v>
      </c>
    </row>
    <row r="9" spans="1:29" x14ac:dyDescent="0.3">
      <c r="W9" s="10" t="str">
        <f>name!E9</f>
        <v>Caring, leisure and other service occupations</v>
      </c>
      <c r="X9" s="11">
        <f>'Occ T1'!C13-'Occ T1'!B13</f>
        <v>102.5723884727322</v>
      </c>
      <c r="Y9" s="11">
        <f>'Occ T1'!D13-'Occ T1'!C13</f>
        <v>-117.63365818937882</v>
      </c>
      <c r="Z9" s="11">
        <f>'Occ T1'!E13-'Occ T1'!D13</f>
        <v>224.79824699907658</v>
      </c>
      <c r="AA9" s="11">
        <f>'Occ T1'!F13-'Occ T1'!E13</f>
        <v>276.96040840446312</v>
      </c>
      <c r="AB9" s="11">
        <f>'Occ T1'!D13-'Occ T1'!B13</f>
        <v>-15.061269716646621</v>
      </c>
      <c r="AC9" s="11">
        <f>'Occ T1'!F13-'Occ T1'!D13</f>
        <v>501.75865540353971</v>
      </c>
    </row>
    <row r="10" spans="1:29" x14ac:dyDescent="0.3">
      <c r="W10" s="10" t="str">
        <f>name!E10</f>
        <v>Sales and customer service occupations</v>
      </c>
      <c r="X10" s="11">
        <f>'Occ T1'!C14-'Occ T1'!B14</f>
        <v>-69.99234625794179</v>
      </c>
      <c r="Y10" s="11">
        <f>'Occ T1'!D14-'Occ T1'!C14</f>
        <v>-30.181467734948455</v>
      </c>
      <c r="Z10" s="11">
        <f>'Occ T1'!E14-'Occ T1'!D14</f>
        <v>17.22995977291248</v>
      </c>
      <c r="AA10" s="11">
        <f>'Occ T1'!F14-'Occ T1'!E14</f>
        <v>12.109646228066595</v>
      </c>
      <c r="AB10" s="11">
        <f>'Occ T1'!D14-'Occ T1'!B14</f>
        <v>-100.17381399289025</v>
      </c>
      <c r="AC10" s="11">
        <f>'Occ T1'!F14-'Occ T1'!D14</f>
        <v>29.339606000979074</v>
      </c>
    </row>
    <row r="11" spans="1:29" x14ac:dyDescent="0.3">
      <c r="W11" s="10" t="str">
        <f>name!E11</f>
        <v>Process, plant and machine operatives</v>
      </c>
      <c r="X11" s="11">
        <f>'Occ T1'!C15-'Occ T1'!B15</f>
        <v>95.802585051613733</v>
      </c>
      <c r="Y11" s="11">
        <f>'Occ T1'!D15-'Occ T1'!C15</f>
        <v>-251.54797577875206</v>
      </c>
      <c r="Z11" s="11">
        <f>'Occ T1'!E15-'Occ T1'!D15</f>
        <v>243.18729699767755</v>
      </c>
      <c r="AA11" s="11">
        <f>'Occ T1'!F15-'Occ T1'!E15</f>
        <v>-21.547974870546568</v>
      </c>
      <c r="AB11" s="11">
        <f>'Occ T1'!D15-'Occ T1'!B15</f>
        <v>-155.74539072713833</v>
      </c>
      <c r="AC11" s="11">
        <f>'Occ T1'!F15-'Occ T1'!D15</f>
        <v>221.63932212713098</v>
      </c>
    </row>
    <row r="12" spans="1:29" x14ac:dyDescent="0.3">
      <c r="W12" s="10" t="str">
        <f>name!E12</f>
        <v>Elementary occupations</v>
      </c>
      <c r="X12" s="11">
        <f>'Occ T1'!C16-'Occ T1'!B16</f>
        <v>-31.250384266643323</v>
      </c>
      <c r="Y12" s="11">
        <f>'Occ T1'!D16-'Occ T1'!C16</f>
        <v>-342.44152850152568</v>
      </c>
      <c r="Z12" s="11">
        <f>'Occ T1'!E16-'Occ T1'!D16</f>
        <v>-4.5498608270336263</v>
      </c>
      <c r="AA12" s="11">
        <f>'Occ T1'!F16-'Occ T1'!E16</f>
        <v>-139.9479278478957</v>
      </c>
      <c r="AB12" s="11">
        <f>'Occ T1'!D16-'Occ T1'!B16</f>
        <v>-373.691912768169</v>
      </c>
      <c r="AC12" s="11">
        <f>'Occ T1'!F16-'Occ T1'!D16</f>
        <v>-144.49778867492932</v>
      </c>
    </row>
    <row r="14" spans="1:29" x14ac:dyDescent="0.3">
      <c r="W14" s="10" t="str">
        <f>name!E3</f>
        <v>All occupations</v>
      </c>
      <c r="X14" s="11">
        <f>'Occ T1'!C18-'Occ T1'!B18</f>
        <v>1709.0190000001166</v>
      </c>
      <c r="Y14" s="11">
        <f>'Occ T1'!D18-'Occ T1'!C18</f>
        <v>-390.0360000003493</v>
      </c>
      <c r="Z14" s="11">
        <f>'Occ T1'!E18-'Occ T1'!D18</f>
        <v>1047.3559999999779</v>
      </c>
      <c r="AA14" s="11">
        <f>'Occ T1'!F18-'Occ T1'!E18</f>
        <v>1545.5480000002717</v>
      </c>
      <c r="AB14" s="11">
        <f>'Occ T1'!D18-'Occ T1'!B18</f>
        <v>1318.9829999997673</v>
      </c>
      <c r="AC14" s="11">
        <f>'Occ T1'!F18-'Occ T1'!D18</f>
        <v>2592.9040000002497</v>
      </c>
    </row>
    <row r="17" spans="23:26" x14ac:dyDescent="0.3">
      <c r="Y17" s="82" t="s">
        <v>442</v>
      </c>
      <c r="Z17" s="82" t="s">
        <v>443</v>
      </c>
    </row>
    <row r="18" spans="23:26" x14ac:dyDescent="0.3">
      <c r="W18" s="82" t="s">
        <v>444</v>
      </c>
      <c r="X18">
        <f>CEILING(MAX(X4:AA12),IF(MAX(X4:AA12)&lt;100,10,IF(MAX(X4:AA12)&lt;1000,100,1000)))</f>
        <v>1000</v>
      </c>
      <c r="Y18">
        <f>MAX(X18,(X19*-1))</f>
        <v>1000</v>
      </c>
      <c r="Z18">
        <f>IF(Y18&gt;1000,1000,IF(Y18&gt;500,500,IF(Y18&gt;100,100,IF(Y18&gt;40,20,10))))</f>
        <v>500</v>
      </c>
    </row>
    <row r="19" spans="23:26" x14ac:dyDescent="0.3">
      <c r="W19" s="82" t="s">
        <v>445</v>
      </c>
      <c r="X19">
        <f>FLOOR(MIN(X4:AA12),IF(MIN(X4:AA12)&gt;-100,10,IF(MIN(X4:AA12)&gt;-1000,100,1000)))</f>
        <v>-500</v>
      </c>
      <c r="Y19">
        <f>Y18*-1</f>
        <v>-1000</v>
      </c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1"/>
  <dimension ref="A1:P13"/>
  <sheetViews>
    <sheetView showGridLines="0" zoomScale="75" zoomScaleNormal="75" workbookViewId="0"/>
  </sheetViews>
  <sheetFormatPr defaultRowHeight="12.45" x14ac:dyDescent="0.3"/>
  <cols>
    <col min="13" max="13" width="36" customWidth="1"/>
  </cols>
  <sheetData>
    <row r="1" spans="1:16" ht="15.45" x14ac:dyDescent="0.4">
      <c r="A1" s="79" t="str">
        <f>CONCATENATE("Occupation Figure 4  Occupational Change by Gender (000s) (SOC 2020), ",N1,", ",Info!B5)</f>
        <v>Occupation Figure 4  Occupational Change by Gender (000s) (SOC 2020), 2020-2035, United Kingdom</v>
      </c>
      <c r="M1" s="82" t="s">
        <v>18</v>
      </c>
      <c r="N1" t="str">
        <f>'Occ T1'!F62</f>
        <v>2020-2035</v>
      </c>
    </row>
    <row r="2" spans="1:16" x14ac:dyDescent="0.3">
      <c r="A2" s="1" t="s">
        <v>534</v>
      </c>
      <c r="M2" s="1" t="s">
        <v>0</v>
      </c>
      <c r="N2" s="82" t="s">
        <v>32</v>
      </c>
      <c r="O2" s="82" t="s">
        <v>99</v>
      </c>
      <c r="P2" s="82" t="s">
        <v>98</v>
      </c>
    </row>
    <row r="3" spans="1:16" x14ac:dyDescent="0.3">
      <c r="M3" s="10" t="str">
        <f>name!E4</f>
        <v>Managers, directors and senior officials</v>
      </c>
      <c r="N3" s="11">
        <f>'Occ T1'!F64</f>
        <v>571.68966829905185</v>
      </c>
      <c r="O3" s="11">
        <f>'Occ T1'!AB64</f>
        <v>339.87768416105973</v>
      </c>
      <c r="P3" s="11">
        <f>'Occ T1'!Q64</f>
        <v>231.81198413798893</v>
      </c>
    </row>
    <row r="4" spans="1:16" x14ac:dyDescent="0.3">
      <c r="M4" s="10" t="str">
        <f>name!E5</f>
        <v>Professional occupations</v>
      </c>
      <c r="N4" s="11">
        <f>'Occ T1'!F65</f>
        <v>1642.2373702534169</v>
      </c>
      <c r="O4" s="11">
        <f>'Occ T1'!AB65</f>
        <v>959.44681204836979</v>
      </c>
      <c r="P4" s="11">
        <f>'Occ T1'!Q65</f>
        <v>682.79055820504072</v>
      </c>
    </row>
    <row r="5" spans="1:16" x14ac:dyDescent="0.3">
      <c r="M5" s="10" t="str">
        <f>name!E6</f>
        <v>Associate professional occupations</v>
      </c>
      <c r="N5" s="11">
        <f>'Occ T1'!F66</f>
        <v>296.39304938618352</v>
      </c>
      <c r="O5" s="11">
        <f>'Occ T1'!AB66</f>
        <v>345.74692536964903</v>
      </c>
      <c r="P5" s="11">
        <f>'Occ T1'!Q66</f>
        <v>-49.353875983463695</v>
      </c>
    </row>
    <row r="6" spans="1:16" x14ac:dyDescent="0.3">
      <c r="M6" s="10" t="str">
        <f>name!E7</f>
        <v>Administrative and secretarial occupations</v>
      </c>
      <c r="N6" s="11">
        <f>'Occ T1'!F67</f>
        <v>-486.78047203525784</v>
      </c>
      <c r="O6" s="11">
        <f>'Occ T1'!AB67</f>
        <v>-545.50403021819648</v>
      </c>
      <c r="P6" s="11">
        <f>'Occ T1'!Q67</f>
        <v>58.723558182951365</v>
      </c>
    </row>
    <row r="7" spans="1:16" x14ac:dyDescent="0.3">
      <c r="M7" s="10" t="str">
        <f>name!E8</f>
        <v>Skilled trades occupations</v>
      </c>
      <c r="N7" s="11">
        <f>'Occ T1'!F68</f>
        <v>-38.875410759858369</v>
      </c>
      <c r="O7" s="11">
        <f>'Occ T1'!AB68</f>
        <v>90.164684363782953</v>
      </c>
      <c r="P7" s="11">
        <f>'Occ T1'!Q68</f>
        <v>-129.04009512363791</v>
      </c>
    </row>
    <row r="8" spans="1:16" x14ac:dyDescent="0.3">
      <c r="M8" s="10" t="str">
        <f>name!E9</f>
        <v>Caring, leisure and other service occupations</v>
      </c>
      <c r="N8" s="11">
        <f>'Occ T1'!F69</f>
        <v>501.75865540353971</v>
      </c>
      <c r="O8" s="11">
        <f>'Occ T1'!AB69</f>
        <v>314.29718435949826</v>
      </c>
      <c r="P8" s="11">
        <f>'Occ T1'!Q69</f>
        <v>187.46147104404338</v>
      </c>
    </row>
    <row r="9" spans="1:16" x14ac:dyDescent="0.3">
      <c r="M9" s="10" t="str">
        <f>name!E10</f>
        <v>Sales and customer service occupations</v>
      </c>
      <c r="N9" s="11">
        <f>'Occ T1'!F70</f>
        <v>29.339606000979074</v>
      </c>
      <c r="O9" s="11">
        <f>'Occ T1'!AB70</f>
        <v>-51.593264892945626</v>
      </c>
      <c r="P9" s="11">
        <f>'Occ T1'!Q70</f>
        <v>80.932870893921518</v>
      </c>
    </row>
    <row r="10" spans="1:16" x14ac:dyDescent="0.3">
      <c r="M10" s="10" t="str">
        <f>name!E11</f>
        <v>Process, plant and machine operatives</v>
      </c>
      <c r="N10" s="11">
        <f>'Occ T1'!F71</f>
        <v>221.63932212713098</v>
      </c>
      <c r="O10" s="11">
        <f>'Occ T1'!AB71</f>
        <v>96.884118276103209</v>
      </c>
      <c r="P10" s="11">
        <f>'Occ T1'!Q71</f>
        <v>124.7552038510255</v>
      </c>
    </row>
    <row r="11" spans="1:16" x14ac:dyDescent="0.3">
      <c r="M11" s="10" t="str">
        <f>name!E12</f>
        <v>Elementary occupations</v>
      </c>
      <c r="N11" s="11">
        <f>'Occ T1'!F72</f>
        <v>-144.49778867492932</v>
      </c>
      <c r="O11" s="11">
        <f>'Occ T1'!AB72</f>
        <v>-97.269113467175202</v>
      </c>
      <c r="P11" s="11">
        <f>'Occ T1'!Q72</f>
        <v>-47.228675207747983</v>
      </c>
    </row>
    <row r="12" spans="1:16" x14ac:dyDescent="0.3">
      <c r="M12" s="10"/>
      <c r="N12" s="11"/>
      <c r="O12" s="11"/>
      <c r="P12" s="11"/>
    </row>
    <row r="13" spans="1:16" x14ac:dyDescent="0.3">
      <c r="M13" s="10" t="str">
        <f>name!E3</f>
        <v>All occupations</v>
      </c>
      <c r="N13" s="11">
        <f>'Occ T1'!F74</f>
        <v>2592.9040000002497</v>
      </c>
      <c r="O13" s="11">
        <f>'Occ T1'!AB74</f>
        <v>1452.0510000001486</v>
      </c>
      <c r="P13" s="11">
        <f>'Occ T1'!Q74</f>
        <v>1140.8530000001228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2"/>
  <dimension ref="A1:P79"/>
  <sheetViews>
    <sheetView showGridLines="0" zoomScale="75" zoomScaleNormal="75" workbookViewId="0"/>
  </sheetViews>
  <sheetFormatPr defaultColWidth="9.15234375" defaultRowHeight="12.45" x14ac:dyDescent="0.3"/>
  <cols>
    <col min="13" max="13" width="36" customWidth="1"/>
    <col min="14" max="14" width="19.53515625" customWidth="1"/>
  </cols>
  <sheetData>
    <row r="1" spans="1:16" ht="15.45" x14ac:dyDescent="0.4">
      <c r="A1" s="79" t="str">
        <f>CONCATENATE("Occupation Figure 5  Occupational Change by Status (000s) (SOC 2020), ",N1,", ",Info!B5)</f>
        <v>Occupation Figure 5  Occupational Change by Status (000s) (SOC 2020), 2020-2035, United Kingdom</v>
      </c>
      <c r="M1" s="82" t="s">
        <v>18</v>
      </c>
      <c r="N1" t="str">
        <f>'Ind Occ T2'!G6&amp;"-"&amp;'Ind Occ T2'!L6</f>
        <v>2020-2035</v>
      </c>
    </row>
    <row r="2" spans="1:16" x14ac:dyDescent="0.3">
      <c r="A2" s="1" t="s">
        <v>534</v>
      </c>
      <c r="M2" s="1" t="s">
        <v>331</v>
      </c>
      <c r="N2" s="82" t="s">
        <v>338</v>
      </c>
      <c r="O2" s="82" t="s">
        <v>432</v>
      </c>
      <c r="P2" s="82" t="s">
        <v>433</v>
      </c>
    </row>
    <row r="3" spans="1:16" x14ac:dyDescent="0.3">
      <c r="M3" s="10" t="str">
        <f>name!E4</f>
        <v>Managers, directors and senior officials</v>
      </c>
      <c r="N3" s="11">
        <f>'Occ T5'!I44</f>
        <v>104.09551711949223</v>
      </c>
      <c r="O3" s="11">
        <f>'Occ T5'!H44</f>
        <v>138.65357897620066</v>
      </c>
      <c r="P3" s="11">
        <f>'Occ T5'!G44</f>
        <v>328.94057220335162</v>
      </c>
    </row>
    <row r="4" spans="1:16" x14ac:dyDescent="0.3">
      <c r="M4" s="10" t="str">
        <f>name!E5</f>
        <v>Professional occupations</v>
      </c>
      <c r="N4" s="11">
        <f>'Occ T5'!I45</f>
        <v>3.2295535825983279</v>
      </c>
      <c r="O4" s="11">
        <f>'Occ T5'!H45</f>
        <v>397.46635308025543</v>
      </c>
      <c r="P4" s="11">
        <f>'Occ T5'!G45</f>
        <v>1241.5414635905554</v>
      </c>
    </row>
    <row r="5" spans="1:16" x14ac:dyDescent="0.3">
      <c r="M5" s="10" t="str">
        <f>name!E6</f>
        <v>Associate professional occupations</v>
      </c>
      <c r="N5" s="11">
        <f>'Occ T5'!I46</f>
        <v>41.44287310390223</v>
      </c>
      <c r="O5" s="11">
        <f>'Occ T5'!H46</f>
        <v>80.398486792127073</v>
      </c>
      <c r="P5" s="11">
        <f>'Occ T5'!G46</f>
        <v>174.55168949015251</v>
      </c>
    </row>
    <row r="6" spans="1:16" x14ac:dyDescent="0.3">
      <c r="M6" s="10" t="str">
        <f>name!E7</f>
        <v>Administrative and secretarial occupations</v>
      </c>
      <c r="N6" s="11">
        <f>'Occ T5'!I47</f>
        <v>2.2811880427184406</v>
      </c>
      <c r="O6" s="11">
        <f>'Occ T5'!H47</f>
        <v>-198.67111203873856</v>
      </c>
      <c r="P6" s="11">
        <f>'Occ T5'!G47</f>
        <v>-290.39054803923545</v>
      </c>
    </row>
    <row r="7" spans="1:16" x14ac:dyDescent="0.3">
      <c r="M7" s="10" t="str">
        <f>name!E8</f>
        <v>Skilled trades occupations</v>
      </c>
      <c r="N7" s="11">
        <f>'Occ T5'!I48</f>
        <v>105.9400156136328</v>
      </c>
      <c r="O7" s="11">
        <f>'Occ T5'!H48</f>
        <v>49.053808570446392</v>
      </c>
      <c r="P7" s="11">
        <f>'Occ T5'!G48</f>
        <v>-193.86923494393432</v>
      </c>
    </row>
    <row r="8" spans="1:16" x14ac:dyDescent="0.3">
      <c r="M8" s="10" t="str">
        <f>name!E9</f>
        <v>Caring, leisure and other service occupations</v>
      </c>
      <c r="N8" s="11">
        <f>'Occ T5'!I49</f>
        <v>69.221468540039439</v>
      </c>
      <c r="O8" s="11">
        <f>'Occ T5'!H49</f>
        <v>122.3171541385866</v>
      </c>
      <c r="P8" s="11">
        <f>'Occ T5'!G49</f>
        <v>310.22003272492475</v>
      </c>
    </row>
    <row r="9" spans="1:16" x14ac:dyDescent="0.3">
      <c r="M9" s="10" t="str">
        <f>name!E10</f>
        <v>Sales and customer service occupations</v>
      </c>
      <c r="N9" s="11">
        <f>'Occ T5'!I50</f>
        <v>-18.669561839703633</v>
      </c>
      <c r="O9" s="11">
        <f>'Occ T5'!H50</f>
        <v>23.667923896822685</v>
      </c>
      <c r="P9" s="11">
        <f>'Occ T5'!G50</f>
        <v>24.341243943858558</v>
      </c>
    </row>
    <row r="10" spans="1:16" x14ac:dyDescent="0.3">
      <c r="M10" s="10" t="str">
        <f>name!E11</f>
        <v>Process, plant and machine operatives</v>
      </c>
      <c r="N10" s="11">
        <f>'Occ T5'!I51</f>
        <v>81.417480301653484</v>
      </c>
      <c r="O10" s="11">
        <f>'Occ T5'!H51</f>
        <v>110.81998179866133</v>
      </c>
      <c r="P10" s="11">
        <f>'Occ T5'!G51</f>
        <v>29.401860026813665</v>
      </c>
    </row>
    <row r="11" spans="1:16" x14ac:dyDescent="0.3">
      <c r="M11" s="10" t="str">
        <f>name!E12</f>
        <v>Elementary occupations</v>
      </c>
      <c r="N11" s="11">
        <f>'Occ T5'!I52</f>
        <v>75.372465548127707</v>
      </c>
      <c r="O11" s="11">
        <f>'Occ T5'!H52</f>
        <v>-185.69117524459921</v>
      </c>
      <c r="P11" s="11">
        <f>'Occ T5'!G52</f>
        <v>-34.179078978457255</v>
      </c>
    </row>
    <row r="12" spans="1:16" x14ac:dyDescent="0.3">
      <c r="M12" s="10"/>
      <c r="N12" s="11"/>
      <c r="O12" s="11"/>
      <c r="P12" s="11"/>
    </row>
    <row r="13" spans="1:16" x14ac:dyDescent="0.3">
      <c r="M13" s="10" t="str">
        <f>name!E3</f>
        <v>All occupations</v>
      </c>
      <c r="N13" s="11">
        <f>'Occ T5'!I54</f>
        <v>464.33100001246112</v>
      </c>
      <c r="O13" s="11">
        <f>'Occ T5'!H54</f>
        <v>538.01499996976236</v>
      </c>
      <c r="P13" s="11">
        <f>'Occ T5'!G54</f>
        <v>1590.5580000180307</v>
      </c>
    </row>
    <row r="16" spans="1:16" x14ac:dyDescent="0.3">
      <c r="M16" s="82" t="s">
        <v>18</v>
      </c>
      <c r="N16" t="str">
        <f>N1</f>
        <v>2020-2035</v>
      </c>
    </row>
    <row r="17" spans="13:16" x14ac:dyDescent="0.3">
      <c r="M17" s="1" t="s">
        <v>99</v>
      </c>
      <c r="N17" s="82" t="s">
        <v>338</v>
      </c>
      <c r="O17" s="82" t="s">
        <v>432</v>
      </c>
      <c r="P17" s="82" t="s">
        <v>433</v>
      </c>
    </row>
    <row r="18" spans="13:16" x14ac:dyDescent="0.3">
      <c r="M18" s="10" t="str">
        <f>M3</f>
        <v>Managers, directors and senior officials</v>
      </c>
      <c r="N18" s="11">
        <f>'Occ T5'!AO44</f>
        <v>28.058181787341226</v>
      </c>
      <c r="O18" s="11">
        <f>'Occ T5'!AN44</f>
        <v>74.20924618795334</v>
      </c>
      <c r="P18" s="11">
        <f>'Occ T5'!AM44</f>
        <v>237.6102561857623</v>
      </c>
    </row>
    <row r="19" spans="13:16" x14ac:dyDescent="0.3">
      <c r="M19" s="10" t="str">
        <f t="shared" ref="M19:M28" si="0">M4</f>
        <v>Professional occupations</v>
      </c>
      <c r="N19" s="11">
        <f>'Occ T5'!AO45</f>
        <v>31.327782270644036</v>
      </c>
      <c r="O19" s="11">
        <f>'Occ T5'!AN45</f>
        <v>263.12307302691352</v>
      </c>
      <c r="P19" s="11">
        <f>'Occ T5'!AM45</f>
        <v>664.99595675081764</v>
      </c>
    </row>
    <row r="20" spans="13:16" x14ac:dyDescent="0.3">
      <c r="M20" s="10" t="str">
        <f t="shared" si="0"/>
        <v>Associate professional occupations</v>
      </c>
      <c r="N20" s="11">
        <f>'Occ T5'!AO46</f>
        <v>35.454823255376766</v>
      </c>
      <c r="O20" s="11">
        <f>'Occ T5'!AN46</f>
        <v>95.580161161198021</v>
      </c>
      <c r="P20" s="11">
        <f>'Occ T5'!AM46</f>
        <v>214.71194095306851</v>
      </c>
    </row>
    <row r="21" spans="13:16" x14ac:dyDescent="0.3">
      <c r="M21" s="10" t="str">
        <f t="shared" si="0"/>
        <v>Administrative and secretarial occupations</v>
      </c>
      <c r="N21" s="11">
        <f>'Occ T5'!AO47</f>
        <v>-11.712562948491154</v>
      </c>
      <c r="O21" s="11">
        <f>'Occ T5'!AN47</f>
        <v>-192.99197595592386</v>
      </c>
      <c r="P21" s="11">
        <f>'Occ T5'!AM47</f>
        <v>-340.7994913137918</v>
      </c>
    </row>
    <row r="22" spans="13:16" x14ac:dyDescent="0.3">
      <c r="M22" s="10" t="str">
        <f t="shared" si="0"/>
        <v>Skilled trades occupations</v>
      </c>
      <c r="N22" s="11">
        <f>'Occ T5'!AO48</f>
        <v>34.71610487825383</v>
      </c>
      <c r="O22" s="11">
        <f>'Occ T5'!AN48</f>
        <v>19.747168392702577</v>
      </c>
      <c r="P22" s="11">
        <f>'Occ T5'!AM48</f>
        <v>35.701411092826987</v>
      </c>
    </row>
    <row r="23" spans="13:16" x14ac:dyDescent="0.3">
      <c r="M23" s="10" t="str">
        <f t="shared" si="0"/>
        <v>Caring, leisure and other service occupations</v>
      </c>
      <c r="N23" s="11">
        <f>'Occ T5'!AO49</f>
        <v>42.841206382860037</v>
      </c>
      <c r="O23" s="11">
        <f>'Occ T5'!AN49</f>
        <v>74.251941247363902</v>
      </c>
      <c r="P23" s="11">
        <f>'Occ T5'!AM49</f>
        <v>197.20403672928182</v>
      </c>
    </row>
    <row r="24" spans="13:16" x14ac:dyDescent="0.3">
      <c r="M24" s="10" t="str">
        <f t="shared" si="0"/>
        <v>Sales and customer service occupations</v>
      </c>
      <c r="N24" s="11">
        <f>'Occ T5'!AO50</f>
        <v>-8.7958275915744082</v>
      </c>
      <c r="O24" s="11">
        <f>'Occ T5'!AN50</f>
        <v>-10.444348872580349</v>
      </c>
      <c r="P24" s="11">
        <f>'Occ T5'!AM50</f>
        <v>-32.353088428792319</v>
      </c>
    </row>
    <row r="25" spans="13:16" x14ac:dyDescent="0.3">
      <c r="M25" s="10" t="str">
        <f t="shared" si="0"/>
        <v>Process, plant and machine operatives</v>
      </c>
      <c r="N25" s="11">
        <f>'Occ T5'!AO51</f>
        <v>10.320174089690894</v>
      </c>
      <c r="O25" s="11">
        <f>'Occ T5'!AN51</f>
        <v>58.482775324440013</v>
      </c>
      <c r="P25" s="11">
        <f>'Occ T5'!AM51</f>
        <v>28.081168861971918</v>
      </c>
    </row>
    <row r="26" spans="13:16" x14ac:dyDescent="0.3">
      <c r="M26" s="10" t="str">
        <f t="shared" si="0"/>
        <v>Elementary occupations</v>
      </c>
      <c r="N26" s="11">
        <f>'Occ T5'!AO52</f>
        <v>28.746117887287426</v>
      </c>
      <c r="O26" s="11">
        <f>'Occ T5'!AN52</f>
        <v>-168.69204054485658</v>
      </c>
      <c r="P26" s="11">
        <f>'Occ T5'!AM52</f>
        <v>42.676809190394692</v>
      </c>
    </row>
    <row r="27" spans="13:16" x14ac:dyDescent="0.3">
      <c r="M27" s="10"/>
      <c r="N27" s="11"/>
      <c r="O27" s="11"/>
      <c r="P27" s="11"/>
    </row>
    <row r="28" spans="13:16" x14ac:dyDescent="0.3">
      <c r="M28" s="10" t="str">
        <f t="shared" si="0"/>
        <v>All occupations</v>
      </c>
      <c r="N28" s="11">
        <f>'Occ T5'!AO54</f>
        <v>190.9560000113886</v>
      </c>
      <c r="O28" s="11">
        <f>'Occ T5'!AN54</f>
        <v>213.26599996720961</v>
      </c>
      <c r="P28" s="11">
        <f>'Occ T5'!AM54</f>
        <v>1047.8290000215402</v>
      </c>
    </row>
    <row r="31" spans="13:16" x14ac:dyDescent="0.3">
      <c r="M31" s="82" t="s">
        <v>18</v>
      </c>
      <c r="N31" t="str">
        <f>N1</f>
        <v>2020-2035</v>
      </c>
    </row>
    <row r="32" spans="13:16" x14ac:dyDescent="0.3">
      <c r="M32" s="1" t="s">
        <v>98</v>
      </c>
      <c r="N32" s="82" t="s">
        <v>338</v>
      </c>
      <c r="O32" s="82" t="s">
        <v>432</v>
      </c>
      <c r="P32" s="82" t="s">
        <v>433</v>
      </c>
    </row>
    <row r="33" spans="1:16" x14ac:dyDescent="0.3">
      <c r="M33" s="10" t="str">
        <f>M3</f>
        <v>Managers, directors and senior officials</v>
      </c>
      <c r="N33" s="11">
        <f>'Occ T5'!Y44</f>
        <v>76.037335332151486</v>
      </c>
      <c r="O33" s="11">
        <f>'Occ T5'!X44</f>
        <v>64.444332788246271</v>
      </c>
      <c r="P33" s="11">
        <f>'Occ T5'!W44</f>
        <v>91.330316017592168</v>
      </c>
    </row>
    <row r="34" spans="1:16" x14ac:dyDescent="0.3">
      <c r="M34" s="10" t="str">
        <f t="shared" ref="M34:M43" si="1">M4</f>
        <v>Professional occupations</v>
      </c>
      <c r="N34" s="11">
        <f>'Occ T5'!Y45</f>
        <v>-28.098228688046049</v>
      </c>
      <c r="O34" s="11">
        <f>'Occ T5'!X45</f>
        <v>134.34328005334169</v>
      </c>
      <c r="P34" s="11">
        <f>'Occ T5'!W45</f>
        <v>576.54550683974458</v>
      </c>
    </row>
    <row r="35" spans="1:16" x14ac:dyDescent="0.3">
      <c r="M35" s="10" t="str">
        <f t="shared" si="1"/>
        <v>Associate professional occupations</v>
      </c>
      <c r="N35" s="11">
        <f>'Occ T5'!Y46</f>
        <v>5.9880498485254634</v>
      </c>
      <c r="O35" s="11">
        <f>'Occ T5'!X46</f>
        <v>-15.181674369070635</v>
      </c>
      <c r="P35" s="11">
        <f>'Occ T5'!W46</f>
        <v>-40.160251462918268</v>
      </c>
    </row>
    <row r="36" spans="1:16" x14ac:dyDescent="0.3">
      <c r="M36" s="10" t="str">
        <f t="shared" si="1"/>
        <v>Administrative and secretarial occupations</v>
      </c>
      <c r="N36" s="11">
        <f>'Occ T5'!Y47</f>
        <v>13.99375099120941</v>
      </c>
      <c r="O36" s="11">
        <f>'Occ T5'!X47</f>
        <v>-5.6791360828154893</v>
      </c>
      <c r="P36" s="11">
        <f>'Occ T5'!W47</f>
        <v>50.40894327455635</v>
      </c>
    </row>
    <row r="37" spans="1:16" x14ac:dyDescent="0.3">
      <c r="M37" s="10" t="str">
        <f t="shared" si="1"/>
        <v>Skilled trades occupations</v>
      </c>
      <c r="N37" s="11">
        <f>'Occ T5'!Y48</f>
        <v>71.223910735379377</v>
      </c>
      <c r="O37" s="11">
        <f>'Occ T5'!X48</f>
        <v>29.306640177744015</v>
      </c>
      <c r="P37" s="11">
        <f>'Occ T5'!W48</f>
        <v>-229.5706460367619</v>
      </c>
    </row>
    <row r="38" spans="1:16" x14ac:dyDescent="0.3">
      <c r="M38" s="10" t="str">
        <f t="shared" si="1"/>
        <v>Caring, leisure and other service occupations</v>
      </c>
      <c r="N38" s="11">
        <f>'Occ T5'!Y49</f>
        <v>26.380262157179288</v>
      </c>
      <c r="O38" s="11">
        <f>'Occ T5'!X49</f>
        <v>48.065212891223268</v>
      </c>
      <c r="P38" s="11">
        <f>'Occ T5'!W49</f>
        <v>113.01599599564207</v>
      </c>
    </row>
    <row r="39" spans="1:16" x14ac:dyDescent="0.3">
      <c r="M39" s="10" t="str">
        <f t="shared" si="1"/>
        <v>Sales and customer service occupations</v>
      </c>
      <c r="N39" s="11">
        <f>'Occ T5'!Y50</f>
        <v>-9.8737342481292387</v>
      </c>
      <c r="O39" s="11">
        <f>'Occ T5'!X50</f>
        <v>34.11227276940167</v>
      </c>
      <c r="P39" s="11">
        <f>'Occ T5'!W50</f>
        <v>56.694332372650933</v>
      </c>
    </row>
    <row r="40" spans="1:16" ht="15.45" x14ac:dyDescent="0.4">
      <c r="A40" s="79" t="str">
        <f>CONCATENATE("Occupation Figure 5.1 Females:  Occupational Change by Status (000s) (SOC 2020), ",N1,", ",Info!B5)</f>
        <v>Occupation Figure 5.1 Females:  Occupational Change by Status (000s) (SOC 2020), 2020-2035, United Kingdom</v>
      </c>
      <c r="M40" s="10" t="str">
        <f t="shared" si="1"/>
        <v>Process, plant and machine operatives</v>
      </c>
      <c r="N40" s="11">
        <f>'Occ T5'!Y51</f>
        <v>71.097306211963257</v>
      </c>
      <c r="O40" s="11">
        <f>'Occ T5'!X51</f>
        <v>52.337206474219954</v>
      </c>
      <c r="P40" s="11">
        <f>'Occ T5'!W51</f>
        <v>1.3206911648419464</v>
      </c>
    </row>
    <row r="41" spans="1:16" x14ac:dyDescent="0.3">
      <c r="M41" s="10" t="str">
        <f t="shared" si="1"/>
        <v>Elementary occupations</v>
      </c>
      <c r="N41" s="11">
        <f>'Occ T5'!Y52</f>
        <v>46.626347660840466</v>
      </c>
      <c r="O41" s="11">
        <f>'Occ T5'!X52</f>
        <v>-16.999134699743536</v>
      </c>
      <c r="P41" s="11">
        <f>'Occ T5'!W52</f>
        <v>-76.855888168850356</v>
      </c>
    </row>
    <row r="42" spans="1:16" x14ac:dyDescent="0.3">
      <c r="M42" s="10"/>
      <c r="N42" s="11"/>
      <c r="O42" s="11"/>
      <c r="P42" s="11"/>
    </row>
    <row r="43" spans="1:16" x14ac:dyDescent="0.3">
      <c r="M43" s="10" t="str">
        <f t="shared" si="1"/>
        <v>All occupations</v>
      </c>
      <c r="N43" s="11">
        <f>'Occ T5'!Y54</f>
        <v>273.3750000010732</v>
      </c>
      <c r="O43" s="11">
        <f>'Occ T5'!X54</f>
        <v>324.74900000254684</v>
      </c>
      <c r="P43" s="11">
        <f>'Occ T5'!W54</f>
        <v>542.72899999649417</v>
      </c>
    </row>
    <row r="79" spans="1:1" ht="15.45" x14ac:dyDescent="0.4">
      <c r="A79" s="79" t="str">
        <f>CONCATENATE("Occupation Figure 5.2 Males:  Occupational Change by Status (000s) (SOC 2020), ",N1,", ",Info!B5)</f>
        <v>Occupation Figure 5.2 Males:  Occupational Change by Status (000s) (SOC 2020), 2020-2035, United Kingdom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A1:G57"/>
  <sheetViews>
    <sheetView showGridLines="0" zoomScale="85" zoomScaleNormal="85" workbookViewId="0"/>
  </sheetViews>
  <sheetFormatPr defaultRowHeight="12.45" x14ac:dyDescent="0.3"/>
  <cols>
    <col min="1" max="1" width="36.69140625" customWidth="1"/>
    <col min="2" max="6" width="11.69140625" customWidth="1"/>
  </cols>
  <sheetData>
    <row r="1" spans="1:7" ht="15.45" x14ac:dyDescent="0.4">
      <c r="A1" s="18" t="str">
        <f>CONCATENATE("Qualification Table 1  Employment by Qualification, ",B$3,"-",F$3,", ",Info!B5)</f>
        <v>Qualification Table 1  Employment by Qualification, 2015-2035, United Kingdom</v>
      </c>
    </row>
    <row r="2" spans="1:7" x14ac:dyDescent="0.3">
      <c r="A2" s="1" t="s">
        <v>537</v>
      </c>
    </row>
    <row r="3" spans="1:7" x14ac:dyDescent="0.3">
      <c r="A3" s="21"/>
      <c r="B3" s="22">
        <f>'Occ T3'!B5</f>
        <v>2015</v>
      </c>
      <c r="C3" s="22">
        <f>'Occ T3'!C5</f>
        <v>2019</v>
      </c>
      <c r="D3" s="22">
        <f>'Occ T3'!D5</f>
        <v>2020</v>
      </c>
      <c r="E3" s="22">
        <f>'Occ T3'!E5</f>
        <v>2025</v>
      </c>
      <c r="F3" s="22">
        <f>'Occ T3'!F5</f>
        <v>2035</v>
      </c>
      <c r="G3" s="10"/>
    </row>
    <row r="4" spans="1:7" x14ac:dyDescent="0.3">
      <c r="A4" s="1" t="s">
        <v>13</v>
      </c>
      <c r="C4" s="10"/>
      <c r="D4" s="10"/>
      <c r="E4" s="10"/>
      <c r="F4" s="10"/>
    </row>
    <row r="5" spans="1:7" x14ac:dyDescent="0.3">
      <c r="A5" t="str">
        <f>name!F4</f>
        <v>RQF8 Doctorate</v>
      </c>
      <c r="B5" s="11">
        <f>HLOOKUP(B$3,'Qual F1'!$M$4:$BZ$14,11,FALSE)</f>
        <v>455.81070126678173</v>
      </c>
      <c r="C5" s="11">
        <f>HLOOKUP(C$3,'Qual F1'!$M$4:$BZ$14,11,FALSE)</f>
        <v>588.17170318179012</v>
      </c>
      <c r="D5" s="11">
        <f>HLOOKUP(D$3,'Qual F1'!$M$4:$BZ$14,11,FALSE)</f>
        <v>611.36556836037994</v>
      </c>
      <c r="E5" s="11">
        <f>HLOOKUP(E$3,'Qual F1'!$M$4:$BZ$14,11,FALSE)</f>
        <v>777.49428774510261</v>
      </c>
      <c r="F5" s="11">
        <f>HLOOKUP(F$3,'Qual F1'!$M$4:$BZ$14,11,FALSE)</f>
        <v>1077.1920536731909</v>
      </c>
      <c r="G5" s="11"/>
    </row>
    <row r="6" spans="1:7" x14ac:dyDescent="0.3">
      <c r="A6" t="str">
        <f>name!F5</f>
        <v>RQF7 Other higher degree</v>
      </c>
      <c r="B6" s="11">
        <f>HLOOKUP(B$3,'Qual F1'!$M$4:$BZ$14,10,FALSE)</f>
        <v>3156.2390605195696</v>
      </c>
      <c r="C6" s="11">
        <f>HLOOKUP(C$3,'Qual F1'!$M$4:$BZ$14,10,FALSE)</f>
        <v>4137.7151575520847</v>
      </c>
      <c r="D6" s="11">
        <f>HLOOKUP(D$3,'Qual F1'!$M$4:$BZ$14,10,FALSE)</f>
        <v>4336.7615670433815</v>
      </c>
      <c r="E6" s="11">
        <f>HLOOKUP(E$3,'Qual F1'!$M$4:$BZ$14,10,FALSE)</f>
        <v>5512.5167236496936</v>
      </c>
      <c r="F6" s="11">
        <f>HLOOKUP(F$3,'Qual F1'!$M$4:$BZ$14,10,FALSE)</f>
        <v>7687.6513264445221</v>
      </c>
      <c r="G6" s="11"/>
    </row>
    <row r="7" spans="1:7" x14ac:dyDescent="0.3">
      <c r="A7" t="str">
        <f>name!F6</f>
        <v>RQF6 First degree</v>
      </c>
      <c r="B7" s="11">
        <f>HLOOKUP(B$3,'Qual F1'!$M$4:$BZ$14,9,FALSE)</f>
        <v>6603.7554747345093</v>
      </c>
      <c r="C7" s="11">
        <f>HLOOKUP(C$3,'Qual F1'!$M$4:$BZ$14,9,FALSE)</f>
        <v>7230.5147192130253</v>
      </c>
      <c r="D7" s="11">
        <f>HLOOKUP(D$3,'Qual F1'!$M$4:$BZ$14,9,FALSE)</f>
        <v>7562.4602922181739</v>
      </c>
      <c r="E7" s="11">
        <f>HLOOKUP(E$3,'Qual F1'!$M$4:$BZ$14,9,FALSE)</f>
        <v>8102.5792335632295</v>
      </c>
      <c r="F7" s="11">
        <f>HLOOKUP(F$3,'Qual F1'!$M$4:$BZ$14,9,FALSE)</f>
        <v>9232.4204173538292</v>
      </c>
      <c r="G7" s="11"/>
    </row>
    <row r="8" spans="1:7" x14ac:dyDescent="0.3">
      <c r="A8" t="str">
        <f>name!F7</f>
        <v>RQF5 Foundation degree;Nursing;Teaching</v>
      </c>
      <c r="B8" s="11">
        <f>HLOOKUP(B$3,'Qual F1'!$M$4:$BZ$14,8,FALSE)</f>
        <v>1980.0475475681642</v>
      </c>
      <c r="C8" s="11">
        <f>HLOOKUP(C$3,'Qual F1'!$M$4:$BZ$14,8,FALSE)</f>
        <v>1970.7601286444549</v>
      </c>
      <c r="D8" s="11">
        <f>HLOOKUP(D$3,'Qual F1'!$M$4:$BZ$14,8,FALSE)</f>
        <v>2054.5752318363461</v>
      </c>
      <c r="E8" s="11">
        <f>HLOOKUP(E$3,'Qual F1'!$M$4:$BZ$14,8,FALSE)</f>
        <v>2061.017537957242</v>
      </c>
      <c r="F8" s="11">
        <f>HLOOKUP(F$3,'Qual F1'!$M$4:$BZ$14,8,FALSE)</f>
        <v>2279.8253957201277</v>
      </c>
      <c r="G8" s="11"/>
    </row>
    <row r="9" spans="1:7" x14ac:dyDescent="0.3">
      <c r="A9" t="str">
        <f>name!F8</f>
        <v>RQF4 HE below degree level</v>
      </c>
      <c r="B9" s="11">
        <f>HLOOKUP(B$3,'Qual F1'!$M$4:$BZ$14,7,FALSE)</f>
        <v>1842.1923165270805</v>
      </c>
      <c r="C9" s="11">
        <f>HLOOKUP(C$3,'Qual F1'!$M$4:$BZ$14,7,FALSE)</f>
        <v>1959.5697046758789</v>
      </c>
      <c r="D9" s="11">
        <f>HLOOKUP(D$3,'Qual F1'!$M$4:$BZ$14,7,FALSE)</f>
        <v>2058.6092684674036</v>
      </c>
      <c r="E9" s="11">
        <f>HLOOKUP(E$3,'Qual F1'!$M$4:$BZ$14,7,FALSE)</f>
        <v>2158.1737286960165</v>
      </c>
      <c r="F9" s="11">
        <f>HLOOKUP(F$3,'Qual F1'!$M$4:$BZ$14,7,FALSE)</f>
        <v>2475.3919333699382</v>
      </c>
      <c r="G9" s="11"/>
    </row>
    <row r="10" spans="1:7" x14ac:dyDescent="0.3">
      <c r="A10" t="str">
        <f>name!F9</f>
        <v>RQF3 A level &amp; equivalent</v>
      </c>
      <c r="B10" s="11">
        <f>HLOOKUP(B$3,'Qual F1'!$M$4:$BZ$14,6,FALSE)</f>
        <v>6582.0988171903118</v>
      </c>
      <c r="C10" s="11">
        <f>HLOOKUP(C$3,'Qual F1'!$M$4:$BZ$14,6,FALSE)</f>
        <v>6819.7830359985328</v>
      </c>
      <c r="D10" s="11">
        <f>HLOOKUP(D$3,'Qual F1'!$M$4:$BZ$14,6,FALSE)</f>
        <v>6743.1586895525825</v>
      </c>
      <c r="E10" s="11">
        <f>HLOOKUP(E$3,'Qual F1'!$M$4:$BZ$14,6,FALSE)</f>
        <v>6707.7994628999313</v>
      </c>
      <c r="F10" s="11">
        <f>HLOOKUP(F$3,'Qual F1'!$M$4:$BZ$14,6,FALSE)</f>
        <v>6618.9940357599044</v>
      </c>
      <c r="G10" s="11"/>
    </row>
    <row r="11" spans="1:7" x14ac:dyDescent="0.3">
      <c r="A11" t="str">
        <f>name!F10</f>
        <v>RQF2 GCSE(A-C) &amp; equivalent</v>
      </c>
      <c r="B11" s="11">
        <f>HLOOKUP(B$3,'Qual F1'!$M$4:$BZ$14,5,FALSE)</f>
        <v>6682.7821620955383</v>
      </c>
      <c r="C11" s="11">
        <f>HLOOKUP(C$3,'Qual F1'!$M$4:$BZ$14,5,FALSE)</f>
        <v>6657.6209919773628</v>
      </c>
      <c r="D11" s="11">
        <f>HLOOKUP(D$3,'Qual F1'!$M$4:$BZ$14,5,FALSE)</f>
        <v>6248.7447207957857</v>
      </c>
      <c r="E11" s="11">
        <f>HLOOKUP(E$3,'Qual F1'!$M$4:$BZ$14,5,FALSE)</f>
        <v>5968.0626278923801</v>
      </c>
      <c r="F11" s="11">
        <f>HLOOKUP(F$3,'Qual F1'!$M$4:$BZ$14,5,FALSE)</f>
        <v>4929.3643298447141</v>
      </c>
      <c r="G11" s="11"/>
    </row>
    <row r="12" spans="1:7" x14ac:dyDescent="0.3">
      <c r="A12" t="str">
        <f>name!F11</f>
        <v>RQF1 GCSE(below grade C) &amp; equivalent</v>
      </c>
      <c r="B12" s="11">
        <f>HLOOKUP(B$3,'Qual F1'!$M$4:$BZ$14,4,FALSE)</f>
        <v>4520.7232655943089</v>
      </c>
      <c r="C12" s="11">
        <f>HLOOKUP(C$3,'Qual F1'!$M$4:$BZ$14,4,FALSE)</f>
        <v>4323.3959219964427</v>
      </c>
      <c r="D12" s="11">
        <f>HLOOKUP(D$3,'Qual F1'!$M$4:$BZ$14,4,FALSE)</f>
        <v>3929.3852672825415</v>
      </c>
      <c r="E12" s="11">
        <f>HLOOKUP(E$3,'Qual F1'!$M$4:$BZ$14,4,FALSE)</f>
        <v>3543.1096039464742</v>
      </c>
      <c r="F12" s="11">
        <f>HLOOKUP(F$3,'Qual F1'!$M$4:$BZ$14,4,FALSE)</f>
        <v>2343.6324984872572</v>
      </c>
      <c r="G12" s="11"/>
    </row>
    <row r="13" spans="1:7" x14ac:dyDescent="0.3">
      <c r="A13" t="str">
        <f>name!F12</f>
        <v>No Qualification</v>
      </c>
      <c r="B13" s="11">
        <f>HLOOKUP(B$3,'Qual F1'!$M$4:$BZ$14,3,FALSE)</f>
        <v>1832.3356545038037</v>
      </c>
      <c r="C13" s="11">
        <f>HLOOKUP(C$3,'Qual F1'!$M$4:$BZ$14,3,FALSE)</f>
        <v>1677.4726367605974</v>
      </c>
      <c r="D13" s="11">
        <f>HLOOKUP(D$3,'Qual F1'!$M$4:$BZ$14,3,FALSE)</f>
        <v>1429.9073944432503</v>
      </c>
      <c r="E13" s="11">
        <f>HLOOKUP(E$3,'Qual F1'!$M$4:$BZ$14,3,FALSE)</f>
        <v>1191.5707936497847</v>
      </c>
      <c r="F13" s="11">
        <f>HLOOKUP(F$3,'Qual F1'!$M$4:$BZ$14,3,FALSE)</f>
        <v>923.40000934655586</v>
      </c>
      <c r="G13" s="11"/>
    </row>
    <row r="14" spans="1:7" x14ac:dyDescent="0.3">
      <c r="B14" s="11"/>
      <c r="C14" s="11"/>
      <c r="D14" s="11"/>
      <c r="E14" s="11"/>
      <c r="F14" s="11"/>
      <c r="G14" s="11"/>
    </row>
    <row r="15" spans="1:7" x14ac:dyDescent="0.3">
      <c r="A15" t="str">
        <f>name!F3</f>
        <v>All qualifications</v>
      </c>
      <c r="B15" s="11">
        <f>SUM(B5:B13)</f>
        <v>33655.985000000066</v>
      </c>
      <c r="C15" s="11">
        <f t="shared" ref="C15:F15" si="0">SUM(C5:C13)</f>
        <v>35365.004000000175</v>
      </c>
      <c r="D15" s="11">
        <f t="shared" si="0"/>
        <v>34974.967999999848</v>
      </c>
      <c r="E15" s="11">
        <f t="shared" si="0"/>
        <v>36022.323999999855</v>
      </c>
      <c r="F15" s="11">
        <f t="shared" si="0"/>
        <v>37567.872000000039</v>
      </c>
      <c r="G15" s="11"/>
    </row>
    <row r="16" spans="1:7" x14ac:dyDescent="0.3">
      <c r="B16" s="11"/>
      <c r="C16" s="11"/>
      <c r="D16" s="11"/>
      <c r="E16" s="11"/>
      <c r="F16" s="11"/>
      <c r="G16" s="11"/>
    </row>
    <row r="17" spans="1:7" x14ac:dyDescent="0.3">
      <c r="B17" s="11"/>
      <c r="C17" s="11"/>
      <c r="D17" s="11"/>
      <c r="E17" s="11"/>
      <c r="F17" s="11"/>
      <c r="G17" s="11"/>
    </row>
    <row r="18" spans="1:7" x14ac:dyDescent="0.3">
      <c r="A18" s="1" t="s">
        <v>463</v>
      </c>
      <c r="B18" s="16">
        <f>B$3</f>
        <v>2015</v>
      </c>
      <c r="C18" s="16">
        <f>C$3</f>
        <v>2019</v>
      </c>
      <c r="D18" s="16">
        <f>D$3</f>
        <v>2020</v>
      </c>
      <c r="E18" s="16">
        <f>E$3</f>
        <v>2025</v>
      </c>
      <c r="F18" s="16">
        <f>F$3</f>
        <v>2035</v>
      </c>
      <c r="G18" s="11"/>
    </row>
    <row r="19" spans="1:7" x14ac:dyDescent="0.3">
      <c r="A19" t="str">
        <f>$A5</f>
        <v>RQF8 Doctorate</v>
      </c>
      <c r="B19" s="17">
        <f t="shared" ref="B19:F21" si="1">B5/B$15*100</f>
        <v>1.354322867884511</v>
      </c>
      <c r="C19" s="17">
        <f t="shared" si="1"/>
        <v>1.6631461520032267</v>
      </c>
      <c r="D19" s="17">
        <f t="shared" si="1"/>
        <v>1.7480089427397978</v>
      </c>
      <c r="E19" s="17">
        <f>E5/E$15*100</f>
        <v>2.1583679269141709</v>
      </c>
      <c r="F19" s="17">
        <f t="shared" si="1"/>
        <v>2.8673225187553606</v>
      </c>
      <c r="G19" s="11"/>
    </row>
    <row r="20" spans="1:7" x14ac:dyDescent="0.3">
      <c r="A20" t="str">
        <f>$A6</f>
        <v>RQF7 Other higher degree</v>
      </c>
      <c r="B20" s="17">
        <f t="shared" si="1"/>
        <v>9.3779429142233202</v>
      </c>
      <c r="C20" s="17">
        <f t="shared" si="1"/>
        <v>11.700027398702018</v>
      </c>
      <c r="D20" s="17">
        <f t="shared" si="1"/>
        <v>12.399615539443525</v>
      </c>
      <c r="E20" s="17">
        <f t="shared" si="1"/>
        <v>15.303056858990319</v>
      </c>
      <c r="F20" s="17">
        <f t="shared" si="1"/>
        <v>20.463366480924215</v>
      </c>
      <c r="G20" s="11"/>
    </row>
    <row r="21" spans="1:7" x14ac:dyDescent="0.3">
      <c r="A21" t="str">
        <f>$A7</f>
        <v>RQF6 First degree</v>
      </c>
      <c r="B21" s="17">
        <f t="shared" si="1"/>
        <v>19.621340676062506</v>
      </c>
      <c r="C21" s="17">
        <f t="shared" si="1"/>
        <v>20.44539488589621</v>
      </c>
      <c r="D21" s="17">
        <f t="shared" si="1"/>
        <v>21.622493813913444</v>
      </c>
      <c r="E21" s="17">
        <f t="shared" si="1"/>
        <v>22.493216244357978</v>
      </c>
      <c r="F21" s="17">
        <f t="shared" si="1"/>
        <v>24.575308437363233</v>
      </c>
      <c r="G21" s="11"/>
    </row>
    <row r="22" spans="1:7" x14ac:dyDescent="0.3">
      <c r="A22" t="str">
        <f t="shared" ref="A22:A27" si="2">$A8</f>
        <v>RQF5 Foundation degree;Nursing;Teaching</v>
      </c>
      <c r="B22" s="17">
        <f t="shared" ref="B22:F22" si="3">B8/B$15*100</f>
        <v>5.8831959533145746</v>
      </c>
      <c r="C22" s="17">
        <f t="shared" si="3"/>
        <v>5.5726280382845284</v>
      </c>
      <c r="D22" s="17">
        <f t="shared" si="3"/>
        <v>5.8744163306635624</v>
      </c>
      <c r="E22" s="17">
        <f t="shared" si="3"/>
        <v>5.7215007503603887</v>
      </c>
      <c r="F22" s="17">
        <f t="shared" si="3"/>
        <v>6.0685507971282622</v>
      </c>
      <c r="G22" s="11"/>
    </row>
    <row r="23" spans="1:7" x14ac:dyDescent="0.3">
      <c r="A23" t="str">
        <f t="shared" si="2"/>
        <v>RQF4 HE below degree level</v>
      </c>
      <c r="B23" s="17">
        <f t="shared" ref="B23:F23" si="4">B9/B$15*100</f>
        <v>5.4735950129734041</v>
      </c>
      <c r="C23" s="17">
        <f t="shared" si="4"/>
        <v>5.5409853896124801</v>
      </c>
      <c r="D23" s="17">
        <f t="shared" si="4"/>
        <v>5.8859503987749546</v>
      </c>
      <c r="E23" s="17">
        <f t="shared" si="4"/>
        <v>5.9912118071449951</v>
      </c>
      <c r="F23" s="17">
        <f t="shared" si="4"/>
        <v>6.5891193767108653</v>
      </c>
      <c r="G23" s="11"/>
    </row>
    <row r="24" spans="1:7" x14ac:dyDescent="0.3">
      <c r="A24" t="str">
        <f t="shared" si="2"/>
        <v>RQF3 A level &amp; equivalent</v>
      </c>
      <c r="B24" s="17">
        <f t="shared" ref="B24:F24" si="5">B10/B$15*100</f>
        <v>19.556993554609377</v>
      </c>
      <c r="C24" s="17">
        <f t="shared" si="5"/>
        <v>19.2839877410971</v>
      </c>
      <c r="D24" s="17">
        <f t="shared" si="5"/>
        <v>19.27995670947465</v>
      </c>
      <c r="E24" s="17">
        <f t="shared" si="5"/>
        <v>18.621229054793794</v>
      </c>
      <c r="F24" s="17">
        <f t="shared" si="5"/>
        <v>17.618762211923787</v>
      </c>
      <c r="G24" s="11"/>
    </row>
    <row r="25" spans="1:7" x14ac:dyDescent="0.3">
      <c r="A25" t="str">
        <f t="shared" si="2"/>
        <v>RQF2 GCSE(A-C) &amp; equivalent</v>
      </c>
      <c r="B25" s="17">
        <f t="shared" ref="B25:F25" si="6">B11/B$15*100</f>
        <v>19.856147909786404</v>
      </c>
      <c r="C25" s="17">
        <f t="shared" si="6"/>
        <v>18.825449565840088</v>
      </c>
      <c r="D25" s="17">
        <f t="shared" si="6"/>
        <v>17.866334347456196</v>
      </c>
      <c r="E25" s="17">
        <f t="shared" si="6"/>
        <v>16.567677942967823</v>
      </c>
      <c r="F25" s="17">
        <f t="shared" si="6"/>
        <v>13.121223181991008</v>
      </c>
      <c r="G25" s="11"/>
    </row>
    <row r="26" spans="1:7" x14ac:dyDescent="0.3">
      <c r="A26" t="str">
        <f t="shared" si="2"/>
        <v>RQF1 GCSE(below grade C) &amp; equivalent</v>
      </c>
      <c r="B26" s="17">
        <f t="shared" ref="B26:F26" si="7">B12/B$15*100</f>
        <v>13.432152604044422</v>
      </c>
      <c r="C26" s="17">
        <f>C12/C$15*100</f>
        <v>12.225068381149967</v>
      </c>
      <c r="D26" s="17">
        <f t="shared" si="7"/>
        <v>11.234850214251972</v>
      </c>
      <c r="E26" s="17">
        <f t="shared" si="7"/>
        <v>9.835871788689948</v>
      </c>
      <c r="F26" s="17">
        <f t="shared" si="7"/>
        <v>6.2383956655496879</v>
      </c>
      <c r="G26" s="11"/>
    </row>
    <row r="27" spans="1:7" x14ac:dyDescent="0.3">
      <c r="A27" t="str">
        <f t="shared" si="2"/>
        <v>No Qualification</v>
      </c>
      <c r="B27" s="17">
        <f t="shared" ref="B27:F27" si="8">B13/B$15*100</f>
        <v>5.4443085071014865</v>
      </c>
      <c r="C27" s="17">
        <f>C13/C$15*100</f>
        <v>4.7433124474143673</v>
      </c>
      <c r="D27" s="17">
        <f t="shared" si="8"/>
        <v>4.0883737032818921</v>
      </c>
      <c r="E27" s="17">
        <f t="shared" si="8"/>
        <v>3.3078676257805841</v>
      </c>
      <c r="F27" s="17">
        <f t="shared" si="8"/>
        <v>2.4579513296535795</v>
      </c>
      <c r="G27" s="11"/>
    </row>
    <row r="28" spans="1:7" x14ac:dyDescent="0.3">
      <c r="B28" s="17"/>
      <c r="C28" s="17"/>
      <c r="D28" s="17"/>
      <c r="E28" s="17"/>
      <c r="F28" s="17"/>
      <c r="G28" s="11"/>
    </row>
    <row r="29" spans="1:7" x14ac:dyDescent="0.3">
      <c r="A29" t="str">
        <f>$A15</f>
        <v>All qualifications</v>
      </c>
      <c r="B29" s="17">
        <f>B15/B$15*100</f>
        <v>100</v>
      </c>
      <c r="C29" s="17">
        <f>C15/C$15*100</f>
        <v>100</v>
      </c>
      <c r="D29" s="17">
        <f>D15/D$15*100</f>
        <v>100</v>
      </c>
      <c r="E29" s="17">
        <f>E15/E$15*100</f>
        <v>100</v>
      </c>
      <c r="F29" s="17">
        <f>F15/F$15*100</f>
        <v>100</v>
      </c>
      <c r="G29" s="11"/>
    </row>
    <row r="30" spans="1:7" x14ac:dyDescent="0.3">
      <c r="B30" s="17"/>
      <c r="C30" s="17"/>
      <c r="D30" s="17"/>
      <c r="E30" s="17"/>
      <c r="F30" s="17"/>
      <c r="G30" s="11"/>
    </row>
    <row r="32" spans="1:7" x14ac:dyDescent="0.3">
      <c r="A32" s="1" t="s">
        <v>14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3">
      <c r="A33" t="str">
        <f>$A19</f>
        <v>RQF8 Doctorate</v>
      </c>
      <c r="B33" s="17">
        <f>IF(C$3-B$3 &lt;&gt; 0,(EXP(LN(C5/B5)/(C$3-B$3))-1)*100,0)</f>
        <v>6.5810274212163344</v>
      </c>
      <c r="C33" s="17">
        <f t="shared" ref="B33:E35" si="9">IF(D$3-C$3 &lt;&gt; 0,(EXP(LN(D5/C5)/(D$3-C$3))-1)*100,0)</f>
        <v>3.9433833782073657</v>
      </c>
      <c r="D33" s="17">
        <f t="shared" si="9"/>
        <v>4.9250648249283158</v>
      </c>
      <c r="E33" s="17">
        <f t="shared" si="9"/>
        <v>3.314099197606768</v>
      </c>
      <c r="F33" s="17">
        <f>IF(F$3-D$3 &lt;&gt; 0,(EXP(LN(F5/D5)/(F$3-D$3))-1)*100,0)</f>
        <v>3.8483206016052707</v>
      </c>
    </row>
    <row r="34" spans="1:6" x14ac:dyDescent="0.3">
      <c r="A34" t="str">
        <f>$A20</f>
        <v>RQF7 Other higher degree</v>
      </c>
      <c r="B34" s="17">
        <f t="shared" si="9"/>
        <v>7.0034240339088338</v>
      </c>
      <c r="C34" s="17">
        <f t="shared" si="9"/>
        <v>4.8105391964451849</v>
      </c>
      <c r="D34" s="17">
        <f t="shared" si="9"/>
        <v>4.9148284656606034</v>
      </c>
      <c r="E34" s="17">
        <f t="shared" si="9"/>
        <v>3.3818681487317592</v>
      </c>
      <c r="F34" s="17">
        <f t="shared" ref="F34:F43" si="10">IF(F$3-D$3 &lt;&gt; 0,(EXP(LN(F6/D6)/(F$3-D$3))-1)*100,0)</f>
        <v>3.8903498632811173</v>
      </c>
    </row>
    <row r="35" spans="1:6" x14ac:dyDescent="0.3">
      <c r="A35" t="str">
        <f>$A21</f>
        <v>RQF6 First degree</v>
      </c>
      <c r="B35" s="17">
        <f t="shared" si="9"/>
        <v>2.2926801693812893</v>
      </c>
      <c r="C35" s="17">
        <f t="shared" si="9"/>
        <v>4.5908982402469656</v>
      </c>
      <c r="D35" s="17">
        <f t="shared" si="9"/>
        <v>1.3892792672769438</v>
      </c>
      <c r="E35" s="17">
        <f t="shared" si="9"/>
        <v>1.3139455158201585</v>
      </c>
      <c r="F35" s="17">
        <f t="shared" si="10"/>
        <v>1.3390505449061063</v>
      </c>
    </row>
    <row r="36" spans="1:6" x14ac:dyDescent="0.3">
      <c r="A36" t="str">
        <f t="shared" ref="A36:A41" si="11">$A22</f>
        <v>RQF5 Foundation degree;Nursing;Teaching</v>
      </c>
      <c r="B36" s="17">
        <f>IF(C$3-B$3 &lt;&gt; 0,(EXP(LN(C8/B8)/(C$3-B$3))-1)*100,0)</f>
        <v>-0.11746939836054793</v>
      </c>
      <c r="C36" s="17">
        <f t="shared" ref="C36:E36" si="12">IF(D$3-C$3 &lt;&gt; 0,(EXP(LN(D8/C8)/(D$3-C$3))-1)*100,0)</f>
        <v>4.2529327630319802</v>
      </c>
      <c r="D36" s="17">
        <f t="shared" si="12"/>
        <v>6.2633297789260745E-2</v>
      </c>
      <c r="E36" s="17">
        <f t="shared" si="12"/>
        <v>1.0140979514159376</v>
      </c>
      <c r="F36" s="17">
        <f t="shared" si="10"/>
        <v>0.69594204910738977</v>
      </c>
    </row>
    <row r="37" spans="1:6" x14ac:dyDescent="0.3">
      <c r="A37" t="str">
        <f t="shared" si="11"/>
        <v>RQF4 HE below degree level</v>
      </c>
      <c r="B37" s="17">
        <f t="shared" ref="B37:E37" si="13">IF(C$3-B$3 &lt;&gt; 0,(EXP(LN(C9/B9)/(C$3-B$3))-1)*100,0)</f>
        <v>1.5561988978368024</v>
      </c>
      <c r="C37" s="17">
        <f t="shared" si="13"/>
        <v>5.0541485487961335</v>
      </c>
      <c r="D37" s="17">
        <f t="shared" si="13"/>
        <v>0.94911026734403325</v>
      </c>
      <c r="E37" s="17">
        <f t="shared" si="13"/>
        <v>1.3808100471864426</v>
      </c>
      <c r="F37" s="17">
        <f t="shared" si="10"/>
        <v>1.2367053844424936</v>
      </c>
    </row>
    <row r="38" spans="1:6" x14ac:dyDescent="0.3">
      <c r="A38" t="str">
        <f t="shared" si="11"/>
        <v>RQF3 A level &amp; equivalent</v>
      </c>
      <c r="B38" s="17">
        <f t="shared" ref="B38:E38" si="14">IF(C$3-B$3 &lt;&gt; 0,(EXP(LN(C10/B10)/(C$3-B$3))-1)*100,0)</f>
        <v>0.89079403420766479</v>
      </c>
      <c r="C38" s="17">
        <f t="shared" si="14"/>
        <v>-1.1235598851383588</v>
      </c>
      <c r="D38" s="17">
        <f t="shared" si="14"/>
        <v>-0.10509503934175157</v>
      </c>
      <c r="E38" s="17">
        <f t="shared" si="14"/>
        <v>-0.1331867100881623</v>
      </c>
      <c r="F38" s="17">
        <f t="shared" si="10"/>
        <v>-0.12382369769595725</v>
      </c>
    </row>
    <row r="39" spans="1:6" x14ac:dyDescent="0.3">
      <c r="A39" t="str">
        <f t="shared" si="11"/>
        <v>RQF2 GCSE(A-C) &amp; equivalent</v>
      </c>
      <c r="B39" s="17">
        <f t="shared" ref="B39:E39" si="15">IF(C$3-B$3 &lt;&gt; 0,(EXP(LN(C11/B11)/(C$3-B$3))-1)*100,0)</f>
        <v>-9.4260043420102413E-2</v>
      </c>
      <c r="C39" s="17">
        <f t="shared" si="15"/>
        <v>-6.1414771383694777</v>
      </c>
      <c r="D39" s="17">
        <f t="shared" si="15"/>
        <v>-0.91495343524842232</v>
      </c>
      <c r="E39" s="17">
        <f t="shared" si="15"/>
        <v>-1.8939580514220511</v>
      </c>
      <c r="F39" s="17">
        <f t="shared" si="10"/>
        <v>-1.5687027046387025</v>
      </c>
    </row>
    <row r="40" spans="1:6" x14ac:dyDescent="0.3">
      <c r="A40" t="str">
        <f t="shared" si="11"/>
        <v>RQF1 GCSE(below grade C) &amp; equivalent</v>
      </c>
      <c r="B40" s="17">
        <f t="shared" ref="B40:E40" si="16">IF(C$3-B$3 &lt;&gt; 0,(EXP(LN(C12/B12)/(C$3-B$3))-1)*100,0)</f>
        <v>-1.1095685970954783</v>
      </c>
      <c r="C40" s="17">
        <f t="shared" si="16"/>
        <v>-9.1134529851699675</v>
      </c>
      <c r="D40" s="17">
        <f t="shared" si="16"/>
        <v>-2.048296132480143</v>
      </c>
      <c r="E40" s="17">
        <f t="shared" si="16"/>
        <v>-4.0487819061580721</v>
      </c>
      <c r="F40" s="17">
        <f t="shared" si="10"/>
        <v>-3.3865346062339596</v>
      </c>
    </row>
    <row r="41" spans="1:6" x14ac:dyDescent="0.3">
      <c r="A41" t="str">
        <f t="shared" si="11"/>
        <v>No Qualification</v>
      </c>
      <c r="B41" s="17">
        <f t="shared" ref="B41:E41" si="17">IF(C$3-B$3 &lt;&gt; 0,(EXP(LN(C13/B13)/(C$3-B$3))-1)*100,0)</f>
        <v>-2.1833910102209253</v>
      </c>
      <c r="C41" s="17">
        <f t="shared" si="17"/>
        <v>-14.758228354497971</v>
      </c>
      <c r="D41" s="17">
        <f t="shared" si="17"/>
        <v>-3.5810522571728454</v>
      </c>
      <c r="E41" s="17">
        <f t="shared" si="17"/>
        <v>-2.5174227686021622</v>
      </c>
      <c r="F41" s="17">
        <f t="shared" si="10"/>
        <v>-2.8732632750427256</v>
      </c>
    </row>
    <row r="42" spans="1:6" x14ac:dyDescent="0.3">
      <c r="B42" s="17"/>
      <c r="C42" s="17"/>
      <c r="D42" s="17"/>
      <c r="E42" s="17"/>
      <c r="F42" s="17"/>
    </row>
    <row r="43" spans="1:6" x14ac:dyDescent="0.3">
      <c r="A43" t="str">
        <f>$A29</f>
        <v>All qualifications</v>
      </c>
      <c r="B43" s="17">
        <f>IF(C$3-B$3 &lt;&gt; 0,(EXP(LN(C15/B15)/(C$3-B$3))-1)*100,0)</f>
        <v>1.2459947050990072</v>
      </c>
      <c r="C43" s="17">
        <f t="shared" ref="C43" si="18">IF(D$3-C$3 &lt;&gt; 0,(EXP(LN(D15/C15)/(D$3-C$3))-1)*100,0)</f>
        <v>-1.1028869104618977</v>
      </c>
      <c r="D43" s="17">
        <f>IF(E$3-D$3 &lt;&gt; 0,(EXP(LN(E15/D15)/(E$3-D$3))-1)*100,0)</f>
        <v>0.59186970332354427</v>
      </c>
      <c r="E43" s="17">
        <f>IF(F$3-E$3 &lt;&gt; 0,(EXP(LN(F15/E15)/(F$3-E$3))-1)*100,0)</f>
        <v>0.42098726884285398</v>
      </c>
      <c r="F43" s="17">
        <f t="shared" si="10"/>
        <v>0.47791580152365398</v>
      </c>
    </row>
    <row r="44" spans="1:6" x14ac:dyDescent="0.3">
      <c r="B44" s="17"/>
      <c r="C44" s="17"/>
      <c r="D44" s="17"/>
      <c r="E44" s="17"/>
      <c r="F44" s="17"/>
    </row>
    <row r="46" spans="1:6" x14ac:dyDescent="0.3">
      <c r="A46" s="1" t="s">
        <v>15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3">
      <c r="A47" t="str">
        <f>$A33</f>
        <v>RQF8 Doctorate</v>
      </c>
      <c r="B47" s="26">
        <f>C5-B5</f>
        <v>132.36100191500839</v>
      </c>
      <c r="C47" s="26">
        <f>D5-C5</f>
        <v>23.193865178589817</v>
      </c>
      <c r="D47" s="26">
        <f>E5-D5</f>
        <v>166.12871938472267</v>
      </c>
      <c r="E47" s="26">
        <f>F5-E5</f>
        <v>299.6977659280883</v>
      </c>
      <c r="F47" s="26">
        <f>F5-D5</f>
        <v>465.82648531281097</v>
      </c>
    </row>
    <row r="48" spans="1:6" x14ac:dyDescent="0.3">
      <c r="A48" t="str">
        <f t="shared" ref="A48:A55" si="19">$A34</f>
        <v>RQF7 Other higher degree</v>
      </c>
      <c r="B48" s="26">
        <f t="shared" ref="B48:E48" si="20">C6-B6</f>
        <v>981.4760970325151</v>
      </c>
      <c r="C48" s="26">
        <f t="shared" si="20"/>
        <v>199.0464094912968</v>
      </c>
      <c r="D48" s="26">
        <f t="shared" si="20"/>
        <v>1175.7551566063121</v>
      </c>
      <c r="E48" s="26">
        <f t="shared" si="20"/>
        <v>2175.1346027948284</v>
      </c>
      <c r="F48" s="26">
        <f t="shared" ref="F48:F57" si="21">F6-D6</f>
        <v>3350.8897594011405</v>
      </c>
    </row>
    <row r="49" spans="1:6" x14ac:dyDescent="0.3">
      <c r="A49" t="str">
        <f t="shared" si="19"/>
        <v>RQF6 First degree</v>
      </c>
      <c r="B49" s="26">
        <f t="shared" ref="B49:E49" si="22">C7-B7</f>
        <v>626.75924447851594</v>
      </c>
      <c r="C49" s="26">
        <f t="shared" si="22"/>
        <v>331.94557300514862</v>
      </c>
      <c r="D49" s="26">
        <f t="shared" si="22"/>
        <v>540.11894134505565</v>
      </c>
      <c r="E49" s="26">
        <f t="shared" si="22"/>
        <v>1129.8411837905996</v>
      </c>
      <c r="F49" s="26">
        <f t="shared" si="21"/>
        <v>1669.9601251356553</v>
      </c>
    </row>
    <row r="50" spans="1:6" x14ac:dyDescent="0.3">
      <c r="A50" t="str">
        <f t="shared" si="19"/>
        <v>RQF5 Foundation degree;Nursing;Teaching</v>
      </c>
      <c r="B50" s="26">
        <f t="shared" ref="B50:E50" si="23">C8-B8</f>
        <v>-9.2874189237093105</v>
      </c>
      <c r="C50" s="26">
        <f t="shared" si="23"/>
        <v>83.815103191891239</v>
      </c>
      <c r="D50" s="26">
        <f t="shared" si="23"/>
        <v>6.4423061208958643</v>
      </c>
      <c r="E50" s="26">
        <f t="shared" si="23"/>
        <v>218.80785776288576</v>
      </c>
      <c r="F50" s="26">
        <f t="shared" si="21"/>
        <v>225.25016388378162</v>
      </c>
    </row>
    <row r="51" spans="1:6" x14ac:dyDescent="0.3">
      <c r="A51" t="str">
        <f t="shared" si="19"/>
        <v>RQF4 HE below degree level</v>
      </c>
      <c r="B51" s="26">
        <f t="shared" ref="B51:E51" si="24">C9-B9</f>
        <v>117.37738814879845</v>
      </c>
      <c r="C51" s="26">
        <f t="shared" si="24"/>
        <v>99.039563791524643</v>
      </c>
      <c r="D51" s="26">
        <f t="shared" si="24"/>
        <v>99.564460228612916</v>
      </c>
      <c r="E51" s="26">
        <f t="shared" si="24"/>
        <v>317.21820467392172</v>
      </c>
      <c r="F51" s="26">
        <f t="shared" si="21"/>
        <v>416.78266490253463</v>
      </c>
    </row>
    <row r="52" spans="1:6" x14ac:dyDescent="0.3">
      <c r="A52" t="str">
        <f t="shared" si="19"/>
        <v>RQF3 A level &amp; equivalent</v>
      </c>
      <c r="B52" s="26">
        <f t="shared" ref="B52:E52" si="25">C10-B10</f>
        <v>237.68421880822098</v>
      </c>
      <c r="C52" s="26">
        <f t="shared" si="25"/>
        <v>-76.624346445950323</v>
      </c>
      <c r="D52" s="26">
        <f t="shared" si="25"/>
        <v>-35.359226652651159</v>
      </c>
      <c r="E52" s="26">
        <f t="shared" si="25"/>
        <v>-88.80542714002695</v>
      </c>
      <c r="F52" s="26">
        <f t="shared" si="21"/>
        <v>-124.16465379267811</v>
      </c>
    </row>
    <row r="53" spans="1:6" x14ac:dyDescent="0.3">
      <c r="A53" t="str">
        <f t="shared" si="19"/>
        <v>RQF2 GCSE(A-C) &amp; equivalent</v>
      </c>
      <c r="B53" s="26">
        <f t="shared" ref="B53:E53" si="26">C11-B11</f>
        <v>-25.161170118175505</v>
      </c>
      <c r="C53" s="26">
        <f>D11-C11</f>
        <v>-408.87627118157707</v>
      </c>
      <c r="D53" s="26">
        <f t="shared" si="26"/>
        <v>-280.68209290340565</v>
      </c>
      <c r="E53" s="26">
        <f t="shared" si="26"/>
        <v>-1038.698298047666</v>
      </c>
      <c r="F53" s="26">
        <f t="shared" si="21"/>
        <v>-1319.3803909510716</v>
      </c>
    </row>
    <row r="54" spans="1:6" x14ac:dyDescent="0.3">
      <c r="A54" t="str">
        <f t="shared" si="19"/>
        <v>RQF1 GCSE(below grade C) &amp; equivalent</v>
      </c>
      <c r="B54" s="26">
        <f t="shared" ref="B54:E54" si="27">C12-B12</f>
        <v>-197.32734359786627</v>
      </c>
      <c r="C54" s="26">
        <f t="shared" si="27"/>
        <v>-394.0106547139012</v>
      </c>
      <c r="D54" s="26">
        <f t="shared" si="27"/>
        <v>-386.27566333606728</v>
      </c>
      <c r="E54" s="26">
        <f t="shared" si="27"/>
        <v>-1199.477105459217</v>
      </c>
      <c r="F54" s="26">
        <f t="shared" si="21"/>
        <v>-1585.7527687952843</v>
      </c>
    </row>
    <row r="55" spans="1:6" x14ac:dyDescent="0.3">
      <c r="A55" t="str">
        <f t="shared" si="19"/>
        <v>No Qualification</v>
      </c>
      <c r="B55" s="26">
        <f t="shared" ref="B55:E55" si="28">C13-B13</f>
        <v>-154.86301774320623</v>
      </c>
      <c r="C55" s="26">
        <f t="shared" si="28"/>
        <v>-247.56524231734716</v>
      </c>
      <c r="D55" s="26">
        <f t="shared" si="28"/>
        <v>-238.33660079346555</v>
      </c>
      <c r="E55" s="26">
        <f t="shared" si="28"/>
        <v>-268.17078430322886</v>
      </c>
      <c r="F55" s="26">
        <f t="shared" si="21"/>
        <v>-506.50738509669441</v>
      </c>
    </row>
    <row r="56" spans="1:6" x14ac:dyDescent="0.3">
      <c r="B56" s="20"/>
      <c r="C56" s="26"/>
      <c r="D56" s="20"/>
      <c r="E56" s="20"/>
      <c r="F56" s="26"/>
    </row>
    <row r="57" spans="1:6" x14ac:dyDescent="0.3">
      <c r="A57" s="23" t="str">
        <f>$A43</f>
        <v>All qualifications</v>
      </c>
      <c r="B57" s="28">
        <f>C15-B15</f>
        <v>1709.0190000001094</v>
      </c>
      <c r="C57" s="28">
        <f t="shared" ref="C57" si="29">D15-C15</f>
        <v>-390.03600000032748</v>
      </c>
      <c r="D57" s="28">
        <f>E15-D15</f>
        <v>1047.356000000007</v>
      </c>
      <c r="E57" s="28">
        <f>F15-E15</f>
        <v>1545.5480000001844</v>
      </c>
      <c r="F57" s="28">
        <f t="shared" si="21"/>
        <v>2592.9040000001914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BP52"/>
  <sheetViews>
    <sheetView zoomScale="75" zoomScaleNormal="75" workbookViewId="0"/>
  </sheetViews>
  <sheetFormatPr defaultRowHeight="12.45" x14ac:dyDescent="0.3"/>
  <cols>
    <col min="1" max="1" width="17" style="80" customWidth="1"/>
    <col min="2" max="8" width="9.15234375" style="80"/>
    <col min="9" max="9" width="31.84375" style="80" customWidth="1"/>
    <col min="10" max="10" width="11.3046875" style="80" customWidth="1"/>
    <col min="11" max="11" width="6.15234375" style="80" customWidth="1"/>
    <col min="12" max="12" width="27.15234375" customWidth="1"/>
    <col min="13" max="33" width="6.3828125" bestFit="1" customWidth="1"/>
    <col min="34" max="37" width="6.3828125" customWidth="1"/>
    <col min="38" max="38" width="7.15234375" customWidth="1"/>
    <col min="39" max="68" width="6.3046875" customWidth="1"/>
  </cols>
  <sheetData>
    <row r="1" spans="1:68" ht="15.45" x14ac:dyDescent="0.4">
      <c r="A1" s="79" t="str">
        <f>CONCATENATE("Qualification Figure 1  Employment by Qualification, ",$M$2,"-",$O$2,", ",Info!B5)</f>
        <v>Qualification Figure 1  Employment by Qualification, 2010-2035, United Kingdom</v>
      </c>
      <c r="H1"/>
      <c r="L1" s="45"/>
    </row>
    <row r="2" spans="1:68" x14ac:dyDescent="0.3">
      <c r="A2" s="1" t="s">
        <v>537</v>
      </c>
      <c r="L2" s="15" t="s">
        <v>28</v>
      </c>
      <c r="M2" s="15">
        <f>M4</f>
        <v>2010</v>
      </c>
      <c r="N2" s="46" t="s">
        <v>27</v>
      </c>
      <c r="O2" s="47">
        <f>MAX(M4:BP4)</f>
        <v>2035</v>
      </c>
    </row>
    <row r="3" spans="1:68" x14ac:dyDescent="0.3">
      <c r="L3" s="15"/>
      <c r="M3" s="15"/>
      <c r="N3" s="46"/>
      <c r="O3" s="15"/>
    </row>
    <row r="4" spans="1:68" x14ac:dyDescent="0.3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</row>
    <row r="5" spans="1:68" x14ac:dyDescent="0.3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 x14ac:dyDescent="0.3">
      <c r="L6" s="232" t="str">
        <f>name!F12</f>
        <v>No Qualification</v>
      </c>
      <c r="M6" s="11">
        <v>2103.6837518956218</v>
      </c>
      <c r="N6" s="11">
        <v>2071.1862802496862</v>
      </c>
      <c r="O6" s="11">
        <v>1915.9114429994891</v>
      </c>
      <c r="P6" s="11">
        <v>1900.8972321733556</v>
      </c>
      <c r="Q6" s="11">
        <v>1791.0041030532768</v>
      </c>
      <c r="R6" s="11">
        <v>1832.3356545038037</v>
      </c>
      <c r="S6" s="11">
        <v>1705.4315901554571</v>
      </c>
      <c r="T6" s="11">
        <v>1688.5565705989131</v>
      </c>
      <c r="U6" s="11">
        <v>1686.7153537388263</v>
      </c>
      <c r="V6" s="11">
        <v>1677.4726367605974</v>
      </c>
      <c r="W6" s="11">
        <v>1429.9073944432503</v>
      </c>
      <c r="X6" s="11">
        <v>1457.5230279686018</v>
      </c>
      <c r="Y6" s="11">
        <v>1371.2180949748763</v>
      </c>
      <c r="Z6" s="11">
        <v>1292.8473144593104</v>
      </c>
      <c r="AA6" s="11">
        <v>1216.2197883767328</v>
      </c>
      <c r="AB6" s="11">
        <v>1191.5707936497847</v>
      </c>
      <c r="AC6" s="11">
        <v>1161.6911613721302</v>
      </c>
      <c r="AD6" s="11">
        <v>1131.2615825294542</v>
      </c>
      <c r="AE6" s="11">
        <v>1100.7687138204756</v>
      </c>
      <c r="AF6" s="11">
        <v>1070.1778580755306</v>
      </c>
      <c r="AG6" s="11">
        <v>1039.8714767289312</v>
      </c>
      <c r="AH6" s="11">
        <v>1009.3329859891269</v>
      </c>
      <c r="AI6" s="11">
        <v>978.65204848733333</v>
      </c>
      <c r="AJ6" s="11">
        <v>947.84278627830429</v>
      </c>
      <c r="AK6" s="11">
        <v>919.06224522098955</v>
      </c>
      <c r="AL6" s="11">
        <v>923.40000934655586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 x14ac:dyDescent="0.3">
      <c r="L7" s="232" t="str">
        <f>name!F11</f>
        <v>RQF1 GCSE(below grade C) &amp; equivalent</v>
      </c>
      <c r="M7" s="11">
        <v>4928.7680510806367</v>
      </c>
      <c r="N7" s="11">
        <v>4766.2850696137557</v>
      </c>
      <c r="O7" s="11">
        <v>4583.2916611180672</v>
      </c>
      <c r="P7" s="11">
        <v>4462.8108982621434</v>
      </c>
      <c r="Q7" s="11">
        <v>4585.18967978409</v>
      </c>
      <c r="R7" s="11">
        <v>4520.7232655943089</v>
      </c>
      <c r="S7" s="11">
        <v>4452.4536814882977</v>
      </c>
      <c r="T7" s="11">
        <v>4445.537832652627</v>
      </c>
      <c r="U7" s="11">
        <v>4485.0559435711166</v>
      </c>
      <c r="V7" s="11">
        <v>4323.3959219964427</v>
      </c>
      <c r="W7" s="11">
        <v>3929.3852672825415</v>
      </c>
      <c r="X7" s="11">
        <v>3889.4408926005308</v>
      </c>
      <c r="Y7" s="11">
        <v>3854.0881812794178</v>
      </c>
      <c r="Z7" s="11">
        <v>3731.3889397707726</v>
      </c>
      <c r="AA7" s="11">
        <v>3668.9877659314388</v>
      </c>
      <c r="AB7" s="11">
        <v>3543.1096039464742</v>
      </c>
      <c r="AC7" s="11">
        <v>3427.5527211062163</v>
      </c>
      <c r="AD7" s="11">
        <v>3309.8078582239996</v>
      </c>
      <c r="AE7" s="11">
        <v>3191.3664315487804</v>
      </c>
      <c r="AF7" s="11">
        <v>3072.1690322449399</v>
      </c>
      <c r="AG7" s="11">
        <v>2953.3857545502437</v>
      </c>
      <c r="AH7" s="11">
        <v>2833.5828891190272</v>
      </c>
      <c r="AI7" s="11">
        <v>2713.0802184235249</v>
      </c>
      <c r="AJ7" s="11">
        <v>2591.9401667846023</v>
      </c>
      <c r="AK7" s="11">
        <v>2469.7289015793635</v>
      </c>
      <c r="AL7" s="11">
        <v>2343.6324984872572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 x14ac:dyDescent="0.3">
      <c r="L8" s="232" t="str">
        <f>name!F10</f>
        <v>RQF2 GCSE(A-C) &amp; equivalent</v>
      </c>
      <c r="M8" s="11">
        <v>6613.8346016393843</v>
      </c>
      <c r="N8" s="11">
        <v>6726.2624982631969</v>
      </c>
      <c r="O8" s="11">
        <v>6680.291462567925</v>
      </c>
      <c r="P8" s="11">
        <v>6589.5306400942145</v>
      </c>
      <c r="Q8" s="11">
        <v>6669.304263970439</v>
      </c>
      <c r="R8" s="11">
        <v>6682.7821620955383</v>
      </c>
      <c r="S8" s="11">
        <v>6719.6599449387732</v>
      </c>
      <c r="T8" s="11">
        <v>6746.043370741354</v>
      </c>
      <c r="U8" s="11">
        <v>6735.6540516432842</v>
      </c>
      <c r="V8" s="11">
        <v>6657.6209919773628</v>
      </c>
      <c r="W8" s="11">
        <v>6248.7447207957857</v>
      </c>
      <c r="X8" s="11">
        <v>6237.6806995310035</v>
      </c>
      <c r="Y8" s="11">
        <v>6202.4730828383708</v>
      </c>
      <c r="Z8" s="11">
        <v>6137.3571522593202</v>
      </c>
      <c r="AA8" s="11">
        <v>6084.4817150793397</v>
      </c>
      <c r="AB8" s="11">
        <v>5968.0626278923801</v>
      </c>
      <c r="AC8" s="11">
        <v>5867.9557687256038</v>
      </c>
      <c r="AD8" s="11">
        <v>5764.9877682061688</v>
      </c>
      <c r="AE8" s="11">
        <v>5661.563549026685</v>
      </c>
      <c r="AF8" s="11">
        <v>5557.6346901874176</v>
      </c>
      <c r="AG8" s="11">
        <v>5455.2734920415751</v>
      </c>
      <c r="AH8" s="11">
        <v>5351.9995034694884</v>
      </c>
      <c r="AI8" s="11">
        <v>5248.386645805318</v>
      </c>
      <c r="AJ8" s="11">
        <v>5144.6312638299696</v>
      </c>
      <c r="AK8" s="11">
        <v>5039.9388139149241</v>
      </c>
      <c r="AL8" s="11">
        <v>4929.3643298447141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 x14ac:dyDescent="0.3">
      <c r="L9" s="232" t="str">
        <f>name!F9</f>
        <v>RQF3 A level &amp; equivalent</v>
      </c>
      <c r="M9" s="11">
        <v>6165.9859301777606</v>
      </c>
      <c r="N9" s="11">
        <v>6108.4635604433943</v>
      </c>
      <c r="O9" s="11">
        <v>6350.9099979709063</v>
      </c>
      <c r="P9" s="11">
        <v>6236.2062930284537</v>
      </c>
      <c r="Q9" s="11">
        <v>6593.0717069827751</v>
      </c>
      <c r="R9" s="11">
        <v>6582.0988171903118</v>
      </c>
      <c r="S9" s="11">
        <v>6699.8830819243994</v>
      </c>
      <c r="T9" s="11">
        <v>6755.3983010253187</v>
      </c>
      <c r="U9" s="11">
        <v>6747.1225262441421</v>
      </c>
      <c r="V9" s="11">
        <v>6819.7830359985328</v>
      </c>
      <c r="W9" s="11">
        <v>6743.1586895525825</v>
      </c>
      <c r="X9" s="11">
        <v>6514.7379559261772</v>
      </c>
      <c r="Y9" s="11">
        <v>6663.8117980376819</v>
      </c>
      <c r="Z9" s="11">
        <v>6680.5025072738472</v>
      </c>
      <c r="AA9" s="11">
        <v>6694.5575984433062</v>
      </c>
      <c r="AB9" s="11">
        <v>6707.7994628999313</v>
      </c>
      <c r="AC9" s="11">
        <v>6698.9928388378448</v>
      </c>
      <c r="AD9" s="11">
        <v>6687.8353590238412</v>
      </c>
      <c r="AE9" s="11">
        <v>6677.0019552694275</v>
      </c>
      <c r="AF9" s="11">
        <v>6666.4626172890248</v>
      </c>
      <c r="AG9" s="11">
        <v>6658.7291983017158</v>
      </c>
      <c r="AH9" s="11">
        <v>6650.9016292442529</v>
      </c>
      <c r="AI9" s="11">
        <v>6643.6814836124704</v>
      </c>
      <c r="AJ9" s="11">
        <v>6637.3648518487262</v>
      </c>
      <c r="AK9" s="11">
        <v>6631.02553886645</v>
      </c>
      <c r="AL9" s="11">
        <v>6618.9940357599044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68" x14ac:dyDescent="0.3">
      <c r="L10" s="232" t="str">
        <f>name!F8</f>
        <v>RQF4 HE below degree level</v>
      </c>
      <c r="M10" s="11">
        <v>1594.6116303428414</v>
      </c>
      <c r="N10" s="11">
        <v>1623.009071376682</v>
      </c>
      <c r="O10" s="11">
        <v>1717.8242232777716</v>
      </c>
      <c r="P10" s="11">
        <v>1765.1830419222429</v>
      </c>
      <c r="Q10" s="11">
        <v>1838.9695908996514</v>
      </c>
      <c r="R10" s="11">
        <v>1842.1923165270805</v>
      </c>
      <c r="S10" s="11">
        <v>1887.0043396802898</v>
      </c>
      <c r="T10" s="11">
        <v>1895.5731513094663</v>
      </c>
      <c r="U10" s="11">
        <v>1882.4326718072527</v>
      </c>
      <c r="V10" s="11">
        <v>1959.5697046758789</v>
      </c>
      <c r="W10" s="11">
        <v>2058.6092684674036</v>
      </c>
      <c r="X10" s="11">
        <v>2102.2993167319464</v>
      </c>
      <c r="Y10" s="11">
        <v>2060.7862135934438</v>
      </c>
      <c r="Z10" s="11">
        <v>2097.5395392828827</v>
      </c>
      <c r="AA10" s="11">
        <v>2122.6733165539922</v>
      </c>
      <c r="AB10" s="11">
        <v>2158.1737286960165</v>
      </c>
      <c r="AC10" s="11">
        <v>2187.1440808774951</v>
      </c>
      <c r="AD10" s="11">
        <v>2216.3193873504638</v>
      </c>
      <c r="AE10" s="11">
        <v>2246.0814444583002</v>
      </c>
      <c r="AF10" s="11">
        <v>2276.1885096591427</v>
      </c>
      <c r="AG10" s="11">
        <v>2308.2423320067446</v>
      </c>
      <c r="AH10">
        <v>2340.6444635099965</v>
      </c>
      <c r="AI10">
        <v>2373.8016077990951</v>
      </c>
      <c r="AJ10">
        <v>2408.1277592859688</v>
      </c>
      <c r="AK10">
        <v>2443.2319834241375</v>
      </c>
      <c r="AL10" s="11">
        <v>2475.3919333699382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 x14ac:dyDescent="0.3">
      <c r="L11" s="232" t="str">
        <f>name!F7</f>
        <v>RQF5 Foundation degree;Nursing;Teaching</v>
      </c>
      <c r="M11" s="11">
        <v>1917.0921673483965</v>
      </c>
      <c r="N11" s="11">
        <v>1901.137489202129</v>
      </c>
      <c r="O11" s="11">
        <v>1942.7096600690802</v>
      </c>
      <c r="P11" s="11">
        <v>1977.210457237647</v>
      </c>
      <c r="Q11" s="11">
        <v>2016.4529727009203</v>
      </c>
      <c r="R11" s="11">
        <v>1980.0475475681642</v>
      </c>
      <c r="S11" s="11">
        <v>1981.3778683622554</v>
      </c>
      <c r="T11" s="11">
        <v>1960.8938985485595</v>
      </c>
      <c r="U11" s="11">
        <v>1926.060898479524</v>
      </c>
      <c r="V11" s="11">
        <v>1970.7601286444549</v>
      </c>
      <c r="W11" s="11">
        <v>2054.5752318363461</v>
      </c>
      <c r="X11" s="11">
        <v>2054.395095324041</v>
      </c>
      <c r="Y11" s="11">
        <v>2008.5883110560105</v>
      </c>
      <c r="Z11" s="11">
        <v>2029.8678724093522</v>
      </c>
      <c r="AA11" s="11">
        <v>2036.9750314326466</v>
      </c>
      <c r="AB11" s="11">
        <v>2061.017537957242</v>
      </c>
      <c r="AC11" s="11">
        <v>2076.4612386666035</v>
      </c>
      <c r="AD11" s="11">
        <v>2092.8572965975504</v>
      </c>
      <c r="AE11" s="11">
        <v>2110.7507971113582</v>
      </c>
      <c r="AF11" s="11">
        <v>2131.3296321482326</v>
      </c>
      <c r="AG11" s="11">
        <v>2153.445477137851</v>
      </c>
      <c r="AH11">
        <v>2176.7398415896714</v>
      </c>
      <c r="AI11">
        <v>2201.451496980766</v>
      </c>
      <c r="AJ11">
        <v>2227.0647728374624</v>
      </c>
      <c r="AK11">
        <v>2253.4463277455675</v>
      </c>
      <c r="AL11" s="11">
        <v>2279.8253957201277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 x14ac:dyDescent="0.3">
      <c r="L12" s="232" t="str">
        <f>name!F6</f>
        <v>RQF6 First degree</v>
      </c>
      <c r="M12" s="11">
        <v>5170.144042622298</v>
      </c>
      <c r="N12" s="11">
        <v>5429.1495711498992</v>
      </c>
      <c r="O12" s="11">
        <v>5838.2633607183125</v>
      </c>
      <c r="P12" s="11">
        <v>6141.4224524430938</v>
      </c>
      <c r="Q12" s="11">
        <v>6531.0918060984905</v>
      </c>
      <c r="R12" s="11">
        <v>6603.7554747345093</v>
      </c>
      <c r="S12" s="11">
        <v>6725.3392274878925</v>
      </c>
      <c r="T12" s="11">
        <v>6872.0012069495151</v>
      </c>
      <c r="U12" s="11">
        <v>6923.6433317831697</v>
      </c>
      <c r="V12" s="11">
        <v>7230.5147192130253</v>
      </c>
      <c r="W12" s="11">
        <v>7562.4602922181739</v>
      </c>
      <c r="X12" s="11">
        <v>7772.2678472896368</v>
      </c>
      <c r="Y12" s="11">
        <v>7695.9574449416705</v>
      </c>
      <c r="Z12" s="11">
        <v>7848.5693778454624</v>
      </c>
      <c r="AA12" s="11">
        <v>7944.6437725065261</v>
      </c>
      <c r="AB12" s="11">
        <v>8102.5792335632295</v>
      </c>
      <c r="AC12" s="11">
        <v>8220.0299123731256</v>
      </c>
      <c r="AD12" s="11">
        <v>8332.9763138828112</v>
      </c>
      <c r="AE12" s="11">
        <v>8445.1172712319112</v>
      </c>
      <c r="AF12" s="11">
        <v>8555.7224569778282</v>
      </c>
      <c r="AG12" s="11">
        <v>8669.2363745521125</v>
      </c>
      <c r="AH12">
        <v>8782.2605316315912</v>
      </c>
      <c r="AI12">
        <v>8895.5828037953943</v>
      </c>
      <c r="AJ12">
        <v>9009.9768350613649</v>
      </c>
      <c r="AK12">
        <v>9124.2974066100251</v>
      </c>
      <c r="AL12">
        <v>9232.4204173538292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 x14ac:dyDescent="0.3">
      <c r="L13" s="232" t="str">
        <f>name!F5</f>
        <v>RQF7 Other higher degree</v>
      </c>
      <c r="M13" s="11">
        <v>2419.4113262086439</v>
      </c>
      <c r="N13" s="11">
        <v>2330.410567913746</v>
      </c>
      <c r="O13" s="11">
        <v>2423.6843003909685</v>
      </c>
      <c r="P13" s="11">
        <v>2533.2318689410222</v>
      </c>
      <c r="Q13" s="11">
        <v>2766.3991283529185</v>
      </c>
      <c r="R13" s="11">
        <v>3156.2390605195696</v>
      </c>
      <c r="S13" s="11">
        <v>3653.050079931385</v>
      </c>
      <c r="T13" s="11">
        <v>3755.0392415072592</v>
      </c>
      <c r="U13" s="11">
        <v>3858.1048884201832</v>
      </c>
      <c r="V13" s="11">
        <v>4137.7151575520847</v>
      </c>
      <c r="W13" s="11">
        <v>4336.7615670433815</v>
      </c>
      <c r="X13" s="11">
        <v>4476.2295124939828</v>
      </c>
      <c r="Y13" s="11">
        <v>4785.881943732189</v>
      </c>
      <c r="Z13" s="11">
        <v>5033.6536473661672</v>
      </c>
      <c r="AA13" s="11">
        <v>5314.8397683290805</v>
      </c>
      <c r="AB13" s="11">
        <v>5512.5167236496936</v>
      </c>
      <c r="AC13" s="11">
        <v>5736.0943871374884</v>
      </c>
      <c r="AD13" s="11">
        <v>5956.7316929985036</v>
      </c>
      <c r="AE13" s="11">
        <v>6176.3025736082982</v>
      </c>
      <c r="AF13" s="11">
        <v>6394.8637775941525</v>
      </c>
      <c r="AG13" s="11">
        <v>6614.5889853700592</v>
      </c>
      <c r="AH13">
        <v>6832.752588488278</v>
      </c>
      <c r="AI13">
        <v>7049.8723228251974</v>
      </c>
      <c r="AJ13">
        <v>7266.1746286893731</v>
      </c>
      <c r="AK13">
        <v>7480.4046800502329</v>
      </c>
      <c r="AL13">
        <v>7687.6513264445221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 x14ac:dyDescent="0.3">
      <c r="L14" s="232" t="str">
        <f>name!F4</f>
        <v>RQF8 Doctorate</v>
      </c>
      <c r="M14" s="11">
        <v>347.48549868425772</v>
      </c>
      <c r="N14" s="11">
        <v>338.12089178763267</v>
      </c>
      <c r="O14" s="11">
        <v>348.08189088729944</v>
      </c>
      <c r="P14" s="11">
        <v>365.46711589730052</v>
      </c>
      <c r="Q14" s="11">
        <v>400.50074815741237</v>
      </c>
      <c r="R14" s="11">
        <v>455.81070126678173</v>
      </c>
      <c r="S14" s="11">
        <v>519.7511860308332</v>
      </c>
      <c r="T14" s="11">
        <v>534.95942666711653</v>
      </c>
      <c r="U14" s="11">
        <v>550.21833431249411</v>
      </c>
      <c r="V14" s="11">
        <v>588.17170318179012</v>
      </c>
      <c r="W14" s="11">
        <v>611.36556836037994</v>
      </c>
      <c r="X14" s="11">
        <v>635.06365213426113</v>
      </c>
      <c r="Y14" s="11">
        <v>677.51892954629079</v>
      </c>
      <c r="Z14" s="11">
        <v>712.22864933270171</v>
      </c>
      <c r="AA14" s="11">
        <v>749.85224334696136</v>
      </c>
      <c r="AB14" s="11">
        <v>777.49428774510261</v>
      </c>
      <c r="AC14" s="11">
        <v>808.45789090393987</v>
      </c>
      <c r="AD14" s="11">
        <v>839.02774118755133</v>
      </c>
      <c r="AE14" s="11">
        <v>869.42226392444877</v>
      </c>
      <c r="AF14" s="11">
        <v>899.52342582367623</v>
      </c>
      <c r="AG14" s="11">
        <v>929.77290931071832</v>
      </c>
      <c r="AH14">
        <v>959.75356695889218</v>
      </c>
      <c r="AI14">
        <v>989.57937227066236</v>
      </c>
      <c r="AJ14">
        <v>1019.1379353840247</v>
      </c>
      <c r="AK14">
        <v>1048.6131025882194</v>
      </c>
      <c r="AL14">
        <v>1077.1920536731909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68" x14ac:dyDescent="0.3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3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13:68" x14ac:dyDescent="0.3">
      <c r="M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13:68" x14ac:dyDescent="0.3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13:68" x14ac:dyDescent="0.3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13:68" x14ac:dyDescent="0.3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13:68" x14ac:dyDescent="0.3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13:68" x14ac:dyDescent="0.3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13:68" x14ac:dyDescent="0.3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13:68" x14ac:dyDescent="0.3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13:68" x14ac:dyDescent="0.3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13:68" x14ac:dyDescent="0.3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13:68" x14ac:dyDescent="0.3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13:68" x14ac:dyDescent="0.3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13:68" x14ac:dyDescent="0.3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13:68" x14ac:dyDescent="0.3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13:68" x14ac:dyDescent="0.3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3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3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3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3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3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3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3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3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3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3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3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3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4">
      <c r="A48" s="79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45" x14ac:dyDescent="0.4">
      <c r="A51" s="79" t="str">
        <f>CONCATENATE("Qualification Figure 1.1  Employment by Qualification, ",$M$2,"-",$O$2," ",Info!B5)</f>
        <v>Qualification Figure 1.1  Employment by Qualification, 2010-2035 United Kingdom</v>
      </c>
    </row>
    <row r="52" spans="1:1" x14ac:dyDescent="0.3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5234375" defaultRowHeight="12.45" x14ac:dyDescent="0.3"/>
  <cols>
    <col min="1" max="1" width="57.84375" style="90" customWidth="1"/>
    <col min="2" max="6" width="11.69140625" style="90" customWidth="1"/>
    <col min="7" max="7" width="5.69140625" style="90" customWidth="1"/>
    <col min="8" max="12" width="11.69140625" style="90" customWidth="1"/>
    <col min="13" max="16384" width="9.15234375" style="90"/>
  </cols>
  <sheetData>
    <row r="1" spans="1:12" ht="15.45" x14ac:dyDescent="0.4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3">
      <c r="F3" s="116"/>
      <c r="L3" s="116" t="s">
        <v>19</v>
      </c>
    </row>
    <row r="4" spans="1:12" x14ac:dyDescent="0.3">
      <c r="A4" s="95"/>
      <c r="B4" s="117" t="s">
        <v>17</v>
      </c>
      <c r="C4" s="95"/>
      <c r="D4" s="95"/>
      <c r="E4" s="95"/>
      <c r="F4" s="118"/>
      <c r="H4" s="117" t="s">
        <v>18</v>
      </c>
      <c r="I4" s="95"/>
      <c r="J4" s="95"/>
      <c r="K4" s="95"/>
      <c r="L4" s="95"/>
    </row>
    <row r="5" spans="1:12" x14ac:dyDescent="0.3">
      <c r="A5" s="91"/>
      <c r="B5" s="119">
        <v>2008</v>
      </c>
      <c r="C5" s="119">
        <v>2010</v>
      </c>
      <c r="D5" s="119">
        <v>2012</v>
      </c>
      <c r="E5" s="119">
        <v>2015</v>
      </c>
      <c r="F5" s="119">
        <v>2020</v>
      </c>
      <c r="H5" s="120" t="str">
        <f>CONCATENATE(B$5,"-",C$5)</f>
        <v>2008-2010</v>
      </c>
      <c r="I5" s="120" t="str">
        <f>CONCATENATE(B$5,"-",D$5)</f>
        <v>2008-2012</v>
      </c>
      <c r="J5" s="120" t="str">
        <f>CONCATENATE(D$5,"-",E$5)</f>
        <v>2012-2015</v>
      </c>
      <c r="K5" s="120" t="str">
        <f>CONCATENATE(E$5,"-",F$5)</f>
        <v>2015-2020</v>
      </c>
      <c r="L5" s="120" t="str">
        <f>CONCATENATE(D$5,"-",F$5)</f>
        <v>2012-2020</v>
      </c>
    </row>
    <row r="7" spans="1:12" s="121" customFormat="1" ht="12.9" x14ac:dyDescent="0.35">
      <c r="A7" s="121" t="str">
        <f>name!F4</f>
        <v>RQF8 Doctorate</v>
      </c>
      <c r="B7" s="122">
        <v>71325.851049592791</v>
      </c>
      <c r="C7" s="122">
        <v>67875.205285452204</v>
      </c>
      <c r="D7" s="122">
        <v>65953.088065984106</v>
      </c>
      <c r="E7" s="122">
        <v>63161.5699830265</v>
      </c>
      <c r="F7" s="122">
        <v>59517.030027737295</v>
      </c>
      <c r="H7" s="122">
        <f>C7-B7</f>
        <v>-3450.6457641405868</v>
      </c>
      <c r="I7" s="122">
        <f>D7-B7</f>
        <v>-5372.7629836086853</v>
      </c>
      <c r="J7" s="122">
        <f>E7-D7</f>
        <v>-2791.5180829576057</v>
      </c>
      <c r="K7" s="122">
        <f>F7-E7</f>
        <v>-3644.539955289205</v>
      </c>
      <c r="L7" s="122">
        <f>F7-D7</f>
        <v>-6436.0580382468106</v>
      </c>
    </row>
    <row r="8" spans="1:12" x14ac:dyDescent="0.3">
      <c r="A8" s="90" t="str">
        <f>name!J4</f>
        <v>SE</v>
      </c>
      <c r="B8" s="93">
        <v>21828.171692536111</v>
      </c>
      <c r="C8" s="93">
        <v>20792.172573048945</v>
      </c>
      <c r="D8" s="93">
        <v>20234.216118009812</v>
      </c>
      <c r="E8" s="93">
        <v>19430.497541178578</v>
      </c>
      <c r="F8" s="93">
        <v>18413.968008235337</v>
      </c>
      <c r="H8" s="93">
        <f>C8-B8</f>
        <v>-1035.9991194871654</v>
      </c>
      <c r="I8" s="93">
        <f>D8-B8</f>
        <v>-1593.9555745262987</v>
      </c>
      <c r="J8" s="93">
        <f t="shared" ref="J8:K10" si="0">E8-D8</f>
        <v>-803.7185768312338</v>
      </c>
      <c r="K8" s="93">
        <f t="shared" si="0"/>
        <v>-1016.5295329432411</v>
      </c>
      <c r="L8" s="93">
        <f>F8-D8</f>
        <v>-1820.2481097744749</v>
      </c>
    </row>
    <row r="9" spans="1:12" x14ac:dyDescent="0.3">
      <c r="A9" s="90" t="str">
        <f>name!J5</f>
        <v>FT</v>
      </c>
      <c r="B9" s="93">
        <v>49497.679357056688</v>
      </c>
      <c r="C9" s="93">
        <v>47083.032712403263</v>
      </c>
      <c r="D9" s="93">
        <v>45718.871947974287</v>
      </c>
      <c r="E9" s="93">
        <v>43731.072441847915</v>
      </c>
      <c r="F9" s="93">
        <v>41103.062019501958</v>
      </c>
      <c r="H9" s="93">
        <f>C9-B9</f>
        <v>-2414.646644653425</v>
      </c>
      <c r="I9" s="93">
        <f>D9-B9</f>
        <v>-3778.8074090824011</v>
      </c>
      <c r="J9" s="93">
        <f t="shared" si="0"/>
        <v>-1987.7995061263719</v>
      </c>
      <c r="K9" s="93">
        <f t="shared" si="0"/>
        <v>-2628.0104223459566</v>
      </c>
      <c r="L9" s="93">
        <f>F9-D9</f>
        <v>-4615.8099284723285</v>
      </c>
    </row>
    <row r="10" spans="1:12" x14ac:dyDescent="0.3">
      <c r="A10" s="90" t="str">
        <f>name!J6</f>
        <v>PT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H10" s="93">
        <f>C10-B10</f>
        <v>0</v>
      </c>
      <c r="I10" s="93">
        <f>D10-B10</f>
        <v>0</v>
      </c>
      <c r="J10" s="93">
        <f t="shared" si="0"/>
        <v>0</v>
      </c>
      <c r="K10" s="93">
        <f t="shared" si="0"/>
        <v>0</v>
      </c>
      <c r="L10" s="93">
        <f>F10-D10</f>
        <v>0</v>
      </c>
    </row>
    <row r="11" spans="1:12" x14ac:dyDescent="0.3">
      <c r="H11" s="93"/>
      <c r="I11" s="93"/>
      <c r="J11" s="93"/>
      <c r="K11" s="93"/>
      <c r="L11" s="93"/>
    </row>
    <row r="12" spans="1:12" s="121" customFormat="1" ht="12.9" x14ac:dyDescent="0.35">
      <c r="A12" s="121" t="str">
        <f>name!F5</f>
        <v>RQF7 Other higher degree</v>
      </c>
      <c r="B12" s="122">
        <v>117603.36216609999</v>
      </c>
      <c r="C12" s="122">
        <v>115939.95604983499</v>
      </c>
      <c r="D12" s="122">
        <v>117782.27837055401</v>
      </c>
      <c r="E12" s="122">
        <v>118889.39584623399</v>
      </c>
      <c r="F12" s="122">
        <v>120707.41471465</v>
      </c>
      <c r="H12" s="122">
        <f>C12-B12</f>
        <v>-1663.4061162650032</v>
      </c>
      <c r="I12" s="122">
        <f>D12-B12</f>
        <v>178.9162044540135</v>
      </c>
      <c r="J12" s="122">
        <f t="shared" ref="J12:K14" si="1">E12-D12</f>
        <v>1107.1174756799883</v>
      </c>
      <c r="K12" s="122">
        <f t="shared" si="1"/>
        <v>1818.0188684160094</v>
      </c>
      <c r="L12" s="122">
        <f>F12-D12</f>
        <v>2925.1363440959976</v>
      </c>
    </row>
    <row r="13" spans="1:12" x14ac:dyDescent="0.3">
      <c r="A13" s="90">
        <f>name!J7</f>
        <v>0</v>
      </c>
      <c r="B13" s="93">
        <v>85684.696366442135</v>
      </c>
      <c r="C13" s="93">
        <v>84496.661838978005</v>
      </c>
      <c r="D13" s="93">
        <v>85862.536135946357</v>
      </c>
      <c r="E13" s="93">
        <v>86649.544796460745</v>
      </c>
      <c r="F13" s="93">
        <v>87931.502704386687</v>
      </c>
      <c r="H13" s="93">
        <f>C13-B13</f>
        <v>-1188.0345274641295</v>
      </c>
      <c r="I13" s="93">
        <f>D13-B13</f>
        <v>177.8397695042222</v>
      </c>
      <c r="J13" s="93">
        <f t="shared" si="1"/>
        <v>787.00866051438788</v>
      </c>
      <c r="K13" s="93">
        <f t="shared" si="1"/>
        <v>1281.957907925942</v>
      </c>
      <c r="L13" s="93">
        <f>F13-D13</f>
        <v>2068.9665684403299</v>
      </c>
    </row>
    <row r="14" spans="1:12" x14ac:dyDescent="0.3">
      <c r="A14" s="90">
        <f>name!J8</f>
        <v>0</v>
      </c>
      <c r="B14" s="93">
        <v>31918.665799657861</v>
      </c>
      <c r="C14" s="93">
        <v>31443.29421085698</v>
      </c>
      <c r="D14" s="93">
        <v>31919.742234607653</v>
      </c>
      <c r="E14" s="93">
        <v>32239.851049773246</v>
      </c>
      <c r="F14" s="93">
        <v>32775.912010263324</v>
      </c>
      <c r="H14" s="93">
        <f>C14-B14</f>
        <v>-475.371588800881</v>
      </c>
      <c r="I14" s="93">
        <f>D14-B14</f>
        <v>1.0764349497912917</v>
      </c>
      <c r="J14" s="93">
        <f t="shared" si="1"/>
        <v>320.10881516559311</v>
      </c>
      <c r="K14" s="93">
        <f t="shared" si="1"/>
        <v>536.06096049007829</v>
      </c>
      <c r="L14" s="93">
        <f>F14-D14</f>
        <v>856.1697756556714</v>
      </c>
    </row>
    <row r="15" spans="1:12" x14ac:dyDescent="0.3">
      <c r="H15" s="93"/>
      <c r="I15" s="93"/>
      <c r="J15" s="93"/>
      <c r="K15" s="93"/>
      <c r="L15" s="93"/>
    </row>
    <row r="16" spans="1:12" s="121" customFormat="1" ht="12.9" x14ac:dyDescent="0.35">
      <c r="A16" s="121" t="str">
        <f>name!F6</f>
        <v>RQF6 First degree</v>
      </c>
      <c r="B16" s="122">
        <v>10699.858351711669</v>
      </c>
      <c r="C16" s="122">
        <v>10970.73916072664</v>
      </c>
      <c r="D16" s="122">
        <v>11301.540359819686</v>
      </c>
      <c r="E16" s="122">
        <v>11603.888290360199</v>
      </c>
      <c r="F16" s="122">
        <v>11675.073262162417</v>
      </c>
      <c r="H16" s="122">
        <f>C16-B16</f>
        <v>270.88080901497051</v>
      </c>
      <c r="I16" s="122">
        <f>D16-B16</f>
        <v>601.68200810801682</v>
      </c>
      <c r="J16" s="122">
        <f t="shared" ref="J16:K18" si="2">E16-D16</f>
        <v>302.34793054051261</v>
      </c>
      <c r="K16" s="122">
        <f t="shared" si="2"/>
        <v>71.18497180221857</v>
      </c>
      <c r="L16" s="122">
        <f>F16-D16</f>
        <v>373.53290234273118</v>
      </c>
    </row>
    <row r="17" spans="1:12" x14ac:dyDescent="0.3">
      <c r="A17" s="90">
        <f>name!J9</f>
        <v>0</v>
      </c>
      <c r="B17" s="93">
        <v>8525.1872183076739</v>
      </c>
      <c r="C17" s="93">
        <v>8709.9422108052859</v>
      </c>
      <c r="D17" s="93">
        <v>8966.579956519352</v>
      </c>
      <c r="E17" s="93">
        <v>9198.0093388787081</v>
      </c>
      <c r="F17" s="93">
        <v>9243.5195858644965</v>
      </c>
      <c r="H17" s="93">
        <f>C17-B17</f>
        <v>184.75499249761197</v>
      </c>
      <c r="I17" s="93">
        <f>D17-B17</f>
        <v>441.39273821167808</v>
      </c>
      <c r="J17" s="93">
        <f t="shared" si="2"/>
        <v>231.42938235935617</v>
      </c>
      <c r="K17" s="93">
        <f t="shared" si="2"/>
        <v>45.510246985788399</v>
      </c>
      <c r="L17" s="93">
        <f>F17-D17</f>
        <v>276.93962934514457</v>
      </c>
    </row>
    <row r="18" spans="1:12" x14ac:dyDescent="0.3">
      <c r="A18" s="90">
        <f>name!J10</f>
        <v>0</v>
      </c>
      <c r="B18" s="93">
        <v>2174.6711334039956</v>
      </c>
      <c r="C18" s="93">
        <v>2260.7969499213555</v>
      </c>
      <c r="D18" s="93">
        <v>2334.9604033003338</v>
      </c>
      <c r="E18" s="93">
        <v>2405.8789514814907</v>
      </c>
      <c r="F18" s="93">
        <v>2431.5536762979191</v>
      </c>
      <c r="H18" s="93">
        <f>C18-B18</f>
        <v>86.125816517359908</v>
      </c>
      <c r="I18" s="93">
        <f>D18-B18</f>
        <v>160.28926989633828</v>
      </c>
      <c r="J18" s="93">
        <f t="shared" si="2"/>
        <v>70.918548181156893</v>
      </c>
      <c r="K18" s="93">
        <f t="shared" si="2"/>
        <v>25.674724816428352</v>
      </c>
      <c r="L18" s="93">
        <f>F18-D18</f>
        <v>96.593272997585245</v>
      </c>
    </row>
    <row r="19" spans="1:12" x14ac:dyDescent="0.3">
      <c r="H19" s="93"/>
      <c r="I19" s="93"/>
      <c r="J19" s="93"/>
      <c r="K19" s="93"/>
      <c r="L19" s="93"/>
    </row>
    <row r="20" spans="1:12" x14ac:dyDescent="0.3">
      <c r="A20" s="91" t="str">
        <f>name!J3</f>
        <v>EE</v>
      </c>
      <c r="B20" s="92">
        <v>199629.07156740446</v>
      </c>
      <c r="C20" s="92">
        <v>194785.90049601384</v>
      </c>
      <c r="D20" s="92">
        <v>195036.90679635777</v>
      </c>
      <c r="E20" s="92">
        <v>193654.85411962072</v>
      </c>
      <c r="F20" s="92">
        <v>191899.51800454973</v>
      </c>
      <c r="H20" s="92">
        <f>C20-B20</f>
        <v>-4843.1710713906214</v>
      </c>
      <c r="I20" s="92">
        <f>D20-B20</f>
        <v>-4592.1647710466932</v>
      </c>
      <c r="J20" s="92">
        <f>E20-D20</f>
        <v>-1382.0526767370466</v>
      </c>
      <c r="K20" s="92">
        <f>F20-E20</f>
        <v>-1755.336115070997</v>
      </c>
      <c r="L20" s="92">
        <f>F20-D20</f>
        <v>-3137.3887918080436</v>
      </c>
    </row>
    <row r="23" spans="1:12" x14ac:dyDescent="0.3">
      <c r="A23" s="90" t="str">
        <f>CONCATENATE("Note: For ",Info!$A$1," there is no European LFS data for some of the ISCED Qualifications.")</f>
        <v>Note: For Country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5"/>
  <dimension ref="A1:CS102"/>
  <sheetViews>
    <sheetView showGridLines="0" zoomScale="85" zoomScaleNormal="85" zoomScaleSheetLayoutView="85" workbookViewId="0"/>
  </sheetViews>
  <sheetFormatPr defaultColWidth="9.15234375" defaultRowHeight="12.45" x14ac:dyDescent="0.3"/>
  <cols>
    <col min="1" max="1" width="50.69140625" style="129" customWidth="1"/>
    <col min="2" max="2" width="13" style="129" customWidth="1"/>
    <col min="3" max="3" width="10.15234375" style="129" customWidth="1"/>
    <col min="4" max="4" width="3.69140625" style="129" customWidth="1"/>
    <col min="5" max="6" width="10.15234375" style="129" customWidth="1"/>
    <col min="7" max="7" width="3.69140625" style="129" customWidth="1"/>
    <col min="8" max="9" width="10.15234375" style="129" customWidth="1"/>
    <col min="10" max="10" width="3.69140625" style="129" customWidth="1"/>
    <col min="11" max="12" width="10.15234375" style="129" customWidth="1"/>
    <col min="13" max="13" width="3.69140625" style="129" customWidth="1"/>
    <col min="14" max="15" width="10.15234375" style="129" customWidth="1"/>
    <col min="16" max="16" width="3.69140625" style="129" customWidth="1"/>
    <col min="17" max="18" width="10.15234375" style="129" customWidth="1"/>
    <col min="19" max="19" width="9.15234375" style="129"/>
    <col min="20" max="20" width="16.69140625" style="129" customWidth="1"/>
    <col min="21" max="21" width="9.15234375" style="129"/>
    <col min="22" max="22" width="8.84375" style="129" customWidth="1"/>
    <col min="23" max="41" width="9.15234375" style="129"/>
    <col min="42" max="46" width="9.15234375" style="136" customWidth="1"/>
    <col min="47" max="49" width="9.15234375" style="129"/>
    <col min="50" max="50" width="9.15234375" style="129" customWidth="1"/>
    <col min="51" max="16384" width="9.15234375" style="129"/>
  </cols>
  <sheetData>
    <row r="1" spans="1:97" ht="18.75" customHeight="1" x14ac:dyDescent="0.4">
      <c r="A1" s="276" t="str">
        <f>CONCATENATE("ShiftShare Table 1  Shift-share by occupation, ",I4,", ",Info!B5)</f>
        <v>ShiftShare Table 1  Shift-share by occupation, 2015-2020, United Kingdom</v>
      </c>
      <c r="W1" s="203" t="str">
        <f>CONCATENATE("Shift-share Figure 1: Levels of Employment, ",C4," - ",F40,", ",Info!B5)</f>
        <v>Shift-share Figure 1: Levels of Employment, 2015 - 2035, United Kingdom</v>
      </c>
      <c r="AK1" s="203" t="str">
        <f>CONCATENATE("Shift-share Figure 1.1: Net Changes, ",C4,"-",F40,", ",Info!B5)</f>
        <v>Shift-share Figure 1.1: Net Changes, 2015-2035, United Kingdom</v>
      </c>
    </row>
    <row r="2" spans="1:97" ht="18.75" customHeight="1" x14ac:dyDescent="0.4">
      <c r="A2" s="135" t="s">
        <v>535</v>
      </c>
      <c r="W2" s="203"/>
      <c r="AK2" s="203"/>
    </row>
    <row r="3" spans="1:97" x14ac:dyDescent="0.3">
      <c r="A3" s="145"/>
      <c r="B3" s="275"/>
      <c r="C3" s="275"/>
      <c r="D3" s="275"/>
      <c r="E3" s="275"/>
      <c r="F3" s="275"/>
      <c r="G3" s="275"/>
      <c r="H3" s="275"/>
      <c r="I3" s="275"/>
      <c r="J3" s="275"/>
      <c r="K3" s="378" t="s">
        <v>53</v>
      </c>
      <c r="L3" s="378"/>
      <c r="M3" s="378"/>
      <c r="N3" s="378"/>
      <c r="O3" s="378"/>
      <c r="P3" s="378"/>
      <c r="Q3" s="378"/>
      <c r="R3" s="378"/>
      <c r="AT3" s="137"/>
      <c r="AU3" s="125"/>
      <c r="AW3" s="137"/>
      <c r="AX3" s="136"/>
      <c r="AY3" s="138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</row>
    <row r="4" spans="1:97" x14ac:dyDescent="0.3">
      <c r="B4" s="270" t="s">
        <v>54</v>
      </c>
      <c r="C4" s="271">
        <v>2015</v>
      </c>
      <c r="D4" s="135"/>
      <c r="E4" s="270" t="s">
        <v>55</v>
      </c>
      <c r="F4" s="271">
        <v>2020</v>
      </c>
      <c r="G4" s="135"/>
      <c r="H4" s="270" t="s">
        <v>18</v>
      </c>
      <c r="I4" s="270" t="str">
        <f>CONCATENATE(C4,"-",F4)</f>
        <v>2015-2020</v>
      </c>
      <c r="J4" s="135"/>
      <c r="K4" s="377" t="s">
        <v>56</v>
      </c>
      <c r="L4" s="377"/>
      <c r="M4" s="135"/>
      <c r="N4" s="377" t="s">
        <v>57</v>
      </c>
      <c r="O4" s="377"/>
      <c r="P4" s="135"/>
      <c r="Q4" s="377" t="s">
        <v>58</v>
      </c>
      <c r="R4" s="377"/>
      <c r="AW4" s="136"/>
      <c r="AX4" s="136"/>
      <c r="AY4" s="138"/>
    </row>
    <row r="5" spans="1:97" x14ac:dyDescent="0.3">
      <c r="A5" s="142" t="s">
        <v>507</v>
      </c>
      <c r="B5" s="272" t="s">
        <v>60</v>
      </c>
      <c r="C5" s="272" t="s">
        <v>61</v>
      </c>
      <c r="D5" s="135"/>
      <c r="E5" s="272" t="str">
        <f>B5</f>
        <v>000s</v>
      </c>
      <c r="F5" s="272" t="str">
        <f>C5</f>
        <v>% share</v>
      </c>
      <c r="G5" s="135"/>
      <c r="H5" s="272" t="str">
        <f>E5</f>
        <v>000s</v>
      </c>
      <c r="I5" s="272" t="s">
        <v>62</v>
      </c>
      <c r="J5" s="135"/>
      <c r="K5" s="272" t="str">
        <f>H5</f>
        <v>000s</v>
      </c>
      <c r="L5" s="272" t="str">
        <f>I5</f>
        <v xml:space="preserve">%   </v>
      </c>
      <c r="M5" s="135"/>
      <c r="N5" s="272" t="str">
        <f>K5</f>
        <v>000s</v>
      </c>
      <c r="O5" s="272" t="str">
        <f>L5</f>
        <v xml:space="preserve">%   </v>
      </c>
      <c r="P5" s="135"/>
      <c r="Q5" s="272" t="str">
        <f>N5</f>
        <v>000s</v>
      </c>
      <c r="R5" s="272" t="str">
        <f>O5</f>
        <v xml:space="preserve">%   </v>
      </c>
      <c r="Z5" s="138" t="e">
        <f>"Levels of Employment, "&amp;#REF!&amp;"-"&amp;#REF!</f>
        <v>#REF!</v>
      </c>
      <c r="AM5" s="129" t="e">
        <f>"Net Changes, "&amp;#REF!&amp;"-"&amp;#REF!</f>
        <v>#REF!</v>
      </c>
      <c r="AV5" s="136"/>
      <c r="AW5" s="136"/>
      <c r="AX5" s="136"/>
    </row>
    <row r="6" spans="1:97" x14ac:dyDescent="0.3">
      <c r="A6" s="142"/>
      <c r="B6" s="270"/>
      <c r="C6" s="270"/>
      <c r="D6" s="135"/>
      <c r="E6" s="270"/>
      <c r="F6" s="270"/>
      <c r="G6" s="135"/>
      <c r="H6" s="270"/>
      <c r="I6" s="270"/>
      <c r="J6" s="135"/>
      <c r="K6" s="270"/>
      <c r="L6" s="270"/>
      <c r="M6" s="135"/>
      <c r="N6" s="270"/>
      <c r="O6" s="270"/>
      <c r="P6" s="135"/>
      <c r="Q6" s="270"/>
      <c r="R6" s="270"/>
      <c r="T6" s="135"/>
      <c r="AV6" s="136"/>
      <c r="AW6" s="136"/>
      <c r="AX6" s="136"/>
      <c r="AY6" s="138"/>
    </row>
    <row r="7" spans="1:97" x14ac:dyDescent="0.3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5"/>
      <c r="AV7" s="136"/>
      <c r="AW7" s="136"/>
      <c r="AX7" s="136"/>
      <c r="AY7" s="138"/>
    </row>
    <row r="8" spans="1:97" x14ac:dyDescent="0.3">
      <c r="A8" s="10" t="str">
        <f>name!$D4</f>
        <v>11 Corporate managers and directors</v>
      </c>
      <c r="B8" s="150">
        <v>2147.9713237433616</v>
      </c>
      <c r="C8" s="140">
        <f t="shared" ref="C8:C33" si="0">B8/B$35*100</f>
        <v>6.3821377497742429</v>
      </c>
      <c r="E8" s="150">
        <v>2603.6149634867743</v>
      </c>
      <c r="F8" s="140">
        <f t="shared" ref="F8:F33" si="1">E8/E$35*100</f>
        <v>7.4442240046846839</v>
      </c>
      <c r="H8" s="150">
        <f>E8-B8</f>
        <v>455.64363974341268</v>
      </c>
      <c r="I8" s="140">
        <f>IF(B8&lt;&gt;0,((E8/B8)-1)*100,0)</f>
        <v>21.212743145441216</v>
      </c>
      <c r="K8" s="207">
        <f t="shared" ref="K8:K33" si="2">(($E$35/$B$35)-1)*B8</f>
        <v>84.179311956089379</v>
      </c>
      <c r="L8" s="140">
        <f>IF(B8&lt;&gt;0,K8/B8*100,0)</f>
        <v>3.9190147012478027</v>
      </c>
      <c r="N8" s="150">
        <f>H8-(K8+Q8)</f>
        <v>367.00156569218018</v>
      </c>
      <c r="O8" s="140">
        <f>IF(B8&lt;&gt;0,N8/B8*100,0)</f>
        <v>17.085962071997816</v>
      </c>
      <c r="Q8" s="150">
        <v>4.4627620951431526</v>
      </c>
      <c r="R8" s="140">
        <f>IF(B8&lt;&gt;0,Q8/B8*100,0)</f>
        <v>0.20776637219558899</v>
      </c>
      <c r="AT8" s="136" t="e">
        <f ca="1">CONCATENATE("C:",INT(CELL("col",#REF!))," R:",INT(CELL("row",#REF!)))</f>
        <v>#REF!</v>
      </c>
    </row>
    <row r="9" spans="1:97" x14ac:dyDescent="0.3">
      <c r="A9" s="10" t="str">
        <f>name!$D5</f>
        <v>12 Other managers and proprietors</v>
      </c>
      <c r="B9" s="150">
        <v>1057.4538145928157</v>
      </c>
      <c r="C9" s="140">
        <f t="shared" si="0"/>
        <v>3.1419487933359052</v>
      </c>
      <c r="E9" s="150">
        <v>1142.9442385679565</v>
      </c>
      <c r="F9" s="140">
        <f t="shared" si="1"/>
        <v>3.2678921638125926</v>
      </c>
      <c r="H9" s="150">
        <f t="shared" ref="H9:H32" si="3">E9-B9</f>
        <v>85.490423975140857</v>
      </c>
      <c r="I9" s="140">
        <f t="shared" ref="I9:I35" si="4">IF(B9&lt;&gt;0,((E9/B9)-1)*100,0)</f>
        <v>8.0845539346850792</v>
      </c>
      <c r="K9" s="207">
        <f t="shared" si="2"/>
        <v>41.441770452798131</v>
      </c>
      <c r="L9" s="140">
        <f t="shared" ref="L9:L32" si="5">IF(B9&lt;&gt;0,K9/B9*100,0)</f>
        <v>3.9190147012478027</v>
      </c>
      <c r="N9" s="150">
        <f t="shared" ref="N9:N31" si="6">H9-(K9+Q9)</f>
        <v>39.724062073352641</v>
      </c>
      <c r="O9" s="140">
        <f>IF(B9&lt;&gt;0,N9/B9*100,0)</f>
        <v>3.7565765544709708</v>
      </c>
      <c r="Q9" s="150">
        <v>4.3245914489900832</v>
      </c>
      <c r="R9" s="140">
        <f>IF(B9&lt;&gt;0,Q9/B9*100,0)</f>
        <v>0.40896267896629745</v>
      </c>
      <c r="T9" s="135"/>
    </row>
    <row r="10" spans="1:97" x14ac:dyDescent="0.3">
      <c r="A10" s="10" t="str">
        <f>name!$D6</f>
        <v>21 Science, research, engineering and technology professionals</v>
      </c>
      <c r="B10" s="150">
        <v>1804.4444333480956</v>
      </c>
      <c r="C10" s="140">
        <f t="shared" si="0"/>
        <v>5.361437002506662</v>
      </c>
      <c r="E10" s="150">
        <v>2168.4893984676792</v>
      </c>
      <c r="F10" s="140">
        <f t="shared" si="1"/>
        <v>6.2001183202446093</v>
      </c>
      <c r="H10" s="150">
        <f t="shared" si="3"/>
        <v>364.04496511958359</v>
      </c>
      <c r="I10" s="140">
        <f t="shared" si="4"/>
        <v>20.174905826504652</v>
      </c>
      <c r="K10" s="207">
        <f t="shared" si="2"/>
        <v>70.716442618759473</v>
      </c>
      <c r="L10" s="140">
        <f t="shared" si="5"/>
        <v>3.9190147012478027</v>
      </c>
      <c r="N10" s="150">
        <f t="shared" si="6"/>
        <v>267.74269369637938</v>
      </c>
      <c r="O10" s="140">
        <f t="shared" ref="O10:O32" si="7">IF(B10&lt;&gt;0,N10/B10*100,0)</f>
        <v>14.837957254222031</v>
      </c>
      <c r="Q10" s="150">
        <v>25.585828804444734</v>
      </c>
      <c r="R10" s="140">
        <f t="shared" ref="R10:R32" si="8">IF(B10&lt;&gt;0,Q10/B10*100,0)</f>
        <v>1.4179338710348066</v>
      </c>
      <c r="AT10" s="136" t="e">
        <f ca="1">CONCATENATE("C:",INT(CELL("col",#REF!))," R:",INT(CELL("row",#REF!)))</f>
        <v>#REF!</v>
      </c>
    </row>
    <row r="11" spans="1:97" x14ac:dyDescent="0.3">
      <c r="A11" s="10" t="str">
        <f>name!$D7</f>
        <v>22 Health professionals</v>
      </c>
      <c r="B11" s="150">
        <v>1431.704750253356</v>
      </c>
      <c r="C11" s="140">
        <f t="shared" si="0"/>
        <v>4.2539380447589128</v>
      </c>
      <c r="E11" s="150">
        <v>1652.6894842034105</v>
      </c>
      <c r="F11" s="140">
        <f t="shared" si="1"/>
        <v>4.7253495248470809</v>
      </c>
      <c r="H11" s="150">
        <f>E11-B11</f>
        <v>220.98473395005453</v>
      </c>
      <c r="I11" s="140">
        <f>IF(B11&lt;&gt;0,((E11/B11)-1)*100,0)</f>
        <v>15.435077232994354</v>
      </c>
      <c r="K11" s="207">
        <f t="shared" si="2"/>
        <v>56.108719640892161</v>
      </c>
      <c r="L11" s="140">
        <f t="shared" si="5"/>
        <v>3.9190147012478027</v>
      </c>
      <c r="N11" s="150">
        <f t="shared" si="6"/>
        <v>152.55763661976519</v>
      </c>
      <c r="O11" s="140">
        <f t="shared" si="7"/>
        <v>10.655663228942171</v>
      </c>
      <c r="Q11" s="150">
        <v>12.318377689397174</v>
      </c>
      <c r="R11" s="140">
        <f>IF(B11&lt;&gt;0,Q11/B11*100,0)</f>
        <v>0.8603993028043877</v>
      </c>
      <c r="T11" s="135"/>
    </row>
    <row r="12" spans="1:97" x14ac:dyDescent="0.3">
      <c r="A12" s="10" t="str">
        <f>name!$D8</f>
        <v>23 Teaching and other educational professionals</v>
      </c>
      <c r="B12" s="150">
        <v>1646.9786897581305</v>
      </c>
      <c r="C12" s="140">
        <f t="shared" si="0"/>
        <v>4.893568528028899</v>
      </c>
      <c r="E12" s="150">
        <v>1814.3949916428305</v>
      </c>
      <c r="F12" s="140">
        <f t="shared" si="1"/>
        <v>5.1876959305376324</v>
      </c>
      <c r="H12" s="150">
        <f t="shared" si="3"/>
        <v>167.41630188470003</v>
      </c>
      <c r="I12" s="140">
        <f t="shared" si="4"/>
        <v>10.165055742724039</v>
      </c>
      <c r="K12" s="207">
        <f t="shared" si="2"/>
        <v>64.545336978039572</v>
      </c>
      <c r="L12" s="140">
        <f t="shared" si="5"/>
        <v>3.9190147012478027</v>
      </c>
      <c r="N12" s="150">
        <f t="shared" si="6"/>
        <v>154.19750242247588</v>
      </c>
      <c r="O12" s="140">
        <f t="shared" si="7"/>
        <v>9.3624467263216857</v>
      </c>
      <c r="Q12" s="150">
        <v>-51.326537515815424</v>
      </c>
      <c r="R12" s="140">
        <f t="shared" si="8"/>
        <v>-3.116405684845446</v>
      </c>
      <c r="AT12" s="136" t="e">
        <f ca="1">CONCATENATE("C:",INT(CELL("col",#REF!))," R:",INT(CELL("row",#REF!)))</f>
        <v>#REF!</v>
      </c>
    </row>
    <row r="13" spans="1:97" x14ac:dyDescent="0.3">
      <c r="A13" s="10" t="str">
        <f>name!$D9</f>
        <v>24 Business, media and public service professionals</v>
      </c>
      <c r="B13" s="150">
        <v>2002.3539721741229</v>
      </c>
      <c r="C13" s="140">
        <f t="shared" si="0"/>
        <v>5.9494736884810191</v>
      </c>
      <c r="E13" s="150">
        <v>2564.0058358864653</v>
      </c>
      <c r="F13" s="140">
        <f t="shared" si="1"/>
        <v>7.3309740723321815</v>
      </c>
      <c r="H13" s="150">
        <f t="shared" si="3"/>
        <v>561.65186371234245</v>
      </c>
      <c r="I13" s="140">
        <f t="shared" si="4"/>
        <v>28.049579221125921</v>
      </c>
      <c r="K13" s="207">
        <f t="shared" si="2"/>
        <v>78.472546540523211</v>
      </c>
      <c r="L13" s="140">
        <f t="shared" si="5"/>
        <v>3.9190147012478027</v>
      </c>
      <c r="N13" s="150">
        <f>H13-(K13+Q13)</f>
        <v>464.17164622374162</v>
      </c>
      <c r="O13" s="140">
        <f>IF(B13&lt;&gt;0,N13/B13*100,0)</f>
        <v>23.181298245671904</v>
      </c>
      <c r="Q13" s="150">
        <v>19.007670948077617</v>
      </c>
      <c r="R13" s="140">
        <f t="shared" si="8"/>
        <v>0.94926627420622356</v>
      </c>
      <c r="T13" s="135"/>
    </row>
    <row r="14" spans="1:97" x14ac:dyDescent="0.3">
      <c r="A14" s="10" t="str">
        <f>name!$D10</f>
        <v>31 Science, engineering and technology associate professionals</v>
      </c>
      <c r="B14" s="150">
        <v>543.13411333119222</v>
      </c>
      <c r="C14" s="140">
        <f t="shared" si="0"/>
        <v>1.6137816597291421</v>
      </c>
      <c r="E14" s="150">
        <v>694.16022623804326</v>
      </c>
      <c r="F14" s="140">
        <f t="shared" si="1"/>
        <v>1.9847344141617131</v>
      </c>
      <c r="H14" s="150">
        <f t="shared" si="3"/>
        <v>151.02611290685104</v>
      </c>
      <c r="I14" s="140">
        <f t="shared" si="4"/>
        <v>27.806412670448189</v>
      </c>
      <c r="K14" s="207">
        <f t="shared" si="2"/>
        <v>21.285505748941326</v>
      </c>
      <c r="L14" s="140">
        <f>IF(B14&lt;&gt;0,K14/B14*100,0)</f>
        <v>3.9190147012478027</v>
      </c>
      <c r="N14" s="150">
        <f t="shared" si="6"/>
        <v>124.35734869223056</v>
      </c>
      <c r="O14" s="140">
        <f t="shared" si="7"/>
        <v>22.896250785926966</v>
      </c>
      <c r="Q14" s="150">
        <v>5.3832584656791598</v>
      </c>
      <c r="R14" s="140">
        <f t="shared" si="8"/>
        <v>0.991147183273417</v>
      </c>
      <c r="AT14" s="136" t="e">
        <f ca="1">CONCATENATE("C:",INT(CELL("col",#REF!))," R:",INT(CELL("row",#REF!)))</f>
        <v>#REF!</v>
      </c>
    </row>
    <row r="15" spans="1:97" x14ac:dyDescent="0.3">
      <c r="A15" s="10" t="str">
        <f>name!$D11</f>
        <v>32 Health and social care associate professionals</v>
      </c>
      <c r="B15" s="150">
        <v>594.94854959952465</v>
      </c>
      <c r="C15" s="140">
        <f t="shared" si="0"/>
        <v>1.7677347716892653</v>
      </c>
      <c r="E15" s="150">
        <v>684.34670849941995</v>
      </c>
      <c r="F15" s="140">
        <f t="shared" si="1"/>
        <v>1.9566757244764976</v>
      </c>
      <c r="H15" s="150">
        <f t="shared" si="3"/>
        <v>89.398158899895293</v>
      </c>
      <c r="I15" s="140">
        <f t="shared" si="4"/>
        <v>15.026199989910305</v>
      </c>
      <c r="K15" s="207">
        <f t="shared" si="2"/>
        <v>23.316121123665948</v>
      </c>
      <c r="L15" s="140">
        <f t="shared" si="5"/>
        <v>3.9190147012478027</v>
      </c>
      <c r="N15" s="150">
        <f t="shared" si="6"/>
        <v>62.671148272383164</v>
      </c>
      <c r="O15" s="140">
        <f t="shared" si="7"/>
        <v>10.533876973827191</v>
      </c>
      <c r="Q15" s="150">
        <v>3.4108895038461786</v>
      </c>
      <c r="R15" s="140">
        <f t="shared" si="8"/>
        <v>0.57330831483531419</v>
      </c>
      <c r="T15" s="11"/>
    </row>
    <row r="16" spans="1:97" x14ac:dyDescent="0.3">
      <c r="A16" s="10" t="str">
        <f>name!$D12</f>
        <v>33 Protective service occupations</v>
      </c>
      <c r="B16" s="150">
        <v>363.34672944829595</v>
      </c>
      <c r="C16" s="140">
        <f t="shared" si="0"/>
        <v>1.0795902406311839</v>
      </c>
      <c r="E16" s="150">
        <v>396.95240357529076</v>
      </c>
      <c r="F16" s="140">
        <f t="shared" si="1"/>
        <v>1.1349614489291102</v>
      </c>
      <c r="H16" s="150">
        <f t="shared" si="3"/>
        <v>33.605674126994813</v>
      </c>
      <c r="I16" s="140">
        <f t="shared" si="4"/>
        <v>9.2489271000241402</v>
      </c>
      <c r="K16" s="207">
        <f t="shared" si="2"/>
        <v>14.239611743581797</v>
      </c>
      <c r="L16" s="140">
        <f t="shared" si="5"/>
        <v>3.9190147012478027</v>
      </c>
      <c r="N16" s="150">
        <f t="shared" si="6"/>
        <v>15.78955234370833</v>
      </c>
      <c r="O16" s="140">
        <f t="shared" si="7"/>
        <v>4.3455881294660657</v>
      </c>
      <c r="Q16" s="150">
        <v>3.5765100397046878</v>
      </c>
      <c r="R16" s="140">
        <f t="shared" si="8"/>
        <v>0.98432426931026584</v>
      </c>
      <c r="T16" s="11"/>
    </row>
    <row r="17" spans="1:20" x14ac:dyDescent="0.3">
      <c r="A17" s="10" t="str">
        <f>name!$D13</f>
        <v>34 Culture, media and sports occupations</v>
      </c>
      <c r="B17" s="150">
        <v>690.99398123085246</v>
      </c>
      <c r="C17" s="140">
        <f t="shared" si="0"/>
        <v>2.0531087746528618</v>
      </c>
      <c r="E17" s="150">
        <v>752.69702031034967</v>
      </c>
      <c r="F17" s="140">
        <f t="shared" si="1"/>
        <v>2.1521020985933519</v>
      </c>
      <c r="H17" s="150">
        <f t="shared" si="3"/>
        <v>61.703039079497216</v>
      </c>
      <c r="I17" s="140">
        <f t="shared" si="4"/>
        <v>8.9296058656816335</v>
      </c>
      <c r="K17" s="207">
        <f t="shared" si="2"/>
        <v>27.080155709174591</v>
      </c>
      <c r="L17" s="140">
        <f t="shared" si="5"/>
        <v>3.9190147012478027</v>
      </c>
      <c r="N17" s="150">
        <f t="shared" si="6"/>
        <v>40.362558080672173</v>
      </c>
      <c r="O17" s="140">
        <f t="shared" si="7"/>
        <v>5.8412314979611306</v>
      </c>
      <c r="Q17" s="150">
        <v>-5.7396747103495436</v>
      </c>
      <c r="R17" s="140">
        <f t="shared" si="8"/>
        <v>-0.83064033352730315</v>
      </c>
      <c r="T17" s="11"/>
    </row>
    <row r="18" spans="1:20" x14ac:dyDescent="0.3">
      <c r="A18" s="10" t="str">
        <f>name!$D14</f>
        <v>35 Business and public service associate professionals</v>
      </c>
      <c r="B18" s="150">
        <v>2027.0470687026313</v>
      </c>
      <c r="C18" s="140">
        <f t="shared" si="0"/>
        <v>6.0228427981015171</v>
      </c>
      <c r="E18" s="150">
        <v>2253.7675379132588</v>
      </c>
      <c r="F18" s="140">
        <f t="shared" si="1"/>
        <v>6.443944531738441</v>
      </c>
      <c r="H18" s="150">
        <f t="shared" si="3"/>
        <v>226.72046921062747</v>
      </c>
      <c r="I18" s="140">
        <f t="shared" si="4"/>
        <v>11.184765894742398</v>
      </c>
      <c r="K18" s="207">
        <f t="shared" si="2"/>
        <v>79.440272623668776</v>
      </c>
      <c r="L18" s="140">
        <f t="shared" si="5"/>
        <v>3.9190147012478027</v>
      </c>
      <c r="N18" s="150">
        <f t="shared" si="6"/>
        <v>142.20024739154903</v>
      </c>
      <c r="O18" s="140">
        <f t="shared" si="7"/>
        <v>7.0151428443425976</v>
      </c>
      <c r="Q18" s="150">
        <v>5.0799491954096743</v>
      </c>
      <c r="R18" s="140">
        <f t="shared" si="8"/>
        <v>0.25060834915200014</v>
      </c>
      <c r="T18" s="11"/>
    </row>
    <row r="19" spans="1:20" x14ac:dyDescent="0.3">
      <c r="A19" s="10" t="str">
        <f>name!$D15</f>
        <v>41 Administrative occupations</v>
      </c>
      <c r="B19" s="150">
        <v>2983.2974966503325</v>
      </c>
      <c r="C19" s="140">
        <f t="shared" si="0"/>
        <v>8.8640920675782517</v>
      </c>
      <c r="E19" s="150">
        <v>3065.8450120205653</v>
      </c>
      <c r="F19" s="140">
        <f t="shared" si="1"/>
        <v>8.7658264963118189</v>
      </c>
      <c r="H19" s="150">
        <f t="shared" si="3"/>
        <v>82.547515370232759</v>
      </c>
      <c r="I19" s="140">
        <f t="shared" si="4"/>
        <v>2.766989060357461</v>
      </c>
      <c r="K19" s="207">
        <f t="shared" si="2"/>
        <v>116.91586747568421</v>
      </c>
      <c r="L19" s="140">
        <f t="shared" si="5"/>
        <v>3.9190147012478027</v>
      </c>
      <c r="N19" s="150">
        <f t="shared" si="6"/>
        <v>-40.172220286974294</v>
      </c>
      <c r="O19" s="140">
        <f t="shared" si="7"/>
        <v>-1.346571045364398</v>
      </c>
      <c r="Q19" s="150">
        <v>5.8038681815228461</v>
      </c>
      <c r="R19" s="140">
        <f t="shared" si="8"/>
        <v>0.19454540447405833</v>
      </c>
      <c r="T19" s="11"/>
    </row>
    <row r="20" spans="1:20" x14ac:dyDescent="0.3">
      <c r="A20" s="10" t="str">
        <f>name!$D16</f>
        <v>42 Secretarial and related occupations</v>
      </c>
      <c r="B20" s="150">
        <v>752.31508382302525</v>
      </c>
      <c r="C20" s="140">
        <f t="shared" si="0"/>
        <v>2.235308471355165</v>
      </c>
      <c r="E20" s="150">
        <v>675.89827543689773</v>
      </c>
      <c r="F20" s="140">
        <f t="shared" si="1"/>
        <v>1.9325200681724739</v>
      </c>
      <c r="H20" s="150">
        <f t="shared" si="3"/>
        <v>-76.416808386127514</v>
      </c>
      <c r="I20" s="140">
        <f t="shared" si="4"/>
        <v>-10.157553667248253</v>
      </c>
      <c r="K20" s="207">
        <f t="shared" si="2"/>
        <v>29.483338734729088</v>
      </c>
      <c r="L20" s="140">
        <f t="shared" si="5"/>
        <v>3.9190147012478027</v>
      </c>
      <c r="N20" s="150">
        <f t="shared" si="6"/>
        <v>-110.79269784968531</v>
      </c>
      <c r="O20" s="140">
        <f t="shared" si="7"/>
        <v>-14.726901032832171</v>
      </c>
      <c r="Q20" s="150">
        <v>4.8925507288287182</v>
      </c>
      <c r="R20" s="140">
        <f t="shared" si="8"/>
        <v>0.65033266433610981</v>
      </c>
      <c r="T20" s="11"/>
    </row>
    <row r="21" spans="1:20" x14ac:dyDescent="0.3">
      <c r="A21" s="10" t="str">
        <f>name!$D17</f>
        <v>51 Skilled agricultural and related trades</v>
      </c>
      <c r="B21" s="150">
        <v>404.75546845929</v>
      </c>
      <c r="C21" s="140">
        <f t="shared" si="0"/>
        <v>1.2026255314152567</v>
      </c>
      <c r="E21" s="150">
        <v>376.47025514650636</v>
      </c>
      <c r="F21" s="140">
        <f t="shared" si="1"/>
        <v>1.0763991410842981</v>
      </c>
      <c r="H21" s="150">
        <f t="shared" si="3"/>
        <v>-28.28521331278364</v>
      </c>
      <c r="I21" s="140">
        <f t="shared" si="4"/>
        <v>-6.988222647232389</v>
      </c>
      <c r="K21" s="207">
        <f t="shared" si="2"/>
        <v>15.862426313023988</v>
      </c>
      <c r="L21" s="140">
        <f t="shared" si="5"/>
        <v>3.9190147012478027</v>
      </c>
      <c r="N21" s="150">
        <f t="shared" si="6"/>
        <v>-30.220942687442069</v>
      </c>
      <c r="O21" s="140">
        <f t="shared" si="7"/>
        <v>-7.4664692740233285</v>
      </c>
      <c r="Q21" s="150">
        <v>-13.926696938365559</v>
      </c>
      <c r="R21" s="140">
        <f t="shared" si="8"/>
        <v>-3.4407680744568609</v>
      </c>
      <c r="T21" s="11"/>
    </row>
    <row r="22" spans="1:20" x14ac:dyDescent="0.3">
      <c r="A22" s="10" t="str">
        <f>name!$D18</f>
        <v>52 Skilled metal, electrical and electronic trades</v>
      </c>
      <c r="B22" s="150">
        <v>1243.0037577536757</v>
      </c>
      <c r="C22" s="140">
        <f t="shared" si="0"/>
        <v>3.6932621575439648</v>
      </c>
      <c r="E22" s="150">
        <v>1101.9773582511193</v>
      </c>
      <c r="F22" s="140">
        <f t="shared" si="1"/>
        <v>3.1507601615278804</v>
      </c>
      <c r="H22" s="150">
        <f t="shared" si="3"/>
        <v>-141.02639950255639</v>
      </c>
      <c r="I22" s="140">
        <f t="shared" si="4"/>
        <v>-11.345613287397915</v>
      </c>
      <c r="K22" s="207">
        <f t="shared" si="2"/>
        <v>48.713500003429175</v>
      </c>
      <c r="L22" s="140">
        <f t="shared" si="5"/>
        <v>3.9190147012478027</v>
      </c>
      <c r="N22" s="150">
        <f t="shared" si="6"/>
        <v>-178.42911005673704</v>
      </c>
      <c r="O22" s="140">
        <f t="shared" si="7"/>
        <v>-14.354671813638722</v>
      </c>
      <c r="Q22" s="150">
        <v>-11.310789449248523</v>
      </c>
      <c r="R22" s="140">
        <f t="shared" si="8"/>
        <v>-0.90995617500699189</v>
      </c>
      <c r="T22" s="11"/>
    </row>
    <row r="23" spans="1:20" x14ac:dyDescent="0.3">
      <c r="A23" s="10" t="str">
        <f>name!$D19</f>
        <v>53 Skilled construction and building trades</v>
      </c>
      <c r="B23" s="150">
        <v>1085.8029793612313</v>
      </c>
      <c r="C23" s="140">
        <f t="shared" si="0"/>
        <v>3.2261809581898406</v>
      </c>
      <c r="E23" s="150">
        <v>902.6086997361848</v>
      </c>
      <c r="F23" s="140">
        <f t="shared" si="1"/>
        <v>2.5807277357228435</v>
      </c>
      <c r="H23" s="150">
        <f t="shared" si="3"/>
        <v>-183.19427962504653</v>
      </c>
      <c r="I23" s="140">
        <f t="shared" si="4"/>
        <v>-16.87177905266185</v>
      </c>
      <c r="K23" s="207">
        <f t="shared" si="2"/>
        <v>42.5527783877533</v>
      </c>
      <c r="L23" s="140">
        <f t="shared" si="5"/>
        <v>3.9190147012478027</v>
      </c>
      <c r="N23" s="150">
        <f t="shared" si="6"/>
        <v>-264.99584636164121</v>
      </c>
      <c r="O23" s="140">
        <f t="shared" si="7"/>
        <v>-24.405518441065251</v>
      </c>
      <c r="Q23" s="150">
        <v>39.248788348841373</v>
      </c>
      <c r="R23" s="140">
        <f t="shared" si="8"/>
        <v>3.6147246871555927</v>
      </c>
      <c r="T23" s="11"/>
    </row>
    <row r="24" spans="1:20" x14ac:dyDescent="0.3">
      <c r="A24" s="10" t="str">
        <f>name!$D20</f>
        <v>54 Textiles, printing and other skilled trades</v>
      </c>
      <c r="B24" s="150">
        <v>755.52676365289369</v>
      </c>
      <c r="C24" s="140">
        <f t="shared" si="0"/>
        <v>2.2448511420862944</v>
      </c>
      <c r="E24" s="150">
        <v>647.87195370468623</v>
      </c>
      <c r="F24" s="140">
        <f t="shared" si="1"/>
        <v>1.8523875524480518</v>
      </c>
      <c r="H24" s="150">
        <f t="shared" si="3"/>
        <v>-107.65480994820746</v>
      </c>
      <c r="I24" s="140">
        <f t="shared" si="4"/>
        <v>-14.248973713082991</v>
      </c>
      <c r="K24" s="207">
        <f t="shared" si="2"/>
        <v>29.609204939418643</v>
      </c>
      <c r="L24" s="140">
        <f t="shared" si="5"/>
        <v>3.9190147012478027</v>
      </c>
      <c r="N24" s="150">
        <f t="shared" si="6"/>
        <v>-138.16947210964096</v>
      </c>
      <c r="O24" s="140">
        <f t="shared" si="7"/>
        <v>-18.28783290767965</v>
      </c>
      <c r="Q24" s="150">
        <v>0.90545722201486323</v>
      </c>
      <c r="R24" s="140">
        <f t="shared" si="8"/>
        <v>0.11984449334886184</v>
      </c>
      <c r="T24" s="11"/>
    </row>
    <row r="25" spans="1:20" x14ac:dyDescent="0.3">
      <c r="A25" s="10" t="str">
        <f>name!$D21</f>
        <v>61 Caring personal service occupations</v>
      </c>
      <c r="B25" s="150">
        <v>2378.4874023039993</v>
      </c>
      <c r="C25" s="140">
        <f t="shared" si="0"/>
        <v>7.0670562822748888</v>
      </c>
      <c r="E25" s="150">
        <v>2366.0754145696519</v>
      </c>
      <c r="F25" s="140">
        <f t="shared" si="1"/>
        <v>6.7650538367030473</v>
      </c>
      <c r="H25" s="150">
        <f t="shared" si="3"/>
        <v>-12.411987734347349</v>
      </c>
      <c r="I25" s="140">
        <f t="shared" si="4"/>
        <v>-0.52184374499205655</v>
      </c>
      <c r="K25" s="207">
        <f t="shared" si="2"/>
        <v>93.213270963620701</v>
      </c>
      <c r="L25" s="140">
        <f t="shared" si="5"/>
        <v>3.9190147012478027</v>
      </c>
      <c r="N25" s="150">
        <f t="shared" si="6"/>
        <v>-99.293700230617461</v>
      </c>
      <c r="O25" s="140">
        <f t="shared" si="7"/>
        <v>-4.1746573950500379</v>
      </c>
      <c r="Q25" s="150">
        <v>-6.3315584673505851</v>
      </c>
      <c r="R25" s="140">
        <f t="shared" si="8"/>
        <v>-0.26620105118981563</v>
      </c>
      <c r="T25" s="11"/>
    </row>
    <row r="26" spans="1:20" x14ac:dyDescent="0.3">
      <c r="A26" s="10" t="str">
        <f>name!$D22</f>
        <v>62 Leisure, travel and related personal service occupations</v>
      </c>
      <c r="B26" s="150">
        <v>734.9431095897952</v>
      </c>
      <c r="C26" s="140">
        <f t="shared" si="0"/>
        <v>2.1836921712135111</v>
      </c>
      <c r="E26" s="150">
        <v>729.01453888132892</v>
      </c>
      <c r="F26" s="140">
        <f t="shared" si="1"/>
        <v>2.0843894378440386</v>
      </c>
      <c r="H26" s="150">
        <f t="shared" si="3"/>
        <v>-5.9285707084662818</v>
      </c>
      <c r="I26" s="140">
        <f t="shared" si="4"/>
        <v>-0.80667069751497733</v>
      </c>
      <c r="K26" s="207">
        <f t="shared" si="2"/>
        <v>28.802528510631824</v>
      </c>
      <c r="L26" s="140">
        <f t="shared" si="5"/>
        <v>3.9190147012478027</v>
      </c>
      <c r="N26" s="150">
        <f t="shared" si="6"/>
        <v>-40.08029748716649</v>
      </c>
      <c r="O26" s="140">
        <f t="shared" si="7"/>
        <v>-5.4535238121406575</v>
      </c>
      <c r="Q26" s="150">
        <v>5.3491982680683856</v>
      </c>
      <c r="R26" s="140">
        <f t="shared" si="8"/>
        <v>0.72783841337787547</v>
      </c>
      <c r="T26" s="11"/>
    </row>
    <row r="27" spans="1:20" x14ac:dyDescent="0.3">
      <c r="A27" s="10" t="str">
        <f>name!$D23</f>
        <v>63 Community and civil enforcement occupations</v>
      </c>
      <c r="B27" s="150">
        <v>35.1715178590417</v>
      </c>
      <c r="C27" s="140">
        <f t="shared" si="0"/>
        <v>0.10450301145261867</v>
      </c>
      <c r="E27" s="150">
        <v>38.450806585208952</v>
      </c>
      <c r="F27" s="140">
        <f t="shared" si="1"/>
        <v>0.10993807509762164</v>
      </c>
      <c r="H27" s="150">
        <f t="shared" si="3"/>
        <v>3.2792887261672519</v>
      </c>
      <c r="I27" s="140">
        <f t="shared" si="4"/>
        <v>9.3237054462926174</v>
      </c>
      <c r="K27" s="207">
        <f t="shared" si="2"/>
        <v>1.3783769555478407</v>
      </c>
      <c r="L27" s="140">
        <f t="shared" si="5"/>
        <v>3.9190147012478027</v>
      </c>
      <c r="N27" s="150">
        <f t="shared" si="6"/>
        <v>1.6799126301893046</v>
      </c>
      <c r="O27" s="140">
        <f t="shared" si="7"/>
        <v>4.7763438499355004</v>
      </c>
      <c r="Q27" s="150">
        <v>0.22099914043010663</v>
      </c>
      <c r="R27" s="140">
        <f t="shared" si="8"/>
        <v>0.62834689510931463</v>
      </c>
      <c r="T27" s="171"/>
    </row>
    <row r="28" spans="1:20" x14ac:dyDescent="0.3">
      <c r="A28" s="10" t="str">
        <f>name!$D24</f>
        <v>71 Sales occupations</v>
      </c>
      <c r="B28" s="150">
        <v>2342.1745624620294</v>
      </c>
      <c r="C28" s="140">
        <f t="shared" si="0"/>
        <v>6.9591621295945556</v>
      </c>
      <c r="E28" s="150">
        <v>2182.3387584985444</v>
      </c>
      <c r="F28" s="140">
        <f t="shared" si="1"/>
        <v>6.239716240765552</v>
      </c>
      <c r="H28" s="150">
        <f t="shared" si="3"/>
        <v>-159.83580396348498</v>
      </c>
      <c r="I28" s="140">
        <f t="shared" si="4"/>
        <v>-6.8242481378275262</v>
      </c>
      <c r="K28" s="207">
        <f t="shared" si="2"/>
        <v>91.790165431773332</v>
      </c>
      <c r="L28" s="140">
        <f t="shared" si="5"/>
        <v>3.9190147012478027</v>
      </c>
      <c r="N28" s="150">
        <f t="shared" si="6"/>
        <v>-188.39102158527081</v>
      </c>
      <c r="O28" s="140">
        <f t="shared" si="7"/>
        <v>-8.0434236032022888</v>
      </c>
      <c r="Q28" s="150">
        <v>-63.23494780998751</v>
      </c>
      <c r="R28" s="140">
        <f t="shared" si="8"/>
        <v>-2.6998392358730374</v>
      </c>
      <c r="T28" s="11"/>
    </row>
    <row r="29" spans="1:20" x14ac:dyDescent="0.3">
      <c r="A29" s="10" t="str">
        <f>name!$D25</f>
        <v>72 Customer service occupations</v>
      </c>
      <c r="B29" s="150">
        <v>545.0861667470167</v>
      </c>
      <c r="C29" s="140">
        <f t="shared" si="0"/>
        <v>1.6195816784058334</v>
      </c>
      <c r="E29" s="150">
        <v>604.74815671761121</v>
      </c>
      <c r="F29" s="140">
        <f t="shared" si="1"/>
        <v>1.7290885204458633</v>
      </c>
      <c r="H29" s="150">
        <f t="shared" si="3"/>
        <v>59.661989970594504</v>
      </c>
      <c r="I29" s="140">
        <f t="shared" si="4"/>
        <v>10.945423606445059</v>
      </c>
      <c r="K29" s="207">
        <f t="shared" si="2"/>
        <v>21.362007009283698</v>
      </c>
      <c r="L29" s="140">
        <f t="shared" si="5"/>
        <v>3.9190147012478027</v>
      </c>
      <c r="N29" s="150">
        <f t="shared" si="6"/>
        <v>42.611936336267618</v>
      </c>
      <c r="O29" s="140">
        <f t="shared" si="7"/>
        <v>7.8174679409988599</v>
      </c>
      <c r="Q29" s="150">
        <v>-4.3119533749568113</v>
      </c>
      <c r="R29" s="140">
        <f t="shared" si="8"/>
        <v>-0.79105903580159265</v>
      </c>
      <c r="T29" s="11"/>
    </row>
    <row r="30" spans="1:20" x14ac:dyDescent="0.3">
      <c r="A30" s="10" t="str">
        <f>name!$D26</f>
        <v>81 Process, plant and machine operatives</v>
      </c>
      <c r="B30" s="150">
        <v>904.53857920670657</v>
      </c>
      <c r="C30" s="140">
        <f t="shared" si="0"/>
        <v>2.6876009696542966</v>
      </c>
      <c r="E30" s="150">
        <v>765.07385705408774</v>
      </c>
      <c r="F30" s="140">
        <f t="shared" si="1"/>
        <v>2.1874897985727717</v>
      </c>
      <c r="H30" s="150">
        <f t="shared" si="3"/>
        <v>-139.46472215261883</v>
      </c>
      <c r="I30" s="140">
        <f t="shared" si="4"/>
        <v>-15.418327682046618</v>
      </c>
      <c r="K30" s="207">
        <f t="shared" si="2"/>
        <v>35.448999897568832</v>
      </c>
      <c r="L30" s="140">
        <f t="shared" si="5"/>
        <v>3.9190147012478027</v>
      </c>
      <c r="N30" s="150">
        <f t="shared" si="6"/>
        <v>-167.14548943984389</v>
      </c>
      <c r="O30" s="140">
        <f t="shared" si="7"/>
        <v>-18.478536270551654</v>
      </c>
      <c r="Q30" s="150">
        <v>-7.7682326103437784</v>
      </c>
      <c r="R30" s="140">
        <f t="shared" si="8"/>
        <v>-0.85880611274276786</v>
      </c>
      <c r="T30" s="11"/>
    </row>
    <row r="31" spans="1:20" x14ac:dyDescent="0.3">
      <c r="A31" s="10" t="str">
        <f>name!$D27</f>
        <v>82 Transport and mobile machine drivers and operatives</v>
      </c>
      <c r="B31" s="150">
        <v>1208.479039683479</v>
      </c>
      <c r="C31" s="140">
        <f t="shared" si="0"/>
        <v>3.5906809433254629</v>
      </c>
      <c r="E31" s="150">
        <v>1192.1983711089595</v>
      </c>
      <c r="F31" s="140">
        <f t="shared" si="1"/>
        <v>3.4087189761230521</v>
      </c>
      <c r="H31" s="150">
        <f t="shared" si="3"/>
        <v>-16.280668574519495</v>
      </c>
      <c r="I31" s="140">
        <f t="shared" si="4"/>
        <v>-1.3472032232171527</v>
      </c>
      <c r="K31" s="207">
        <f t="shared" si="2"/>
        <v>47.360471226693811</v>
      </c>
      <c r="L31" s="140">
        <f t="shared" si="5"/>
        <v>3.9190147012478027</v>
      </c>
      <c r="N31" s="150">
        <f t="shared" si="6"/>
        <v>-83.668852865584924</v>
      </c>
      <c r="O31" s="140">
        <f t="shared" si="7"/>
        <v>-6.9234839925315717</v>
      </c>
      <c r="Q31" s="150">
        <v>20.027713064371618</v>
      </c>
      <c r="R31" s="140">
        <f t="shared" si="8"/>
        <v>1.6572660680666182</v>
      </c>
      <c r="T31" s="11"/>
    </row>
    <row r="32" spans="1:20" x14ac:dyDescent="0.3">
      <c r="A32" s="10" t="str">
        <f>name!$D28</f>
        <v>91 Elementary trades and related occupations</v>
      </c>
      <c r="B32" s="150">
        <v>586.32680498173522</v>
      </c>
      <c r="C32" s="140">
        <f t="shared" si="0"/>
        <v>1.7421175014837154</v>
      </c>
      <c r="E32" s="150">
        <v>464.80863120633876</v>
      </c>
      <c r="F32" s="140">
        <f t="shared" si="1"/>
        <v>1.328975143612257</v>
      </c>
      <c r="H32" s="150">
        <f t="shared" si="3"/>
        <v>-121.51817377539646</v>
      </c>
      <c r="I32" s="140">
        <f t="shared" si="4"/>
        <v>-20.725331460699959</v>
      </c>
      <c r="K32" s="207">
        <f t="shared" si="2"/>
        <v>22.978233684590737</v>
      </c>
      <c r="L32" s="140">
        <f t="shared" si="5"/>
        <v>3.9190147012478027</v>
      </c>
      <c r="N32" s="150">
        <f>H32-(K32+Q32)</f>
        <v>-145.13869977264241</v>
      </c>
      <c r="O32" s="140">
        <f t="shared" si="7"/>
        <v>-24.753891266691049</v>
      </c>
      <c r="Q32" s="150">
        <v>0.64229231265521569</v>
      </c>
      <c r="R32" s="140">
        <f t="shared" si="8"/>
        <v>0.10954510474328798</v>
      </c>
      <c r="T32" s="11"/>
    </row>
    <row r="33" spans="1:20" x14ac:dyDescent="0.3">
      <c r="A33" s="10" t="str">
        <f>name!$D29</f>
        <v>92 Elementary administration and service occupations</v>
      </c>
      <c r="B33" s="150">
        <v>3385.6988412834389</v>
      </c>
      <c r="C33" s="140">
        <f t="shared" si="0"/>
        <v>10.059722932736722</v>
      </c>
      <c r="E33" s="150">
        <v>3133.5251022906664</v>
      </c>
      <c r="F33" s="140">
        <f t="shared" si="1"/>
        <v>8.9593365812105432</v>
      </c>
      <c r="H33" s="150">
        <f t="shared" ref="H33" si="9">E33-B33</f>
        <v>-252.17373899277254</v>
      </c>
      <c r="I33" s="140">
        <f>IF(B33&lt;&gt;0,((E33/B33)-1)*100,0)</f>
        <v>-7.4482034821850673</v>
      </c>
      <c r="K33" s="207">
        <f t="shared" si="2"/>
        <v>132.68603532987447</v>
      </c>
      <c r="L33" s="140">
        <f t="shared" ref="L33" si="10">IF(B33&lt;&gt;0,K33/B33*100,0)</f>
        <v>3.9190147012478027</v>
      </c>
      <c r="N33" s="150">
        <f>H33-(K33+Q33)</f>
        <v>-388.56945974158992</v>
      </c>
      <c r="O33" s="140">
        <f t="shared" ref="O33" si="11">IF(B33&lt;&gt;0,N33/B33*100,0)</f>
        <v>-11.476787450897209</v>
      </c>
      <c r="Q33" s="150">
        <v>3.709685418942922</v>
      </c>
      <c r="R33" s="140">
        <f t="shared" ref="R33" si="12">IF(B33&lt;&gt;0,Q33/B33*100,0)</f>
        <v>0.10956926746434031</v>
      </c>
      <c r="T33" s="11"/>
    </row>
    <row r="34" spans="1:20" x14ac:dyDescent="0.3">
      <c r="A34" s="10"/>
      <c r="B34" s="150"/>
      <c r="C34" s="140"/>
      <c r="E34" s="150"/>
      <c r="F34" s="140"/>
      <c r="H34" s="150"/>
      <c r="I34" s="140"/>
      <c r="K34" s="207"/>
      <c r="L34" s="140"/>
      <c r="N34" s="150"/>
      <c r="O34" s="140"/>
      <c r="Q34" s="150"/>
      <c r="R34" s="140"/>
      <c r="T34" s="11"/>
    </row>
    <row r="35" spans="1:20" x14ac:dyDescent="0.3">
      <c r="A35" s="148" t="str">
        <f>name!$D$3</f>
        <v>All occupations</v>
      </c>
      <c r="B35" s="151">
        <f>SUM(B8:B33)</f>
        <v>33655.985000000073</v>
      </c>
      <c r="C35" s="146">
        <f>B35/B$35*100</f>
        <v>100</v>
      </c>
      <c r="D35" s="144"/>
      <c r="E35" s="151">
        <f>SUM(E8:E33)</f>
        <v>34974.967999999833</v>
      </c>
      <c r="F35" s="146">
        <f t="shared" ref="F35" si="13">E35/E$35*100</f>
        <v>100</v>
      </c>
      <c r="G35" s="144"/>
      <c r="H35" s="151">
        <f>E35-B35</f>
        <v>1318.9829999997601</v>
      </c>
      <c r="I35" s="146">
        <f t="shared" si="4"/>
        <v>3.9190147012478027</v>
      </c>
      <c r="J35" s="144"/>
      <c r="K35" s="151"/>
      <c r="L35" s="146"/>
      <c r="M35" s="144"/>
      <c r="N35" s="147"/>
      <c r="O35" s="146"/>
      <c r="P35" s="144"/>
      <c r="Q35" s="147"/>
      <c r="R35" s="146"/>
    </row>
    <row r="37" spans="1:20" ht="15.45" x14ac:dyDescent="0.4">
      <c r="A37" s="276" t="str">
        <f>CONCATENATE("ShiftShare Table 1.1  Shift-share by occupation, ",I40,", ",Info!B5)</f>
        <v>ShiftShare Table 1.1  Shift-share by occupation, 2020-2035, United Kingdom</v>
      </c>
    </row>
    <row r="38" spans="1:20" ht="15.45" x14ac:dyDescent="0.4">
      <c r="A38" s="276"/>
    </row>
    <row r="39" spans="1:20" x14ac:dyDescent="0.3">
      <c r="A39" s="145"/>
      <c r="B39" s="275"/>
      <c r="C39" s="275"/>
      <c r="D39" s="275"/>
      <c r="E39" s="275"/>
      <c r="F39" s="275"/>
      <c r="G39" s="275"/>
      <c r="H39" s="275"/>
      <c r="I39" s="275"/>
      <c r="J39" s="275"/>
      <c r="K39" s="378" t="str">
        <f>K3</f>
        <v>Components of change</v>
      </c>
      <c r="L39" s="378"/>
      <c r="M39" s="378"/>
      <c r="N39" s="378"/>
      <c r="O39" s="378"/>
      <c r="P39" s="378"/>
      <c r="Q39" s="378"/>
      <c r="R39" s="378"/>
    </row>
    <row r="40" spans="1:20" x14ac:dyDescent="0.3">
      <c r="B40" s="270" t="str">
        <f>B4</f>
        <v>Base year</v>
      </c>
      <c r="C40" s="271">
        <v>2020</v>
      </c>
      <c r="D40" s="135"/>
      <c r="E40" s="270" t="str">
        <f>E4</f>
        <v>Target year</v>
      </c>
      <c r="F40" s="275">
        <v>2035</v>
      </c>
      <c r="G40" s="135"/>
      <c r="H40" s="270" t="str">
        <f>H4</f>
        <v>Change</v>
      </c>
      <c r="I40" s="270" t="str">
        <f>CONCATENATE(C40,"-",F40)</f>
        <v>2020-2035</v>
      </c>
      <c r="J40" s="135"/>
      <c r="K40" s="377" t="str">
        <f>K4</f>
        <v>Scale effect</v>
      </c>
      <c r="L40" s="377"/>
      <c r="M40" s="135"/>
      <c r="N40" s="377" t="str">
        <f>N4</f>
        <v>Occupation effect</v>
      </c>
      <c r="O40" s="377"/>
      <c r="P40" s="135"/>
      <c r="Q40" s="377" t="str">
        <f>Q4</f>
        <v>Industry mix effect</v>
      </c>
      <c r="R40" s="377"/>
    </row>
    <row r="41" spans="1:20" x14ac:dyDescent="0.3">
      <c r="A41" s="142" t="str">
        <f>A5</f>
        <v>SOC2020 Sub-Major Groups</v>
      </c>
      <c r="B41" s="272" t="str">
        <f>B5</f>
        <v>000s</v>
      </c>
      <c r="C41" s="272" t="str">
        <f>C5</f>
        <v>% share</v>
      </c>
      <c r="D41" s="135"/>
      <c r="E41" s="272" t="str">
        <f>E5</f>
        <v>000s</v>
      </c>
      <c r="F41" s="272" t="str">
        <f>F5</f>
        <v>% share</v>
      </c>
      <c r="G41" s="135"/>
      <c r="H41" s="272" t="str">
        <f>H5</f>
        <v>000s</v>
      </c>
      <c r="I41" s="272" t="str">
        <f>I5</f>
        <v xml:space="preserve">%   </v>
      </c>
      <c r="J41" s="135"/>
      <c r="K41" s="272" t="str">
        <f>H41</f>
        <v>000s</v>
      </c>
      <c r="L41" s="272" t="str">
        <f>I41</f>
        <v xml:space="preserve">%   </v>
      </c>
      <c r="M41" s="135"/>
      <c r="N41" s="272" t="str">
        <f>K41</f>
        <v>000s</v>
      </c>
      <c r="O41" s="272" t="str">
        <f>L41</f>
        <v xml:space="preserve">%   </v>
      </c>
      <c r="P41" s="135"/>
      <c r="Q41" s="272" t="str">
        <f>Q5</f>
        <v>000s</v>
      </c>
      <c r="R41" s="272" t="str">
        <f>O41</f>
        <v xml:space="preserve">%   </v>
      </c>
    </row>
    <row r="42" spans="1:20" x14ac:dyDescent="0.3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3">
      <c r="A43" s="142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3"/>
    </row>
    <row r="44" spans="1:20" x14ac:dyDescent="0.3">
      <c r="A44" s="134" t="str">
        <f t="shared" ref="A44:A69" si="14">A8</f>
        <v>11 Corporate managers and directors</v>
      </c>
      <c r="B44" s="150">
        <v>2603.6149634867743</v>
      </c>
      <c r="C44" s="140">
        <f t="shared" ref="C44:C69" si="15">B44/B$71*100</f>
        <v>7.4442240046846839</v>
      </c>
      <c r="E44" s="150">
        <v>2681.2775346158387</v>
      </c>
      <c r="F44" s="140">
        <f t="shared" ref="F44:F69" si="16">E44/E$71*100</f>
        <v>7.1371557447167406</v>
      </c>
      <c r="H44" s="150">
        <f>E44-B44</f>
        <v>77.662571129064418</v>
      </c>
      <c r="I44" s="140">
        <f>IF(B44&gt;0,((E44/B44)-1)*100,0)</f>
        <v>2.9828746653483007</v>
      </c>
      <c r="K44" s="150">
        <f>(($E$71/$B$71)-1)*B44</f>
        <v>193.02158198644881</v>
      </c>
      <c r="L44" s="140">
        <f>IF(B44&gt;0,K44/B44*100,0)</f>
        <v>7.4135993491124097</v>
      </c>
      <c r="N44" s="150">
        <f>H44-(K44+Q44)</f>
        <v>-73.098066479868265</v>
      </c>
      <c r="O44" s="140">
        <f>IF(B44&gt;0,N44/B44*100,0)</f>
        <v>-2.8075605458179949</v>
      </c>
      <c r="Q44" s="150">
        <v>-42.260944377516125</v>
      </c>
      <c r="R44" s="140">
        <f>IF(B44&gt;0,Q44/B44*100,0)</f>
        <v>-1.6231641379461137</v>
      </c>
      <c r="T44" s="150"/>
    </row>
    <row r="45" spans="1:20" x14ac:dyDescent="0.3">
      <c r="A45" s="134" t="str">
        <f t="shared" si="14"/>
        <v>12 Other managers and proprietors</v>
      </c>
      <c r="B45" s="150">
        <v>1142.9442385679565</v>
      </c>
      <c r="C45" s="140">
        <f t="shared" si="15"/>
        <v>3.2678921638125926</v>
      </c>
      <c r="E45" s="150">
        <v>1636.9713357379442</v>
      </c>
      <c r="F45" s="140">
        <f t="shared" si="16"/>
        <v>4.3573704034605418</v>
      </c>
      <c r="H45" s="150">
        <f t="shared" ref="H45:H71" si="17">E45-B45</f>
        <v>494.02709716998766</v>
      </c>
      <c r="I45" s="140">
        <f t="shared" ref="I45:I71" si="18">IF(B45&gt;0,((E45/B45)-1)*100,0)</f>
        <v>43.224076949630998</v>
      </c>
      <c r="K45" s="150">
        <f t="shared" ref="K45:K68" si="19">(($E$71/$B$71)-1)*B45</f>
        <v>84.733306631191809</v>
      </c>
      <c r="L45" s="140">
        <f t="shared" ref="L45:L68" si="20">IF(B45&gt;0,K45/B45*100,0)</f>
        <v>7.4135993491124097</v>
      </c>
      <c r="N45" s="150">
        <f t="shared" ref="N45:N68" si="21">H45-(K45+Q45)</f>
        <v>396.12247812287535</v>
      </c>
      <c r="O45" s="140">
        <f t="shared" ref="O45:O68" si="22">IF(B45&gt;0,N45/B45*100,0)</f>
        <v>34.658075587238976</v>
      </c>
      <c r="Q45" s="150">
        <v>13.17131241592053</v>
      </c>
      <c r="R45" s="140">
        <f>IF(B45&gt;0,Q45/B45*100,0)</f>
        <v>1.152402013279618</v>
      </c>
      <c r="T45" s="150"/>
    </row>
    <row r="46" spans="1:20" x14ac:dyDescent="0.3">
      <c r="A46" s="134" t="str">
        <f t="shared" si="14"/>
        <v>21 Science, research, engineering and technology professionals</v>
      </c>
      <c r="B46" s="150">
        <v>2168.4893984676792</v>
      </c>
      <c r="C46" s="140">
        <f t="shared" si="15"/>
        <v>6.2001183202446093</v>
      </c>
      <c r="E46" s="150">
        <v>2562.9828232040827</v>
      </c>
      <c r="F46" s="140">
        <f t="shared" si="16"/>
        <v>6.8222730933604012</v>
      </c>
      <c r="H46" s="150">
        <f t="shared" si="17"/>
        <v>394.49342473640354</v>
      </c>
      <c r="I46" s="140">
        <f t="shared" si="18"/>
        <v>18.192084545820908</v>
      </c>
      <c r="K46" s="150">
        <f t="shared" si="19"/>
        <v>160.76311593037147</v>
      </c>
      <c r="L46" s="140">
        <f t="shared" si="20"/>
        <v>7.4135993491124097</v>
      </c>
      <c r="N46" s="150">
        <f t="shared" si="21"/>
        <v>243.90582527181863</v>
      </c>
      <c r="O46" s="140">
        <f t="shared" si="22"/>
        <v>11.247729661218079</v>
      </c>
      <c r="Q46" s="150">
        <v>-10.175516465786552</v>
      </c>
      <c r="R46" s="140">
        <f t="shared" ref="R46:R68" si="23">IF(B46&gt;0,Q46/B46*100,0)</f>
        <v>-0.46924446450957435</v>
      </c>
      <c r="T46" s="150"/>
    </row>
    <row r="47" spans="1:20" x14ac:dyDescent="0.3">
      <c r="A47" s="134" t="str">
        <f t="shared" si="14"/>
        <v>22 Health professionals</v>
      </c>
      <c r="B47" s="150">
        <v>1652.6894842034105</v>
      </c>
      <c r="C47" s="140">
        <f t="shared" si="15"/>
        <v>4.7253495248470809</v>
      </c>
      <c r="E47" s="150">
        <v>1962.7779742263765</v>
      </c>
      <c r="F47" s="140">
        <f t="shared" si="16"/>
        <v>5.2246184565002016</v>
      </c>
      <c r="H47" s="150">
        <f t="shared" si="17"/>
        <v>310.08849002296597</v>
      </c>
      <c r="I47" s="140">
        <f t="shared" si="18"/>
        <v>18.762658865251236</v>
      </c>
      <c r="K47" s="150">
        <f t="shared" si="19"/>
        <v>122.52377684375328</v>
      </c>
      <c r="L47" s="140">
        <f t="shared" si="20"/>
        <v>7.4135993491124097</v>
      </c>
      <c r="N47" s="150">
        <f t="shared" si="21"/>
        <v>114.05945041022602</v>
      </c>
      <c r="O47" s="140">
        <f t="shared" si="22"/>
        <v>6.9014446755073413</v>
      </c>
      <c r="Q47" s="150">
        <v>73.505262768986682</v>
      </c>
      <c r="R47" s="140">
        <f t="shared" si="23"/>
        <v>4.4476148406314762</v>
      </c>
      <c r="T47" s="150"/>
    </row>
    <row r="48" spans="1:20" x14ac:dyDescent="0.3">
      <c r="A48" s="134" t="str">
        <f t="shared" si="14"/>
        <v>23 Teaching and other educational professionals</v>
      </c>
      <c r="B48" s="150">
        <v>1814.3949916428305</v>
      </c>
      <c r="C48" s="140">
        <f t="shared" si="15"/>
        <v>5.1876959305376324</v>
      </c>
      <c r="E48" s="150">
        <v>2082.0254777556443</v>
      </c>
      <c r="F48" s="140">
        <f t="shared" si="16"/>
        <v>5.5420372965379538</v>
      </c>
      <c r="H48" s="150">
        <f t="shared" si="17"/>
        <v>267.63048611281374</v>
      </c>
      <c r="I48" s="140">
        <f t="shared" si="18"/>
        <v>14.750398195846515</v>
      </c>
      <c r="K48" s="150">
        <f t="shared" si="19"/>
        <v>134.51197529076106</v>
      </c>
      <c r="L48" s="140">
        <f t="shared" si="20"/>
        <v>7.4135993491124115</v>
      </c>
      <c r="N48" s="150">
        <f t="shared" si="21"/>
        <v>161.77033203393657</v>
      </c>
      <c r="O48" s="140">
        <f t="shared" si="22"/>
        <v>8.9159379726606733</v>
      </c>
      <c r="Q48" s="150">
        <v>-28.651821211883881</v>
      </c>
      <c r="R48" s="140">
        <f t="shared" si="23"/>
        <v>-1.5791391259265604</v>
      </c>
      <c r="T48" s="150"/>
    </row>
    <row r="49" spans="1:20" x14ac:dyDescent="0.3">
      <c r="A49" s="134" t="str">
        <f t="shared" si="14"/>
        <v>24 Business, media and public service professionals</v>
      </c>
      <c r="B49" s="150">
        <v>2564.0058358864653</v>
      </c>
      <c r="C49" s="140">
        <f t="shared" si="15"/>
        <v>7.3309740723321815</v>
      </c>
      <c r="E49" s="150">
        <v>3234.0308052677001</v>
      </c>
      <c r="F49" s="140">
        <f t="shared" si="16"/>
        <v>8.6085014484389522</v>
      </c>
      <c r="H49" s="150">
        <f t="shared" si="17"/>
        <v>670.02496938123477</v>
      </c>
      <c r="I49" s="140">
        <f t="shared" si="18"/>
        <v>26.131959608024214</v>
      </c>
      <c r="K49" s="150">
        <f t="shared" si="19"/>
        <v>190.08511996048318</v>
      </c>
      <c r="L49" s="140">
        <f t="shared" si="20"/>
        <v>7.4135993491124097</v>
      </c>
      <c r="N49" s="150">
        <f t="shared" si="21"/>
        <v>481.44925617262402</v>
      </c>
      <c r="O49" s="140">
        <f t="shared" si="22"/>
        <v>18.777229343012412</v>
      </c>
      <c r="Q49" s="150">
        <v>-1.5094067518724332</v>
      </c>
      <c r="R49" s="140">
        <f t="shared" si="23"/>
        <v>-5.8869084100605373E-2</v>
      </c>
      <c r="T49" s="150"/>
    </row>
    <row r="50" spans="1:20" x14ac:dyDescent="0.3">
      <c r="A50" s="134" t="str">
        <f t="shared" si="14"/>
        <v>31 Science, engineering and technology associate professionals</v>
      </c>
      <c r="B50" s="150">
        <v>694.16022623804326</v>
      </c>
      <c r="C50" s="140">
        <f t="shared" si="15"/>
        <v>1.9847344141617131</v>
      </c>
      <c r="E50" s="150">
        <v>660.15471895472103</v>
      </c>
      <c r="F50" s="140">
        <f t="shared" si="16"/>
        <v>1.7572321342947488</v>
      </c>
      <c r="H50" s="150">
        <f t="shared" si="17"/>
        <v>-34.005507283322231</v>
      </c>
      <c r="I50" s="140">
        <f t="shared" si="18"/>
        <v>-4.8987980005153702</v>
      </c>
      <c r="K50" s="150">
        <f t="shared" si="19"/>
        <v>51.462258014180804</v>
      </c>
      <c r="L50" s="140">
        <f t="shared" si="20"/>
        <v>7.4135993491124097</v>
      </c>
      <c r="N50" s="150">
        <f t="shared" si="21"/>
        <v>-75.73680170648565</v>
      </c>
      <c r="O50" s="140">
        <f t="shared" si="22"/>
        <v>-10.910564858625852</v>
      </c>
      <c r="Q50" s="150">
        <v>-9.7309635910173835</v>
      </c>
      <c r="R50" s="140">
        <f t="shared" si="23"/>
        <v>-1.4018324910019284</v>
      </c>
      <c r="T50" s="150"/>
    </row>
    <row r="51" spans="1:20" x14ac:dyDescent="0.3">
      <c r="A51" s="134" t="str">
        <f t="shared" si="14"/>
        <v>32 Health and social care associate professionals</v>
      </c>
      <c r="B51" s="150">
        <v>684.34670849941995</v>
      </c>
      <c r="C51" s="140">
        <f t="shared" si="15"/>
        <v>1.9566757244764976</v>
      </c>
      <c r="E51" s="150">
        <v>766.0236239924069</v>
      </c>
      <c r="F51" s="140">
        <f t="shared" si="16"/>
        <v>2.039039166212036</v>
      </c>
      <c r="H51" s="150">
        <f t="shared" si="17"/>
        <v>81.67691549298695</v>
      </c>
      <c r="I51" s="140">
        <f t="shared" si="18"/>
        <v>11.935019848649731</v>
      </c>
      <c r="K51" s="150">
        <f t="shared" si="19"/>
        <v>50.734723126985195</v>
      </c>
      <c r="L51" s="140">
        <f t="shared" si="20"/>
        <v>7.4135993491124097</v>
      </c>
      <c r="N51" s="150">
        <f t="shared" si="21"/>
        <v>0.71500926569754597</v>
      </c>
      <c r="O51" s="140">
        <f t="shared" si="22"/>
        <v>0.10448055887714583</v>
      </c>
      <c r="Q51" s="150">
        <v>30.22718310030421</v>
      </c>
      <c r="R51" s="140">
        <f t="shared" si="23"/>
        <v>4.4169399406601855</v>
      </c>
      <c r="T51" s="150"/>
    </row>
    <row r="52" spans="1:20" x14ac:dyDescent="0.3">
      <c r="A52" s="134" t="str">
        <f t="shared" si="14"/>
        <v>33 Protective service occupations</v>
      </c>
      <c r="B52" s="150">
        <v>396.95240357529076</v>
      </c>
      <c r="C52" s="140">
        <f t="shared" si="15"/>
        <v>1.1349614489291102</v>
      </c>
      <c r="E52" s="150">
        <v>540.74077072874798</v>
      </c>
      <c r="F52" s="140">
        <f t="shared" si="16"/>
        <v>1.4393702436186606</v>
      </c>
      <c r="H52" s="150">
        <f t="shared" si="17"/>
        <v>143.78836715345722</v>
      </c>
      <c r="I52" s="140">
        <f t="shared" si="18"/>
        <v>36.223075073579849</v>
      </c>
      <c r="K52" s="150">
        <f t="shared" si="19"/>
        <v>29.428460807743821</v>
      </c>
      <c r="L52" s="140">
        <f t="shared" si="20"/>
        <v>7.4135993491124097</v>
      </c>
      <c r="N52" s="150">
        <f t="shared" si="21"/>
        <v>121.30252421071452</v>
      </c>
      <c r="O52" s="140">
        <f t="shared" si="22"/>
        <v>30.558455653161658</v>
      </c>
      <c r="Q52" s="150">
        <v>-6.9426178650011243</v>
      </c>
      <c r="R52" s="140">
        <f t="shared" si="23"/>
        <v>-1.7489799286942231</v>
      </c>
      <c r="T52" s="150"/>
    </row>
    <row r="53" spans="1:20" x14ac:dyDescent="0.3">
      <c r="A53" s="134" t="str">
        <f t="shared" si="14"/>
        <v>34 Culture, media and sports occupations</v>
      </c>
      <c r="B53" s="150">
        <v>752.69702031034967</v>
      </c>
      <c r="C53" s="140">
        <f t="shared" si="15"/>
        <v>2.1521020985933519</v>
      </c>
      <c r="E53" s="150">
        <v>831.23766135714891</v>
      </c>
      <c r="F53" s="140">
        <f t="shared" si="16"/>
        <v>2.2126290819909809</v>
      </c>
      <c r="H53" s="150">
        <f t="shared" si="17"/>
        <v>78.540641046799237</v>
      </c>
      <c r="I53" s="140">
        <f t="shared" si="18"/>
        <v>10.434562503570909</v>
      </c>
      <c r="K53" s="150">
        <f t="shared" si="19"/>
        <v>55.801941398516583</v>
      </c>
      <c r="L53" s="140">
        <f t="shared" si="20"/>
        <v>7.4135993491124097</v>
      </c>
      <c r="N53" s="150">
        <f t="shared" si="21"/>
        <v>21.928581981315375</v>
      </c>
      <c r="O53" s="140">
        <f t="shared" si="22"/>
        <v>2.9133345010817036</v>
      </c>
      <c r="Q53" s="150">
        <v>0.81011766696728071</v>
      </c>
      <c r="R53" s="140">
        <f t="shared" si="23"/>
        <v>0.1076286533767937</v>
      </c>
      <c r="T53" s="150"/>
    </row>
    <row r="54" spans="1:20" x14ac:dyDescent="0.3">
      <c r="A54" s="134" t="str">
        <f t="shared" si="14"/>
        <v>35 Business and public service associate professionals</v>
      </c>
      <c r="B54" s="150">
        <v>2253.7675379132588</v>
      </c>
      <c r="C54" s="140">
        <f t="shared" si="15"/>
        <v>6.443944531738441</v>
      </c>
      <c r="E54" s="150">
        <v>2280.1601708895205</v>
      </c>
      <c r="F54" s="140">
        <f t="shared" si="16"/>
        <v>6.0694419180557118</v>
      </c>
      <c r="H54" s="150">
        <f t="shared" si="17"/>
        <v>26.392632976261666</v>
      </c>
      <c r="I54" s="140">
        <f t="shared" si="18"/>
        <v>1.1710450404613715</v>
      </c>
      <c r="K54" s="150">
        <f t="shared" si="19"/>
        <v>167.08529552124415</v>
      </c>
      <c r="L54" s="140">
        <f t="shared" si="20"/>
        <v>7.4135993491124097</v>
      </c>
      <c r="N54" s="150">
        <f t="shared" si="21"/>
        <v>-109.17697315437348</v>
      </c>
      <c r="O54" s="140">
        <f t="shared" si="22"/>
        <v>-4.8441984950878902</v>
      </c>
      <c r="Q54" s="150">
        <v>-31.515689390609005</v>
      </c>
      <c r="R54" s="140">
        <f t="shared" si="23"/>
        <v>-1.3983558135631446</v>
      </c>
      <c r="T54" s="150"/>
    </row>
    <row r="55" spans="1:20" x14ac:dyDescent="0.3">
      <c r="A55" s="134" t="str">
        <f t="shared" si="14"/>
        <v>41 Administrative occupations</v>
      </c>
      <c r="B55" s="150">
        <v>3065.8450120205653</v>
      </c>
      <c r="C55" s="140">
        <f t="shared" si="15"/>
        <v>8.7658264963118189</v>
      </c>
      <c r="E55" s="150">
        <v>2684.5081609977879</v>
      </c>
      <c r="F55" s="140">
        <f t="shared" si="16"/>
        <v>7.1457551841046003</v>
      </c>
      <c r="H55" s="150">
        <f t="shared" si="17"/>
        <v>-381.33685102277741</v>
      </c>
      <c r="I55" s="140">
        <f t="shared" si="18"/>
        <v>-12.438229901630116</v>
      </c>
      <c r="K55" s="150">
        <f t="shared" si="19"/>
        <v>227.2894658559519</v>
      </c>
      <c r="L55" s="140">
        <f t="shared" si="20"/>
        <v>7.4135993491124097</v>
      </c>
      <c r="N55" s="150">
        <f t="shared" si="21"/>
        <v>-579.17642493851076</v>
      </c>
      <c r="O55" s="140">
        <f t="shared" si="22"/>
        <v>-18.891249318464432</v>
      </c>
      <c r="Q55" s="150">
        <v>-29.449891940218567</v>
      </c>
      <c r="R55" s="140">
        <f t="shared" si="23"/>
        <v>-0.96057993227809724</v>
      </c>
      <c r="T55" s="150"/>
    </row>
    <row r="56" spans="1:20" x14ac:dyDescent="0.3">
      <c r="A56" s="134" t="str">
        <f t="shared" si="14"/>
        <v>42 Secretarial and related occupations</v>
      </c>
      <c r="B56" s="150">
        <v>675.89827543689773</v>
      </c>
      <c r="C56" s="140">
        <f t="shared" si="15"/>
        <v>1.9325200681724739</v>
      </c>
      <c r="E56" s="150">
        <v>570.45465442441707</v>
      </c>
      <c r="F56" s="140">
        <f t="shared" si="16"/>
        <v>1.5184641132306231</v>
      </c>
      <c r="H56" s="150">
        <f t="shared" si="17"/>
        <v>-105.44362101248066</v>
      </c>
      <c r="I56" s="140">
        <f t="shared" si="18"/>
        <v>-15.600516356447624</v>
      </c>
      <c r="K56" s="150">
        <f t="shared" si="19"/>
        <v>50.108390148451853</v>
      </c>
      <c r="L56" s="140">
        <f t="shared" si="20"/>
        <v>7.4135993491124097</v>
      </c>
      <c r="N56" s="150">
        <f t="shared" si="21"/>
        <v>-165.63941209164682</v>
      </c>
      <c r="O56" s="140">
        <f t="shared" si="22"/>
        <v>-24.50655936125569</v>
      </c>
      <c r="Q56" s="150">
        <v>10.087400930714297</v>
      </c>
      <c r="R56" s="140">
        <f t="shared" si="23"/>
        <v>1.4924436556956511</v>
      </c>
      <c r="T56" s="150"/>
    </row>
    <row r="57" spans="1:20" x14ac:dyDescent="0.3">
      <c r="A57" s="134" t="str">
        <f t="shared" si="14"/>
        <v>51 Skilled agricultural and related trades</v>
      </c>
      <c r="B57" s="150">
        <v>376.47025514650636</v>
      </c>
      <c r="C57" s="140">
        <f t="shared" si="15"/>
        <v>1.0763991410842981</v>
      </c>
      <c r="E57" s="150">
        <v>423.49261595568004</v>
      </c>
      <c r="F57" s="140">
        <f t="shared" si="16"/>
        <v>1.1272733679343854</v>
      </c>
      <c r="H57" s="150">
        <f t="shared" si="17"/>
        <v>47.022360809173676</v>
      </c>
      <c r="I57" s="140">
        <f t="shared" si="18"/>
        <v>12.49032564096586</v>
      </c>
      <c r="K57" s="150">
        <f t="shared" si="19"/>
        <v>27.909996385143224</v>
      </c>
      <c r="L57" s="140">
        <f t="shared" si="20"/>
        <v>7.4135993491124097</v>
      </c>
      <c r="N57" s="150">
        <f t="shared" si="21"/>
        <v>27.469426690292863</v>
      </c>
      <c r="O57" s="140">
        <f t="shared" si="22"/>
        <v>7.2965729203766498</v>
      </c>
      <c r="Q57" s="150">
        <v>-8.3570622662624121</v>
      </c>
      <c r="R57" s="140">
        <f t="shared" si="23"/>
        <v>-2.2198466285232006</v>
      </c>
      <c r="T57" s="150"/>
    </row>
    <row r="58" spans="1:20" x14ac:dyDescent="0.3">
      <c r="A58" s="134" t="str">
        <f t="shared" si="14"/>
        <v>52 Skilled metal, electrical and electronic trades</v>
      </c>
      <c r="B58" s="150">
        <v>1101.9773582511193</v>
      </c>
      <c r="C58" s="140">
        <f t="shared" si="15"/>
        <v>3.1507601615278804</v>
      </c>
      <c r="E58" s="150">
        <v>1030.1623941830187</v>
      </c>
      <c r="F58" s="140">
        <f t="shared" si="16"/>
        <v>2.7421366698199354</v>
      </c>
      <c r="H58" s="150">
        <f t="shared" si="17"/>
        <v>-71.814964068100608</v>
      </c>
      <c r="I58" s="140">
        <f t="shared" si="18"/>
        <v>-6.5169182951339106</v>
      </c>
      <c r="K58" s="150">
        <f t="shared" si="19"/>
        <v>81.696186258671105</v>
      </c>
      <c r="L58" s="140">
        <f t="shared" si="20"/>
        <v>7.4135993491124097</v>
      </c>
      <c r="N58" s="150">
        <f t="shared" si="21"/>
        <v>-103.29800179159264</v>
      </c>
      <c r="O58" s="140">
        <f t="shared" si="22"/>
        <v>-9.373876969262831</v>
      </c>
      <c r="Q58" s="150">
        <v>-50.213148535179073</v>
      </c>
      <c r="R58" s="140">
        <f t="shared" si="23"/>
        <v>-4.5566406749834938</v>
      </c>
      <c r="T58" s="150"/>
    </row>
    <row r="59" spans="1:20" x14ac:dyDescent="0.3">
      <c r="A59" s="134" t="str">
        <f t="shared" si="14"/>
        <v>53 Skilled construction and building trades</v>
      </c>
      <c r="B59" s="150">
        <v>902.6086997361848</v>
      </c>
      <c r="C59" s="140">
        <f t="shared" si="15"/>
        <v>2.5807277357228435</v>
      </c>
      <c r="E59" s="150">
        <v>888.79123577476093</v>
      </c>
      <c r="F59" s="140">
        <f t="shared" si="16"/>
        <v>2.3658280026474712</v>
      </c>
      <c r="H59" s="150">
        <f t="shared" si="17"/>
        <v>-13.817463961423869</v>
      </c>
      <c r="I59" s="140">
        <f t="shared" si="18"/>
        <v>-1.5308365591271689</v>
      </c>
      <c r="K59" s="150">
        <f t="shared" si="19"/>
        <v>66.915792688673776</v>
      </c>
      <c r="L59" s="140">
        <f t="shared" si="20"/>
        <v>7.4135993491124097</v>
      </c>
      <c r="N59" s="150">
        <f t="shared" si="21"/>
        <v>-90.720207988677728</v>
      </c>
      <c r="O59" s="140">
        <f t="shared" si="22"/>
        <v>-10.050890049607709</v>
      </c>
      <c r="Q59" s="150">
        <v>9.986951338580079</v>
      </c>
      <c r="R59" s="140">
        <f t="shared" si="23"/>
        <v>1.1064541413681337</v>
      </c>
      <c r="T59" s="150"/>
    </row>
    <row r="60" spans="1:20" x14ac:dyDescent="0.3">
      <c r="A60" s="134" t="str">
        <f t="shared" si="14"/>
        <v>54 Textiles, printing and other skilled trades</v>
      </c>
      <c r="B60" s="150">
        <v>647.87195370468623</v>
      </c>
      <c r="C60" s="140">
        <f t="shared" si="15"/>
        <v>1.8523875524480518</v>
      </c>
      <c r="E60" s="150">
        <v>647.60661016517849</v>
      </c>
      <c r="F60" s="140">
        <f t="shared" si="16"/>
        <v>1.7238309643015628</v>
      </c>
      <c r="H60" s="150">
        <f t="shared" si="17"/>
        <v>-0.26534353950773948</v>
      </c>
      <c r="I60" s="140">
        <f t="shared" si="18"/>
        <v>-4.0956170118255919E-2</v>
      </c>
      <c r="K60" s="150">
        <f t="shared" si="19"/>
        <v>48.030630942932468</v>
      </c>
      <c r="L60" s="140">
        <f t="shared" si="20"/>
        <v>7.4135993491124097</v>
      </c>
      <c r="N60" s="150">
        <f t="shared" si="21"/>
        <v>-56.691874729641533</v>
      </c>
      <c r="O60" s="140">
        <f t="shared" si="22"/>
        <v>-8.7504752143481266</v>
      </c>
      <c r="Q60" s="150">
        <v>8.3959002472013253</v>
      </c>
      <c r="R60" s="140">
        <f t="shared" si="23"/>
        <v>1.2959196951174636</v>
      </c>
      <c r="T60" s="150"/>
    </row>
    <row r="61" spans="1:20" x14ac:dyDescent="0.3">
      <c r="A61" s="134" t="str">
        <f t="shared" si="14"/>
        <v>61 Caring personal service occupations</v>
      </c>
      <c r="B61" s="150">
        <v>2366.0754145696519</v>
      </c>
      <c r="C61" s="140">
        <f t="shared" si="15"/>
        <v>6.7650538367030473</v>
      </c>
      <c r="E61" s="150">
        <v>2831.8232058057956</v>
      </c>
      <c r="F61" s="140">
        <f t="shared" si="16"/>
        <v>7.5378855789483845</v>
      </c>
      <c r="H61" s="150">
        <f t="shared" si="17"/>
        <v>465.74779123614371</v>
      </c>
      <c r="I61" s="140">
        <f t="shared" si="18"/>
        <v>19.684401789063656</v>
      </c>
      <c r="K61" s="150">
        <f t="shared" si="19"/>
        <v>175.41135153404446</v>
      </c>
      <c r="L61" s="140">
        <f t="shared" si="20"/>
        <v>7.4135993491124097</v>
      </c>
      <c r="N61" s="150">
        <f t="shared" si="21"/>
        <v>191.16785489579627</v>
      </c>
      <c r="O61" s="140">
        <f t="shared" si="22"/>
        <v>8.0795334636688398</v>
      </c>
      <c r="Q61" s="150">
        <v>99.168584806302988</v>
      </c>
      <c r="R61" s="140">
        <f t="shared" si="23"/>
        <v>4.1912689762823998</v>
      </c>
      <c r="T61" s="150"/>
    </row>
    <row r="62" spans="1:20" x14ac:dyDescent="0.3">
      <c r="A62" s="134" t="str">
        <f t="shared" si="14"/>
        <v>62 Leisure, travel and related personal service occupations</v>
      </c>
      <c r="B62" s="150">
        <v>729.01453888132892</v>
      </c>
      <c r="C62" s="140">
        <f t="shared" si="15"/>
        <v>2.0843894378440386</v>
      </c>
      <c r="E62" s="150">
        <v>769.83325122450708</v>
      </c>
      <c r="F62" s="140">
        <f t="shared" si="16"/>
        <v>2.0491798183951042</v>
      </c>
      <c r="H62" s="150">
        <f t="shared" si="17"/>
        <v>40.818712343178163</v>
      </c>
      <c r="I62" s="140">
        <f t="shared" si="18"/>
        <v>5.5991630024024408</v>
      </c>
      <c r="K62" s="150">
        <f t="shared" si="19"/>
        <v>54.046217109441038</v>
      </c>
      <c r="L62" s="140">
        <f t="shared" si="20"/>
        <v>7.4135993491124097</v>
      </c>
      <c r="N62" s="150">
        <f t="shared" si="21"/>
        <v>-8.816547282739144</v>
      </c>
      <c r="O62" s="140">
        <f t="shared" si="22"/>
        <v>-1.2093788000810128</v>
      </c>
      <c r="Q62" s="150">
        <v>-4.410957483523732</v>
      </c>
      <c r="R62" s="140">
        <f t="shared" si="23"/>
        <v>-0.6050575466289515</v>
      </c>
      <c r="T62" s="150"/>
    </row>
    <row r="63" spans="1:20" x14ac:dyDescent="0.3">
      <c r="A63" s="134" t="str">
        <f t="shared" si="14"/>
        <v>63 Community and civil enforcement occupations</v>
      </c>
      <c r="B63" s="150">
        <v>38.450806585208952</v>
      </c>
      <c r="C63" s="140">
        <f t="shared" si="15"/>
        <v>0.10993807509762164</v>
      </c>
      <c r="E63" s="150">
        <v>33.642958409426491</v>
      </c>
      <c r="F63" s="140">
        <f t="shared" si="16"/>
        <v>8.9552472946634848E-2</v>
      </c>
      <c r="H63" s="150">
        <f t="shared" si="17"/>
        <v>-4.8078481757824605</v>
      </c>
      <c r="I63" s="140">
        <f t="shared" si="18"/>
        <v>-12.503894203436339</v>
      </c>
      <c r="K63" s="150">
        <f t="shared" si="19"/>
        <v>2.8505887467295223</v>
      </c>
      <c r="L63" s="140">
        <f t="shared" si="20"/>
        <v>7.4135993491124097</v>
      </c>
      <c r="N63" s="150">
        <f t="shared" si="21"/>
        <v>-8.1178583659197621</v>
      </c>
      <c r="O63" s="140">
        <f t="shared" si="22"/>
        <v>-21.112322697132953</v>
      </c>
      <c r="Q63" s="150">
        <v>0.45942144340777991</v>
      </c>
      <c r="R63" s="140">
        <f t="shared" si="23"/>
        <v>1.1948291445842065</v>
      </c>
      <c r="T63" s="150"/>
    </row>
    <row r="64" spans="1:20" x14ac:dyDescent="0.3">
      <c r="A64" s="134" t="str">
        <f t="shared" si="14"/>
        <v>71 Sales occupations</v>
      </c>
      <c r="B64" s="150">
        <v>2182.3387584985444</v>
      </c>
      <c r="C64" s="140">
        <f t="shared" si="15"/>
        <v>6.239716240765552</v>
      </c>
      <c r="E64" s="150">
        <v>1927.0365395209469</v>
      </c>
      <c r="F64" s="140">
        <f t="shared" si="16"/>
        <v>5.1294801566640293</v>
      </c>
      <c r="H64" s="150">
        <f t="shared" si="17"/>
        <v>-255.30221897759748</v>
      </c>
      <c r="I64" s="140">
        <f t="shared" si="18"/>
        <v>-11.698560454163687</v>
      </c>
      <c r="K64" s="150">
        <f t="shared" si="19"/>
        <v>161.78985199547594</v>
      </c>
      <c r="L64" s="140">
        <f t="shared" si="20"/>
        <v>7.4135993491124097</v>
      </c>
      <c r="N64" s="150">
        <f t="shared" si="21"/>
        <v>-339.54172245393261</v>
      </c>
      <c r="O64" s="140">
        <f t="shared" si="22"/>
        <v>-15.558616696499417</v>
      </c>
      <c r="Q64" s="150">
        <v>-77.55034851914084</v>
      </c>
      <c r="R64" s="140">
        <f t="shared" si="23"/>
        <v>-3.5535431067766821</v>
      </c>
      <c r="T64" s="150"/>
    </row>
    <row r="65" spans="1:20" x14ac:dyDescent="0.3">
      <c r="A65" s="134" t="str">
        <f t="shared" si="14"/>
        <v>72 Customer service occupations</v>
      </c>
      <c r="B65" s="150">
        <v>604.74815671761121</v>
      </c>
      <c r="C65" s="140">
        <f t="shared" si="15"/>
        <v>1.7290885204458633</v>
      </c>
      <c r="E65" s="150">
        <v>889.38998169618799</v>
      </c>
      <c r="F65" s="140">
        <f t="shared" si="16"/>
        <v>2.3674217738395873</v>
      </c>
      <c r="H65" s="150">
        <f t="shared" si="17"/>
        <v>284.64182497857678</v>
      </c>
      <c r="I65" s="140">
        <f t="shared" si="18"/>
        <v>47.067828453339303</v>
      </c>
      <c r="K65" s="150">
        <f t="shared" si="19"/>
        <v>44.833605410186117</v>
      </c>
      <c r="L65" s="140">
        <f t="shared" si="20"/>
        <v>7.4135993491124097</v>
      </c>
      <c r="N65" s="150">
        <f t="shared" si="21"/>
        <v>243.92501802785029</v>
      </c>
      <c r="O65" s="140">
        <f t="shared" si="22"/>
        <v>40.334975033541397</v>
      </c>
      <c r="Q65" s="150">
        <v>-4.1167984594596314</v>
      </c>
      <c r="R65" s="140">
        <f t="shared" si="23"/>
        <v>-0.6807459293145034</v>
      </c>
      <c r="T65" s="150"/>
    </row>
    <row r="66" spans="1:20" x14ac:dyDescent="0.3">
      <c r="A66" s="134" t="str">
        <f t="shared" si="14"/>
        <v>81 Process, plant and machine operatives</v>
      </c>
      <c r="B66" s="150">
        <v>765.07385705408774</v>
      </c>
      <c r="C66" s="140">
        <f t="shared" si="15"/>
        <v>2.1874897985727717</v>
      </c>
      <c r="E66" s="150">
        <v>906.8322616503707</v>
      </c>
      <c r="F66" s="140">
        <f t="shared" si="16"/>
        <v>2.4138504881255138</v>
      </c>
      <c r="H66" s="150">
        <f t="shared" si="17"/>
        <v>141.75840459628296</v>
      </c>
      <c r="I66" s="140">
        <f t="shared" si="18"/>
        <v>18.528721546194625</v>
      </c>
      <c r="K66" s="150">
        <f t="shared" si="19"/>
        <v>56.719510486791059</v>
      </c>
      <c r="L66" s="140">
        <f t="shared" si="20"/>
        <v>7.4135993491124097</v>
      </c>
      <c r="N66" s="150">
        <f t="shared" si="21"/>
        <v>141.35428525474458</v>
      </c>
      <c r="O66" s="140">
        <f t="shared" si="22"/>
        <v>18.475900588085494</v>
      </c>
      <c r="Q66" s="150">
        <v>-56.31539114525269</v>
      </c>
      <c r="R66" s="140">
        <f t="shared" si="23"/>
        <v>-7.3607783910032891</v>
      </c>
      <c r="T66" s="150"/>
    </row>
    <row r="67" spans="1:20" x14ac:dyDescent="0.3">
      <c r="A67" s="134" t="str">
        <f t="shared" si="14"/>
        <v>82 Transport and mobile machine drivers and operatives</v>
      </c>
      <c r="B67" s="150">
        <v>1192.1983711089595</v>
      </c>
      <c r="C67" s="140">
        <f t="shared" si="15"/>
        <v>3.4087189761230521</v>
      </c>
      <c r="E67" s="150">
        <v>1272.0792886398074</v>
      </c>
      <c r="F67" s="140">
        <f t="shared" si="16"/>
        <v>3.3860828972154824</v>
      </c>
      <c r="H67" s="150">
        <f t="shared" si="17"/>
        <v>79.88091753084791</v>
      </c>
      <c r="I67" s="140">
        <f t="shared" si="18"/>
        <v>6.7003041999247337</v>
      </c>
      <c r="K67" s="150">
        <f t="shared" si="19"/>
        <v>88.384810680662568</v>
      </c>
      <c r="L67" s="140">
        <f t="shared" si="20"/>
        <v>7.4135993491124097</v>
      </c>
      <c r="N67" s="150">
        <f t="shared" si="21"/>
        <v>-5.9152093958372518</v>
      </c>
      <c r="O67" s="140">
        <f t="shared" si="22"/>
        <v>-0.49615982869822584</v>
      </c>
      <c r="Q67" s="150">
        <v>-2.5886837539774001</v>
      </c>
      <c r="R67" s="140">
        <f t="shared" si="23"/>
        <v>-0.2171353204894465</v>
      </c>
      <c r="T67" s="150"/>
    </row>
    <row r="68" spans="1:20" x14ac:dyDescent="0.3">
      <c r="A68" s="134" t="str">
        <f t="shared" si="14"/>
        <v>91 Elementary trades and related occupations</v>
      </c>
      <c r="B68" s="150">
        <v>464.80863120633876</v>
      </c>
      <c r="C68" s="140">
        <f t="shared" si="15"/>
        <v>1.328975143612257</v>
      </c>
      <c r="E68" s="150">
        <v>368.2541352592807</v>
      </c>
      <c r="F68" s="140">
        <f t="shared" si="16"/>
        <v>0.98023687702960582</v>
      </c>
      <c r="H68" s="150">
        <f t="shared" si="17"/>
        <v>-96.554495947058058</v>
      </c>
      <c r="I68" s="140">
        <f t="shared" si="18"/>
        <v>-20.772956753506456</v>
      </c>
      <c r="K68" s="150">
        <f t="shared" si="19"/>
        <v>34.459049657731434</v>
      </c>
      <c r="L68" s="140">
        <f t="shared" si="20"/>
        <v>7.4135993491124097</v>
      </c>
      <c r="N68" s="150">
        <f t="shared" si="21"/>
        <v>-119.2556689294137</v>
      </c>
      <c r="O68" s="140">
        <f t="shared" si="22"/>
        <v>-25.656939420402779</v>
      </c>
      <c r="Q68" s="150">
        <v>-11.757876675375798</v>
      </c>
      <c r="R68" s="140">
        <f t="shared" si="23"/>
        <v>-2.5296166822160875</v>
      </c>
      <c r="T68" s="150"/>
    </row>
    <row r="69" spans="1:20" x14ac:dyDescent="0.3">
      <c r="A69" s="134" t="str">
        <f t="shared" si="14"/>
        <v>92 Elementary administration and service occupations</v>
      </c>
      <c r="B69" s="150">
        <v>3133.5251022906664</v>
      </c>
      <c r="C69" s="140">
        <f t="shared" si="15"/>
        <v>8.9593365812105432</v>
      </c>
      <c r="E69" s="150">
        <v>3085.5818095627951</v>
      </c>
      <c r="F69" s="140">
        <f t="shared" si="16"/>
        <v>8.2133526476101366</v>
      </c>
      <c r="H69" s="150">
        <f t="shared" ref="H69" si="24">E69-B69</f>
        <v>-47.943292727871267</v>
      </c>
      <c r="I69" s="140">
        <f t="shared" ref="I69" si="25">IF(B69&gt;0,((E69/B69)-1)*100,0)</f>
        <v>-1.5300114459853464</v>
      </c>
      <c r="K69" s="150">
        <f t="shared" ref="K69" si="26">(($E$71/$B$71)-1)*B69</f>
        <v>232.30699658769481</v>
      </c>
      <c r="L69" s="140">
        <f t="shared" ref="L69" si="27">IF(B69&gt;0,K69/B69*100,0)</f>
        <v>7.4135993491124097</v>
      </c>
      <c r="N69" s="150">
        <f t="shared" ref="N69" si="28">H69-(K69+Q69)</f>
        <v>-409.9852730293054</v>
      </c>
      <c r="O69" s="140">
        <f t="shared" ref="O69" si="29">IF(B69&gt;0,N69/B69*100,0)</f>
        <v>-13.083835605133604</v>
      </c>
      <c r="Q69" s="150">
        <v>129.73498371373935</v>
      </c>
      <c r="R69" s="140">
        <f t="shared" ref="R69" si="30">IF(B69&gt;0,Q69/B69*100,0)</f>
        <v>4.1402248100358481</v>
      </c>
      <c r="T69" s="150"/>
    </row>
    <row r="70" spans="1:20" x14ac:dyDescent="0.3">
      <c r="A70" s="134"/>
      <c r="B70" s="150"/>
      <c r="C70" s="140"/>
      <c r="E70" s="150"/>
      <c r="F70" s="140"/>
      <c r="H70" s="150"/>
      <c r="I70" s="140"/>
      <c r="K70" s="150"/>
      <c r="L70" s="140"/>
      <c r="N70" s="150"/>
      <c r="O70" s="140"/>
      <c r="Q70" s="150"/>
      <c r="R70" s="140"/>
      <c r="T70" s="150"/>
    </row>
    <row r="71" spans="1:20" x14ac:dyDescent="0.3">
      <c r="A71" s="148" t="str">
        <f>name!$D$3</f>
        <v>All occupations</v>
      </c>
      <c r="B71" s="151">
        <f>SUM(B44:B69)</f>
        <v>34974.967999999833</v>
      </c>
      <c r="C71" s="146">
        <f>B71/B$71*100</f>
        <v>100</v>
      </c>
      <c r="D71" s="144"/>
      <c r="E71" s="151">
        <f>SUM(E44:E69)</f>
        <v>37567.872000000098</v>
      </c>
      <c r="F71" s="146">
        <f>E71/E$71*100</f>
        <v>100</v>
      </c>
      <c r="G71" s="144"/>
      <c r="H71" s="151">
        <f t="shared" si="17"/>
        <v>2592.9040000002642</v>
      </c>
      <c r="I71" s="146">
        <f t="shared" si="18"/>
        <v>7.4135993491124097</v>
      </c>
      <c r="J71" s="144"/>
      <c r="K71" s="144"/>
      <c r="L71" s="144"/>
      <c r="M71" s="144"/>
      <c r="N71" s="144"/>
      <c r="O71" s="144"/>
      <c r="P71" s="144"/>
      <c r="Q71" s="144"/>
      <c r="R71" s="144"/>
    </row>
    <row r="78" spans="1:20" x14ac:dyDescent="0.3">
      <c r="T78" s="150"/>
    </row>
    <row r="79" spans="1:20" x14ac:dyDescent="0.3">
      <c r="T79" s="150"/>
    </row>
    <row r="80" spans="1:20" x14ac:dyDescent="0.3">
      <c r="T80" s="150"/>
    </row>
    <row r="81" spans="20:20" x14ac:dyDescent="0.3">
      <c r="T81" s="150"/>
    </row>
    <row r="82" spans="20:20" x14ac:dyDescent="0.3">
      <c r="T82" s="150"/>
    </row>
    <row r="83" spans="20:20" x14ac:dyDescent="0.3">
      <c r="T83" s="150"/>
    </row>
    <row r="84" spans="20:20" x14ac:dyDescent="0.3">
      <c r="T84" s="150"/>
    </row>
    <row r="85" spans="20:20" x14ac:dyDescent="0.3">
      <c r="T85" s="150"/>
    </row>
    <row r="86" spans="20:20" x14ac:dyDescent="0.3">
      <c r="T86" s="150"/>
    </row>
    <row r="87" spans="20:20" x14ac:dyDescent="0.3">
      <c r="T87" s="150"/>
    </row>
    <row r="88" spans="20:20" x14ac:dyDescent="0.3">
      <c r="T88" s="150"/>
    </row>
    <row r="89" spans="20:20" x14ac:dyDescent="0.3">
      <c r="T89" s="150"/>
    </row>
    <row r="90" spans="20:20" x14ac:dyDescent="0.3">
      <c r="T90" s="150"/>
    </row>
    <row r="91" spans="20:20" x14ac:dyDescent="0.3">
      <c r="T91" s="150"/>
    </row>
    <row r="92" spans="20:20" x14ac:dyDescent="0.3">
      <c r="T92" s="150"/>
    </row>
    <row r="93" spans="20:20" x14ac:dyDescent="0.3">
      <c r="T93" s="150"/>
    </row>
    <row r="94" spans="20:20" x14ac:dyDescent="0.3">
      <c r="T94" s="150"/>
    </row>
    <row r="95" spans="20:20" x14ac:dyDescent="0.3">
      <c r="T95" s="150"/>
    </row>
    <row r="96" spans="20:20" x14ac:dyDescent="0.3">
      <c r="T96" s="150"/>
    </row>
    <row r="97" spans="20:20" x14ac:dyDescent="0.3">
      <c r="T97" s="150"/>
    </row>
    <row r="98" spans="20:20" x14ac:dyDescent="0.3">
      <c r="T98" s="150"/>
    </row>
    <row r="99" spans="20:20" x14ac:dyDescent="0.3">
      <c r="T99" s="150"/>
    </row>
    <row r="100" spans="20:20" x14ac:dyDescent="0.3">
      <c r="T100" s="150"/>
    </row>
    <row r="101" spans="20:20" x14ac:dyDescent="0.3">
      <c r="T101" s="150"/>
    </row>
    <row r="102" spans="20:20" x14ac:dyDescent="0.3">
      <c r="T102" s="150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2" manualBreakCount="2">
    <brk id="71" max="16383" man="1"/>
    <brk id="144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5234375" defaultRowHeight="12.45" x14ac:dyDescent="0.3"/>
  <cols>
    <col min="1" max="1" width="40.84375" customWidth="1"/>
    <col min="2" max="3" width="9.69140625" customWidth="1"/>
    <col min="4" max="7" width="11.69140625" customWidth="1"/>
    <col min="8" max="8" width="7.69140625" customWidth="1"/>
    <col min="9" max="9" width="47" customWidth="1"/>
    <col min="10" max="14" width="11.69140625" customWidth="1"/>
    <col min="15" max="15" width="7.69140625" customWidth="1"/>
    <col min="16" max="16" width="53.53515625" customWidth="1"/>
    <col min="17" max="21" width="11.69140625" customWidth="1"/>
    <col min="22" max="22" width="11.84375" customWidth="1"/>
    <col min="23" max="23" width="5.3828125" customWidth="1"/>
    <col min="24" max="24" width="32.3046875" customWidth="1"/>
    <col min="25" max="29" width="11.69140625" customWidth="1"/>
    <col min="30" max="30" width="11.84375" customWidth="1"/>
  </cols>
  <sheetData>
    <row r="1" spans="1:30" ht="21" customHeight="1" x14ac:dyDescent="0.3">
      <c r="A1" s="379" t="str">
        <f>CONCATENATE("Replacement Demand Table 1  Replacement Demand by Occupation and Qualification, ",$B$6,"-",$C$6,", ",Info!B5)</f>
        <v>Replacement Demand Table 1  Replacement Demand by Occupation and Qualification, 2020-2035, United Kingdom</v>
      </c>
      <c r="B1" s="379"/>
      <c r="C1" s="379"/>
      <c r="D1" s="379"/>
      <c r="E1" s="379"/>
      <c r="F1" s="379"/>
      <c r="G1" s="379"/>
      <c r="I1" s="379" t="str">
        <f>CONCATENATE("Replacement Demand Table 1.1  Replacement Demand by Occupation Group and Qualification, ",$B$6,"-",$C$6,", ",Info!B5)</f>
        <v>Replacement Demand Table 1.1  Replacement Demand by Occupation Group and Qualification, 2020-2035, United Kingdom</v>
      </c>
      <c r="J1" s="379"/>
      <c r="K1" s="379"/>
      <c r="L1" s="379"/>
      <c r="M1" s="379"/>
      <c r="N1" s="379"/>
      <c r="P1" s="379" t="str">
        <f>CONCATENATE("Replacement Demand Table 1.2  Replacement Demand by Occupation and Gender, ",$B$6,"-",$C$6,", ",Info!B5)</f>
        <v>Replacement Demand Table 1.2  Replacement Demand by Occupation and Gender, 2020-2035, United Kingdom</v>
      </c>
      <c r="Q1" s="379"/>
      <c r="R1" s="379"/>
      <c r="S1" s="379"/>
      <c r="T1" s="379"/>
      <c r="U1" s="379"/>
      <c r="V1" s="379"/>
      <c r="W1" s="89"/>
      <c r="X1" s="379" t="str">
        <f>CONCATENATE("Replacement Demand Table 1.3  Replacement Demand by Industry, ",$B$6,"-",$C$6,", ",Info!B5)</f>
        <v>Replacement Demand Table 1.3  Replacement Demand by Industry, 2020-2035, United Kingdom</v>
      </c>
      <c r="Y1" s="379"/>
      <c r="Z1" s="379"/>
      <c r="AA1" s="379"/>
      <c r="AB1" s="379"/>
      <c r="AC1" s="379"/>
      <c r="AD1" s="379"/>
    </row>
    <row r="2" spans="1:30" ht="14.25" customHeight="1" x14ac:dyDescent="0.3">
      <c r="A2" s="379"/>
      <c r="B2" s="379"/>
      <c r="C2" s="379"/>
      <c r="D2" s="379"/>
      <c r="E2" s="379"/>
      <c r="F2" s="379"/>
      <c r="G2" s="379"/>
      <c r="I2" s="379"/>
      <c r="J2" s="379"/>
      <c r="K2" s="379"/>
      <c r="L2" s="379"/>
      <c r="M2" s="379"/>
      <c r="N2" s="379"/>
      <c r="P2" s="379"/>
      <c r="Q2" s="379"/>
      <c r="R2" s="379"/>
      <c r="S2" s="379"/>
      <c r="T2" s="379"/>
      <c r="U2" s="379"/>
      <c r="V2" s="379"/>
      <c r="X2" s="379"/>
      <c r="Y2" s="379"/>
      <c r="Z2" s="379"/>
      <c r="AA2" s="379"/>
      <c r="AB2" s="379"/>
      <c r="AC2" s="379"/>
      <c r="AD2" s="379"/>
    </row>
    <row r="3" spans="1:30" ht="15.45" x14ac:dyDescent="0.4">
      <c r="A3" s="1" t="s">
        <v>538</v>
      </c>
      <c r="B3" s="18"/>
      <c r="C3" s="18"/>
      <c r="D3" s="18"/>
      <c r="E3" s="18"/>
      <c r="F3" s="18"/>
      <c r="G3" s="18"/>
      <c r="I3" s="1" t="s">
        <v>539</v>
      </c>
      <c r="P3" s="181" t="s">
        <v>535</v>
      </c>
      <c r="S3" s="89"/>
      <c r="T3" s="89"/>
      <c r="U3" s="89"/>
      <c r="V3" s="89"/>
      <c r="W3" s="89"/>
      <c r="X3" s="1" t="s">
        <v>531</v>
      </c>
    </row>
    <row r="4" spans="1:30" ht="12.75" customHeight="1" x14ac:dyDescent="0.4">
      <c r="A4" s="18"/>
      <c r="B4" s="18"/>
      <c r="C4" s="18"/>
      <c r="D4" s="18"/>
      <c r="E4" s="18"/>
      <c r="F4" s="18"/>
      <c r="G4" s="18"/>
      <c r="I4" s="1"/>
      <c r="P4" s="1"/>
      <c r="S4" s="89"/>
      <c r="T4" s="89"/>
      <c r="U4" s="89"/>
      <c r="V4" s="89"/>
      <c r="W4" s="89"/>
    </row>
    <row r="5" spans="1:30" s="70" customFormat="1" x14ac:dyDescent="0.3">
      <c r="B5" s="15"/>
      <c r="F5" s="15" t="s">
        <v>35</v>
      </c>
      <c r="N5" s="15" t="s">
        <v>35</v>
      </c>
      <c r="Q5" s="15"/>
      <c r="S5" s="340"/>
      <c r="T5" s="340"/>
      <c r="U5" s="83" t="s">
        <v>35</v>
      </c>
      <c r="V5" s="340"/>
      <c r="W5" s="340"/>
      <c r="Y5" s="15"/>
      <c r="AA5" s="340"/>
      <c r="AB5" s="340"/>
      <c r="AC5" s="83" t="s">
        <v>35</v>
      </c>
      <c r="AD5" s="340"/>
    </row>
    <row r="6" spans="1:30" ht="25" customHeight="1" x14ac:dyDescent="0.3">
      <c r="A6" s="201" t="str">
        <f>CONCATENATE(name!F3," (Constrained)")</f>
        <v>All qualifications (Constrained)</v>
      </c>
      <c r="B6" s="74">
        <v>2020</v>
      </c>
      <c r="C6" s="74">
        <v>2035</v>
      </c>
      <c r="D6" s="87" t="s">
        <v>40</v>
      </c>
      <c r="E6" s="87" t="s">
        <v>139</v>
      </c>
      <c r="F6" s="87" t="s">
        <v>39</v>
      </c>
      <c r="G6" s="87" t="s">
        <v>138</v>
      </c>
      <c r="I6" s="202"/>
      <c r="J6" s="74">
        <f>B6</f>
        <v>2020</v>
      </c>
      <c r="K6" s="74">
        <f>C6</f>
        <v>2035</v>
      </c>
      <c r="L6" s="87" t="str">
        <f>D6</f>
        <v>Net Change</v>
      </c>
      <c r="M6" s="87" t="str">
        <f>E6</f>
        <v>Replacement Demand level</v>
      </c>
      <c r="N6" s="87" t="str">
        <f>F6</f>
        <v>Total Requirement</v>
      </c>
      <c r="P6" s="201" t="s">
        <v>98</v>
      </c>
      <c r="Q6" s="74">
        <f>B6</f>
        <v>2020</v>
      </c>
      <c r="R6" s="74">
        <f>C6</f>
        <v>2035</v>
      </c>
      <c r="S6" s="341" t="str">
        <f t="shared" ref="S6:V6" si="0">D6</f>
        <v>Net Change</v>
      </c>
      <c r="T6" s="341" t="str">
        <f t="shared" si="0"/>
        <v>Replacement Demand level</v>
      </c>
      <c r="U6" s="341" t="str">
        <f t="shared" si="0"/>
        <v>Total Requirement</v>
      </c>
      <c r="V6" s="341" t="str">
        <f t="shared" si="0"/>
        <v>Replacement Demand rate</v>
      </c>
      <c r="W6" s="345"/>
      <c r="X6" s="201"/>
      <c r="Y6" s="74">
        <f>J6</f>
        <v>2020</v>
      </c>
      <c r="Z6" s="74">
        <f>K6</f>
        <v>2035</v>
      </c>
      <c r="AA6" s="341" t="str">
        <f t="shared" ref="AA6" si="1">L6</f>
        <v>Net Change</v>
      </c>
      <c r="AB6" s="341" t="str">
        <f t="shared" ref="AB6" si="2">M6</f>
        <v>Replacement Demand level</v>
      </c>
      <c r="AC6" s="341" t="str">
        <f t="shared" ref="AC6" si="3">N6</f>
        <v>Total Requirement</v>
      </c>
      <c r="AD6" s="341" t="str">
        <f>G6</f>
        <v>Replacement Demand rate</v>
      </c>
    </row>
    <row r="7" spans="1:30" x14ac:dyDescent="0.3">
      <c r="A7" s="10" t="str">
        <f>name!D4</f>
        <v>11 Corporate managers and directors</v>
      </c>
      <c r="B7" s="11">
        <f t="shared" ref="B7:F16" si="4">SUM(B36,B65,B94,B123,B152,B181,B210,B239,B268)</f>
        <v>2603.6149634867807</v>
      </c>
      <c r="C7" s="11">
        <f t="shared" si="4"/>
        <v>2681.2775346158419</v>
      </c>
      <c r="D7" s="11">
        <f t="shared" si="4"/>
        <v>77.662571129061178</v>
      </c>
      <c r="E7" s="11">
        <f t="shared" si="4"/>
        <v>1300.0897971410011</v>
      </c>
      <c r="F7" s="11">
        <f t="shared" si="4"/>
        <v>1377.7523682700621</v>
      </c>
      <c r="G7" s="200">
        <f>IF(B7&gt;0,(1+(E7/B7))^(1/($C$6-$B$6))-1,0)</f>
        <v>2.7369528121141906E-2</v>
      </c>
      <c r="H7" s="11"/>
      <c r="I7" s="233" t="str">
        <f>name!F3</f>
        <v>All qualifications</v>
      </c>
      <c r="J7" s="35"/>
      <c r="K7" s="35"/>
      <c r="L7" s="35"/>
      <c r="M7" s="35"/>
      <c r="N7" s="35"/>
      <c r="O7" s="11"/>
      <c r="P7" s="10" t="str">
        <f>name!D4</f>
        <v>11 Corporate managers and directors</v>
      </c>
      <c r="Q7" s="11">
        <v>1720.8329322223399</v>
      </c>
      <c r="R7" s="11">
        <v>1644.7022880612631</v>
      </c>
      <c r="S7" s="342">
        <f>R7-Q7</f>
        <v>-76.130644161076816</v>
      </c>
      <c r="T7" s="342">
        <v>750.87707862939362</v>
      </c>
      <c r="U7" s="342">
        <f>SUM(S7:T7)</f>
        <v>674.74643446831681</v>
      </c>
      <c r="V7" s="343">
        <f>IF(Q7&gt;0,(1+(T7/Q7))^(1/($C$6-$B$6))-1,0)</f>
        <v>2.4433850594649531E-2</v>
      </c>
      <c r="W7" s="343"/>
      <c r="X7" s="10" t="str">
        <f>name!A4</f>
        <v>Agriculture, etc</v>
      </c>
      <c r="Y7" s="10">
        <v>372.00199999699367</v>
      </c>
      <c r="Z7" s="10">
        <v>385.17799999710059</v>
      </c>
      <c r="AA7" s="342">
        <f>Z7-Y7</f>
        <v>13.17600000010691</v>
      </c>
      <c r="AB7" s="10">
        <v>191.45469238132543</v>
      </c>
      <c r="AC7" s="342">
        <f>SUM(AA7:AB7)</f>
        <v>204.63069238143234</v>
      </c>
      <c r="AD7" s="343">
        <f>IF(Y7&gt;0,(1+(AB7/Y7))^(1/($C$6-$B$6))-1,0)</f>
        <v>2.8066050418686039E-2</v>
      </c>
    </row>
    <row r="8" spans="1:30" x14ac:dyDescent="0.3">
      <c r="A8" s="10" t="str">
        <f>name!D5</f>
        <v>12 Other managers and proprietors</v>
      </c>
      <c r="B8" s="11">
        <f t="shared" si="4"/>
        <v>1142.9442385679542</v>
      </c>
      <c r="C8" s="11">
        <f t="shared" si="4"/>
        <v>1636.9713357379417</v>
      </c>
      <c r="D8" s="11">
        <f t="shared" si="4"/>
        <v>494.02709716998748</v>
      </c>
      <c r="E8" s="11">
        <f t="shared" si="4"/>
        <v>824.20930026514634</v>
      </c>
      <c r="F8" s="11">
        <f t="shared" si="4"/>
        <v>1318.2363974351338</v>
      </c>
      <c r="G8" s="200">
        <f>IF(B8&gt;0,(1+(E8/B8))^(1/($C$6-$B$6))-1,0)</f>
        <v>3.6861815583446589E-2</v>
      </c>
      <c r="H8" s="11"/>
      <c r="I8" s="10" t="str">
        <f>name!E4</f>
        <v>Managers, directors and senior officials</v>
      </c>
      <c r="J8" s="11">
        <f t="array" ref="J8:J16">MMULT(aggregation!$B$38:$AA$46,B7:B32)</f>
        <v>3746.5592020547347</v>
      </c>
      <c r="K8" s="11">
        <f t="array" ref="K8:K16">MMULT(aggregation!$B$38:$AA$46,C7:C32)</f>
        <v>4318.2488703537838</v>
      </c>
      <c r="L8" s="11">
        <f t="array" ref="L8:L16">MMULT(aggregation!$B$38:$AA$46,D7:D32)</f>
        <v>571.68966829904866</v>
      </c>
      <c r="M8" s="11">
        <f t="array" ref="M8:M16">MMULT(aggregation!$B$38:$AA$46,E7:E32)</f>
        <v>2124.2990974061477</v>
      </c>
      <c r="N8" s="11">
        <f t="array" ref="N8:N16">MMULT(aggregation!$B$38:$AA$46,F7:F32)</f>
        <v>2695.9887657051959</v>
      </c>
      <c r="O8" s="11"/>
      <c r="P8" s="10" t="str">
        <f>name!D5</f>
        <v>12 Other managers and proprietors</v>
      </c>
      <c r="Q8" s="11">
        <v>665.91132841955607</v>
      </c>
      <c r="R8" s="11">
        <v>973.8539567186217</v>
      </c>
      <c r="S8" s="342">
        <f t="shared" ref="S8:S31" si="5">R8-Q8</f>
        <v>307.94262829906563</v>
      </c>
      <c r="T8" s="342">
        <v>442.47703226869925</v>
      </c>
      <c r="U8" s="342">
        <f t="shared" ref="U8:U31" si="6">SUM(S8:T8)</f>
        <v>750.41966056776482</v>
      </c>
      <c r="V8" s="343">
        <f t="shared" ref="V8:V33" si="7">IF(Q8&gt;0,(1+(T8/Q8))^(1/($C$6-$B$6))-1,0)</f>
        <v>3.4550520538539464E-2</v>
      </c>
      <c r="W8" s="343"/>
      <c r="X8" s="10" t="str">
        <f>name!A5</f>
        <v>Coal, oil &amp; gas; Mining &amp; related</v>
      </c>
      <c r="Y8" s="10">
        <v>61.989999999907816</v>
      </c>
      <c r="Z8" s="10">
        <v>46.898000000171301</v>
      </c>
      <c r="AA8" s="342">
        <f t="shared" ref="AA8:AA71" si="8">Z8-Y8</f>
        <v>-15.091999999736515</v>
      </c>
      <c r="AB8" s="10">
        <v>21.487220997221559</v>
      </c>
      <c r="AC8" s="342">
        <f t="shared" ref="AC8:AC71" si="9">SUM(AA8:AB8)</f>
        <v>6.395220997485044</v>
      </c>
      <c r="AD8" s="343">
        <f t="shared" ref="AD8:AD71" si="10">IF(Y8&gt;0,(1+(AB8/Y8))^(1/($C$6-$B$6))-1,0)</f>
        <v>2.0038169185871091E-2</v>
      </c>
    </row>
    <row r="9" spans="1:30" x14ac:dyDescent="0.3">
      <c r="A9" s="10" t="str">
        <f>name!D6</f>
        <v>21 Science, research, engineering and technology professionals</v>
      </c>
      <c r="B9" s="11">
        <f t="shared" si="4"/>
        <v>2168.4893984676751</v>
      </c>
      <c r="C9" s="11">
        <f t="shared" si="4"/>
        <v>2562.9828232040722</v>
      </c>
      <c r="D9" s="11">
        <f t="shared" si="4"/>
        <v>394.49342473639706</v>
      </c>
      <c r="E9" s="11">
        <f t="shared" si="4"/>
        <v>893.91344122980354</v>
      </c>
      <c r="F9" s="11">
        <f t="shared" si="4"/>
        <v>1288.4068659662007</v>
      </c>
      <c r="G9" s="200">
        <f t="shared" ref="G9:G33" si="11">IF(B9&gt;0,(1+(E9/B9))^(1/($C$6-$B$6))-1,0)</f>
        <v>2.3278072109301107E-2</v>
      </c>
      <c r="H9" s="11"/>
      <c r="I9" s="10" t="str">
        <f>name!E5</f>
        <v>Professional occupations</v>
      </c>
      <c r="J9" s="11">
        <v>8199.5797102003835</v>
      </c>
      <c r="K9" s="11">
        <v>9841.8170804538058</v>
      </c>
      <c r="L9" s="11">
        <v>1642.237370253423</v>
      </c>
      <c r="M9" s="11">
        <v>4280.1928499006553</v>
      </c>
      <c r="N9" s="11">
        <v>5922.4302201540786</v>
      </c>
      <c r="O9" s="11"/>
      <c r="P9" s="10" t="str">
        <f>name!D6</f>
        <v>21 Science, research, engineering and technology professionals</v>
      </c>
      <c r="Q9" s="11">
        <v>1662.0748855520801</v>
      </c>
      <c r="R9" s="11">
        <v>1844.9651379133611</v>
      </c>
      <c r="S9" s="342">
        <f t="shared" si="5"/>
        <v>182.890252361281</v>
      </c>
      <c r="T9" s="342">
        <v>572.9227337161625</v>
      </c>
      <c r="U9" s="342">
        <f t="shared" si="6"/>
        <v>755.8129860774435</v>
      </c>
      <c r="V9" s="343">
        <f t="shared" si="7"/>
        <v>1.9941113734374127E-2</v>
      </c>
      <c r="W9" s="343"/>
      <c r="X9" s="10" t="str">
        <f>name!A6</f>
        <v>Food products</v>
      </c>
      <c r="Y9" s="10">
        <v>403.35400000010196</v>
      </c>
      <c r="Z9" s="10">
        <v>400.93300000040688</v>
      </c>
      <c r="AA9" s="342">
        <f t="shared" si="8"/>
        <v>-2.4209999996950842</v>
      </c>
      <c r="AB9" s="10">
        <v>178.27995732796893</v>
      </c>
      <c r="AC9" s="342">
        <f t="shared" si="9"/>
        <v>175.85895732827385</v>
      </c>
      <c r="AD9" s="343">
        <f t="shared" si="10"/>
        <v>2.4701941462306864E-2</v>
      </c>
    </row>
    <row r="10" spans="1:30" x14ac:dyDescent="0.3">
      <c r="A10" s="10" t="str">
        <f>name!D7</f>
        <v>22 Health professionals</v>
      </c>
      <c r="B10" s="11">
        <f t="shared" si="4"/>
        <v>1652.6894842034119</v>
      </c>
      <c r="C10" s="11">
        <f t="shared" si="4"/>
        <v>1962.7779742263745</v>
      </c>
      <c r="D10" s="11">
        <f t="shared" si="4"/>
        <v>310.0884900229629</v>
      </c>
      <c r="E10" s="11">
        <f t="shared" si="4"/>
        <v>973.65651825520581</v>
      </c>
      <c r="F10" s="11">
        <f t="shared" si="4"/>
        <v>1283.7450082781688</v>
      </c>
      <c r="G10" s="200">
        <f t="shared" si="11"/>
        <v>3.1361016333364411E-2</v>
      </c>
      <c r="H10" s="11"/>
      <c r="I10" s="10" t="str">
        <f>name!E6</f>
        <v>Associate professional occupations</v>
      </c>
      <c r="J10" s="11">
        <v>4781.9238965363629</v>
      </c>
      <c r="K10" s="11">
        <v>5078.3169459225428</v>
      </c>
      <c r="L10" s="11">
        <v>296.39304938618045</v>
      </c>
      <c r="M10" s="11">
        <v>2229.3706593752195</v>
      </c>
      <c r="N10" s="11">
        <v>2525.7637087613998</v>
      </c>
      <c r="O10" s="11"/>
      <c r="P10" s="10" t="str">
        <f>name!D7</f>
        <v>22 Health professionals</v>
      </c>
      <c r="Q10" s="11">
        <v>438.61157204045008</v>
      </c>
      <c r="R10" s="11">
        <v>516.79353321025303</v>
      </c>
      <c r="S10" s="342">
        <f t="shared" si="5"/>
        <v>78.181961169802946</v>
      </c>
      <c r="T10" s="342">
        <v>184.06496046935894</v>
      </c>
      <c r="U10" s="342">
        <f t="shared" si="6"/>
        <v>262.24692163916188</v>
      </c>
      <c r="V10" s="343">
        <f t="shared" si="7"/>
        <v>2.3635865884601648E-2</v>
      </c>
      <c r="W10" s="343"/>
      <c r="X10" s="10" t="str">
        <f>name!A7</f>
        <v>Beverages and tobacco</v>
      </c>
      <c r="Y10" s="10">
        <v>48.907999999812809</v>
      </c>
      <c r="Z10" s="10">
        <v>47.952999999974061</v>
      </c>
      <c r="AA10" s="342">
        <f t="shared" si="8"/>
        <v>-0.95499999983874773</v>
      </c>
      <c r="AB10" s="10">
        <v>21.81371741405885</v>
      </c>
      <c r="AC10" s="342">
        <f t="shared" si="9"/>
        <v>20.858717414220102</v>
      </c>
      <c r="AD10" s="343">
        <f t="shared" si="10"/>
        <v>2.4892211993786661E-2</v>
      </c>
    </row>
    <row r="11" spans="1:30" x14ac:dyDescent="0.3">
      <c r="A11" s="10" t="str">
        <f>name!D8</f>
        <v>23 Teaching and other educational professionals</v>
      </c>
      <c r="B11" s="11">
        <f t="shared" si="4"/>
        <v>1814.3949916428317</v>
      </c>
      <c r="C11" s="11">
        <f t="shared" si="4"/>
        <v>2082.0254777556484</v>
      </c>
      <c r="D11" s="11">
        <f t="shared" si="4"/>
        <v>267.63048611281658</v>
      </c>
      <c r="E11" s="11">
        <f t="shared" si="4"/>
        <v>993.76211714301564</v>
      </c>
      <c r="F11" s="11">
        <f t="shared" si="4"/>
        <v>1261.3926032558322</v>
      </c>
      <c r="G11" s="200">
        <f t="shared" si="11"/>
        <v>2.9546510327718378E-2</v>
      </c>
      <c r="H11" s="11"/>
      <c r="I11" s="10" t="str">
        <f>name!E7</f>
        <v>Administrative and secretarial occupations</v>
      </c>
      <c r="J11" s="11">
        <v>3741.7432874574629</v>
      </c>
      <c r="K11" s="11">
        <v>3254.9628154222059</v>
      </c>
      <c r="L11" s="11">
        <v>-486.78047203525699</v>
      </c>
      <c r="M11" s="11">
        <v>1738.7427206653242</v>
      </c>
      <c r="N11" s="11">
        <v>1251.9622486300673</v>
      </c>
      <c r="O11" s="11"/>
      <c r="P11" s="10" t="str">
        <f>name!D8</f>
        <v>23 Teaching and other educational professionals</v>
      </c>
      <c r="Q11" s="11">
        <v>586.26652337732412</v>
      </c>
      <c r="R11" s="11">
        <v>685.40402395056765</v>
      </c>
      <c r="S11" s="342">
        <f t="shared" si="5"/>
        <v>99.137500573243528</v>
      </c>
      <c r="T11" s="342">
        <v>274.96890760025695</v>
      </c>
      <c r="U11" s="342">
        <f t="shared" si="6"/>
        <v>374.10640817350048</v>
      </c>
      <c r="V11" s="343">
        <f t="shared" si="7"/>
        <v>2.5971080927999601E-2</v>
      </c>
      <c r="W11" s="343"/>
      <c r="X11" s="10" t="str">
        <f>name!A8</f>
        <v>Textiles</v>
      </c>
      <c r="Y11" s="10">
        <v>68.213999999973495</v>
      </c>
      <c r="Z11" s="10">
        <v>51.580000000143414</v>
      </c>
      <c r="AA11" s="342">
        <f t="shared" si="8"/>
        <v>-16.633999999830081</v>
      </c>
      <c r="AB11" s="10">
        <v>26.40423789315026</v>
      </c>
      <c r="AC11" s="342">
        <f t="shared" si="9"/>
        <v>9.7702378933201786</v>
      </c>
      <c r="AD11" s="343">
        <f t="shared" si="10"/>
        <v>2.2053012374975145E-2</v>
      </c>
    </row>
    <row r="12" spans="1:30" x14ac:dyDescent="0.3">
      <c r="A12" s="10" t="str">
        <f>name!D9</f>
        <v>24 Business, media and public service professionals</v>
      </c>
      <c r="B12" s="11">
        <f t="shared" si="4"/>
        <v>2564.0058358864644</v>
      </c>
      <c r="C12" s="11">
        <f t="shared" si="4"/>
        <v>3234.0308052677105</v>
      </c>
      <c r="D12" s="11">
        <f t="shared" si="4"/>
        <v>670.02496938124648</v>
      </c>
      <c r="E12" s="11">
        <f t="shared" si="4"/>
        <v>1418.86077327263</v>
      </c>
      <c r="F12" s="11">
        <f t="shared" si="4"/>
        <v>2088.8857426538771</v>
      </c>
      <c r="G12" s="200">
        <f t="shared" si="11"/>
        <v>2.979738218339234E-2</v>
      </c>
      <c r="H12" s="11"/>
      <c r="I12" s="10" t="str">
        <f>name!E8</f>
        <v>Skilled trades occupations</v>
      </c>
      <c r="J12" s="11">
        <v>3028.9282668384908</v>
      </c>
      <c r="K12" s="11">
        <v>2990.0528560786342</v>
      </c>
      <c r="L12" s="11">
        <v>-38.875410759856443</v>
      </c>
      <c r="M12" s="11">
        <v>1292.747422769115</v>
      </c>
      <c r="N12" s="11">
        <v>1253.8720120092587</v>
      </c>
      <c r="O12" s="11"/>
      <c r="P12" s="10" t="str">
        <f>name!D9</f>
        <v>24 Business, media and public service professionals</v>
      </c>
      <c r="Q12" s="11">
        <v>1407.0757765791584</v>
      </c>
      <c r="R12" s="11">
        <v>1729.656620679872</v>
      </c>
      <c r="S12" s="342">
        <f t="shared" si="5"/>
        <v>322.58084410071365</v>
      </c>
      <c r="T12" s="342">
        <v>680.87938168858466</v>
      </c>
      <c r="U12" s="342">
        <f t="shared" si="6"/>
        <v>1003.4602257892983</v>
      </c>
      <c r="V12" s="343">
        <f t="shared" si="7"/>
        <v>2.6660639163920807E-2</v>
      </c>
      <c r="W12" s="343"/>
      <c r="X12" s="10" t="str">
        <f>name!A9</f>
        <v>Wearing apparel; Leather, etc</v>
      </c>
      <c r="Y12" s="10">
        <v>54.71799999999228</v>
      </c>
      <c r="Z12" s="10">
        <v>41.756000000138918</v>
      </c>
      <c r="AA12" s="342">
        <f t="shared" si="8"/>
        <v>-12.961999999853361</v>
      </c>
      <c r="AB12" s="10">
        <v>22.651048342419131</v>
      </c>
      <c r="AC12" s="342">
        <f t="shared" si="9"/>
        <v>9.6890483425657692</v>
      </c>
      <c r="AD12" s="343">
        <f t="shared" si="10"/>
        <v>2.3361645367103501E-2</v>
      </c>
    </row>
    <row r="13" spans="1:30" x14ac:dyDescent="0.3">
      <c r="A13" s="10" t="str">
        <f>name!D10</f>
        <v>31 Science, engineering and technology associate professionals</v>
      </c>
      <c r="B13" s="11">
        <f t="shared" si="4"/>
        <v>694.16022623804281</v>
      </c>
      <c r="C13" s="11">
        <f t="shared" si="4"/>
        <v>660.15471895472001</v>
      </c>
      <c r="D13" s="11">
        <f t="shared" si="4"/>
        <v>-34.005507283322814</v>
      </c>
      <c r="E13" s="11">
        <f t="shared" si="4"/>
        <v>261.71067311995773</v>
      </c>
      <c r="F13" s="11">
        <f t="shared" si="4"/>
        <v>227.7051658366349</v>
      </c>
      <c r="G13" s="200">
        <f t="shared" si="11"/>
        <v>2.1557071088902813E-2</v>
      </c>
      <c r="H13" s="11"/>
      <c r="I13" s="10" t="str">
        <f>name!E9</f>
        <v>Caring, leisure and other service occupations</v>
      </c>
      <c r="J13" s="11">
        <v>3133.5407600361859</v>
      </c>
      <c r="K13" s="11">
        <v>3635.2994154397356</v>
      </c>
      <c r="L13" s="11">
        <v>501.7586554035492</v>
      </c>
      <c r="M13" s="11">
        <v>1869.8994293359958</v>
      </c>
      <c r="N13" s="11">
        <v>2371.6580847395458</v>
      </c>
      <c r="O13" s="11"/>
      <c r="P13" s="10" t="str">
        <f>name!D10</f>
        <v>31 Science, engineering and technology associate professionals</v>
      </c>
      <c r="Q13" s="11">
        <v>500.28833279764387</v>
      </c>
      <c r="R13" s="11">
        <v>421.58132941767383</v>
      </c>
      <c r="S13" s="342">
        <f t="shared" si="5"/>
        <v>-78.707003379970047</v>
      </c>
      <c r="T13" s="342">
        <v>154.33917693437849</v>
      </c>
      <c r="U13" s="342">
        <f t="shared" si="6"/>
        <v>75.632173554408439</v>
      </c>
      <c r="V13" s="343">
        <f t="shared" si="7"/>
        <v>1.8087077791031581E-2</v>
      </c>
      <c r="W13" s="343"/>
      <c r="X13" s="10" t="str">
        <f>name!A10</f>
        <v xml:space="preserve">Wood and cork </v>
      </c>
      <c r="Y13" s="10">
        <v>89.911999999736508</v>
      </c>
      <c r="Z13" s="10">
        <v>85.231000000082744</v>
      </c>
      <c r="AA13" s="342">
        <f t="shared" si="8"/>
        <v>-4.6809999996537641</v>
      </c>
      <c r="AB13" s="10">
        <v>37.440777573093854</v>
      </c>
      <c r="AC13" s="342">
        <f t="shared" si="9"/>
        <v>32.75977757344009</v>
      </c>
      <c r="AD13" s="343">
        <f t="shared" si="10"/>
        <v>2.3480055982022074E-2</v>
      </c>
    </row>
    <row r="14" spans="1:30" x14ac:dyDescent="0.3">
      <c r="A14" s="10" t="str">
        <f>name!D11</f>
        <v>32 Health and social care associate professionals</v>
      </c>
      <c r="B14" s="11">
        <f t="shared" si="4"/>
        <v>684.34670849942029</v>
      </c>
      <c r="C14" s="11">
        <f t="shared" si="4"/>
        <v>766.02362399240599</v>
      </c>
      <c r="D14" s="11">
        <f t="shared" si="4"/>
        <v>81.676915492985728</v>
      </c>
      <c r="E14" s="11">
        <f t="shared" si="4"/>
        <v>410.78378723915824</v>
      </c>
      <c r="F14" s="11">
        <f t="shared" si="4"/>
        <v>492.46070273214394</v>
      </c>
      <c r="G14" s="200">
        <f t="shared" si="11"/>
        <v>3.184068047600408E-2</v>
      </c>
      <c r="H14" s="11"/>
      <c r="I14" s="10" t="str">
        <f>name!E10</f>
        <v>Sales and customer service occupations</v>
      </c>
      <c r="J14" s="11">
        <v>2787.0869152161572</v>
      </c>
      <c r="K14" s="11">
        <v>2816.426521217134</v>
      </c>
      <c r="L14" s="11">
        <v>29.339606000976431</v>
      </c>
      <c r="M14" s="11">
        <v>1289.3429033317334</v>
      </c>
      <c r="N14" s="11">
        <v>1318.6825093327102</v>
      </c>
      <c r="O14" s="11"/>
      <c r="P14" s="10" t="str">
        <f>name!D11</f>
        <v>32 Health and social care associate professionals</v>
      </c>
      <c r="Q14" s="11">
        <v>156.97759783482422</v>
      </c>
      <c r="R14" s="11">
        <v>153.78648779451717</v>
      </c>
      <c r="S14" s="342">
        <f t="shared" si="5"/>
        <v>-3.191110040307052</v>
      </c>
      <c r="T14" s="342">
        <v>70.614066226001952</v>
      </c>
      <c r="U14" s="342">
        <f t="shared" si="6"/>
        <v>67.4229561856949</v>
      </c>
      <c r="V14" s="343">
        <f t="shared" si="7"/>
        <v>2.5072489272804477E-2</v>
      </c>
      <c r="W14" s="343"/>
      <c r="X14" s="10" t="str">
        <f>name!A11</f>
        <v>Paper, etc</v>
      </c>
      <c r="Y14" s="10">
        <v>53.091000000035081</v>
      </c>
      <c r="Z14" s="10">
        <v>50.318000000226462</v>
      </c>
      <c r="AA14" s="342">
        <f t="shared" si="8"/>
        <v>-2.7729999998086186</v>
      </c>
      <c r="AB14" s="10">
        <v>21.229976632548816</v>
      </c>
      <c r="AC14" s="342">
        <f t="shared" si="9"/>
        <v>18.456976632740197</v>
      </c>
      <c r="AD14" s="343">
        <f t="shared" si="10"/>
        <v>2.2679067626486749E-2</v>
      </c>
    </row>
    <row r="15" spans="1:30" x14ac:dyDescent="0.3">
      <c r="A15" s="10" t="str">
        <f>name!D12</f>
        <v>33 Protective service occupations</v>
      </c>
      <c r="B15" s="11">
        <f t="shared" si="4"/>
        <v>396.9524035752907</v>
      </c>
      <c r="C15" s="11">
        <f t="shared" si="4"/>
        <v>540.74077072875002</v>
      </c>
      <c r="D15" s="11">
        <f t="shared" si="4"/>
        <v>143.78836715345935</v>
      </c>
      <c r="E15" s="11">
        <f t="shared" si="4"/>
        <v>168.78802819863751</v>
      </c>
      <c r="F15" s="11">
        <f t="shared" si="4"/>
        <v>312.57639535209677</v>
      </c>
      <c r="G15" s="200">
        <f t="shared" si="11"/>
        <v>2.3902457681496569E-2</v>
      </c>
      <c r="H15" s="11"/>
      <c r="I15" s="10" t="str">
        <f>name!E11</f>
        <v>Process, plant and machine operatives</v>
      </c>
      <c r="J15" s="11">
        <v>1957.2722281630481</v>
      </c>
      <c r="K15" s="11">
        <v>2178.9115502901764</v>
      </c>
      <c r="L15" s="11">
        <v>221.63932212712803</v>
      </c>
      <c r="M15" s="11">
        <v>1021.4078669971987</v>
      </c>
      <c r="N15" s="11">
        <v>1243.0471891243269</v>
      </c>
      <c r="O15" s="11"/>
      <c r="P15" s="10" t="str">
        <f>name!D12</f>
        <v>33 Protective service occupations</v>
      </c>
      <c r="Q15" s="11">
        <v>292.46834058914482</v>
      </c>
      <c r="R15" s="11">
        <v>357.77705834718284</v>
      </c>
      <c r="S15" s="342">
        <f t="shared" si="5"/>
        <v>65.308717758038028</v>
      </c>
      <c r="T15" s="342">
        <v>95.187577539997164</v>
      </c>
      <c r="U15" s="342">
        <f t="shared" si="6"/>
        <v>160.49629529803519</v>
      </c>
      <c r="V15" s="343">
        <f t="shared" si="7"/>
        <v>1.8961645569273822E-2</v>
      </c>
      <c r="W15" s="343"/>
      <c r="X15" s="10" t="str">
        <f>name!A12</f>
        <v>Printing and recording</v>
      </c>
      <c r="Y15" s="10">
        <v>92.028999999906603</v>
      </c>
      <c r="Z15" s="10">
        <v>73.0400000002235</v>
      </c>
      <c r="AA15" s="342">
        <f t="shared" si="8"/>
        <v>-18.988999999683102</v>
      </c>
      <c r="AB15" s="10">
        <v>36.553905603044711</v>
      </c>
      <c r="AC15" s="342">
        <f t="shared" si="9"/>
        <v>17.564905603361609</v>
      </c>
      <c r="AD15" s="343">
        <f t="shared" si="10"/>
        <v>2.2548467464255095E-2</v>
      </c>
    </row>
    <row r="16" spans="1:30" x14ac:dyDescent="0.3">
      <c r="A16" s="10" t="str">
        <f>name!D13</f>
        <v>34 Culture, media and sports occupations</v>
      </c>
      <c r="B16" s="11">
        <f t="shared" si="4"/>
        <v>752.69702031035047</v>
      </c>
      <c r="C16" s="11">
        <f t="shared" si="4"/>
        <v>831.23766135714902</v>
      </c>
      <c r="D16" s="11">
        <f t="shared" si="4"/>
        <v>78.540641046798427</v>
      </c>
      <c r="E16" s="11">
        <f t="shared" si="4"/>
        <v>363.12174318253568</v>
      </c>
      <c r="F16" s="11">
        <f t="shared" si="4"/>
        <v>441.66238422933412</v>
      </c>
      <c r="G16" s="200">
        <f t="shared" si="11"/>
        <v>2.6592839895411391E-2</v>
      </c>
      <c r="H16" s="11"/>
      <c r="I16" s="10" t="str">
        <f>name!E12</f>
        <v>Elementary occupations</v>
      </c>
      <c r="J16" s="11">
        <v>3598.3337334970079</v>
      </c>
      <c r="K16" s="11">
        <v>3453.8359448220785</v>
      </c>
      <c r="L16" s="11">
        <v>-144.49778867492921</v>
      </c>
      <c r="M16" s="11">
        <v>1688.3527138210425</v>
      </c>
      <c r="N16" s="11">
        <v>1543.8549251461136</v>
      </c>
      <c r="O16" s="11"/>
      <c r="P16" s="10" t="str">
        <f>name!D13</f>
        <v>34 Culture, media and sports occupations</v>
      </c>
      <c r="Q16" s="11">
        <v>382.48993957074305</v>
      </c>
      <c r="R16" s="11">
        <v>422.97114045864595</v>
      </c>
      <c r="S16" s="342">
        <f t="shared" si="5"/>
        <v>40.481200887902901</v>
      </c>
      <c r="T16" s="342">
        <v>159.19812828378244</v>
      </c>
      <c r="U16" s="342">
        <f t="shared" si="6"/>
        <v>199.67932917168534</v>
      </c>
      <c r="V16" s="343">
        <f t="shared" si="7"/>
        <v>2.3470392092647341E-2</v>
      </c>
      <c r="W16" s="343"/>
      <c r="X16" s="10" t="str">
        <f>name!A13</f>
        <v>Coke and petroleum; Chemicals, etc</v>
      </c>
      <c r="Y16" s="10">
        <v>113.03699999956521</v>
      </c>
      <c r="Z16" s="10">
        <v>99.20999999996198</v>
      </c>
      <c r="AA16" s="342">
        <f t="shared" si="8"/>
        <v>-13.826999999603231</v>
      </c>
      <c r="AB16" s="10">
        <v>45.531837143188511</v>
      </c>
      <c r="AC16" s="342">
        <f t="shared" si="9"/>
        <v>31.70483714358528</v>
      </c>
      <c r="AD16" s="343">
        <f t="shared" si="10"/>
        <v>2.2821420213908983E-2</v>
      </c>
    </row>
    <row r="17" spans="1:30" x14ac:dyDescent="0.3">
      <c r="A17" s="10" t="str">
        <f>name!D14</f>
        <v>35 Business and public service associate professionals</v>
      </c>
      <c r="B17" s="11">
        <f t="shared" ref="B17:F26" si="12">SUM(B46,B75,B104,B133,B162,B191,B220,B249,B278)</f>
        <v>2253.7675379132588</v>
      </c>
      <c r="C17" s="11">
        <f t="shared" si="12"/>
        <v>2280.1601708895182</v>
      </c>
      <c r="D17" s="11">
        <f t="shared" si="12"/>
        <v>26.39263297625974</v>
      </c>
      <c r="E17" s="11">
        <f t="shared" si="12"/>
        <v>1024.9664276349306</v>
      </c>
      <c r="F17" s="11">
        <f t="shared" si="12"/>
        <v>1051.3590606111902</v>
      </c>
      <c r="G17" s="200">
        <f t="shared" si="11"/>
        <v>2.5305146622362162E-2</v>
      </c>
      <c r="H17" s="11"/>
      <c r="O17" s="11"/>
      <c r="P17" s="10" t="str">
        <f>name!D14</f>
        <v>35 Business and public service associate professionals</v>
      </c>
      <c r="Q17" s="11">
        <v>1184.4336164975182</v>
      </c>
      <c r="R17" s="11">
        <v>1111.1879352883907</v>
      </c>
      <c r="S17" s="342">
        <f t="shared" si="5"/>
        <v>-73.245681209127497</v>
      </c>
      <c r="T17" s="342">
        <v>431.96029449080311</v>
      </c>
      <c r="U17" s="342">
        <f t="shared" si="6"/>
        <v>358.71461328167561</v>
      </c>
      <c r="V17" s="343">
        <f t="shared" si="7"/>
        <v>2.0945200989881174E-2</v>
      </c>
      <c r="W17" s="343"/>
      <c r="X17" s="10" t="str">
        <f>name!A14</f>
        <v>Pharmaceuticals</v>
      </c>
      <c r="Y17" s="10">
        <v>51.007999999823106</v>
      </c>
      <c r="Z17" s="10">
        <v>52.086000000052557</v>
      </c>
      <c r="AA17" s="342">
        <f t="shared" si="8"/>
        <v>1.0780000002294514</v>
      </c>
      <c r="AB17" s="10">
        <v>23.585109535048936</v>
      </c>
      <c r="AC17" s="342">
        <f t="shared" si="9"/>
        <v>24.663109535278387</v>
      </c>
      <c r="AD17" s="343">
        <f t="shared" si="10"/>
        <v>2.5661438461649588E-2</v>
      </c>
    </row>
    <row r="18" spans="1:30" x14ac:dyDescent="0.3">
      <c r="A18" s="10" t="str">
        <f>name!D15</f>
        <v>41 Administrative occupations</v>
      </c>
      <c r="B18" s="11">
        <f t="shared" si="12"/>
        <v>3065.8450120205639</v>
      </c>
      <c r="C18" s="11">
        <f t="shared" si="12"/>
        <v>2684.5081609977888</v>
      </c>
      <c r="D18" s="11">
        <f t="shared" si="12"/>
        <v>-381.33685102277514</v>
      </c>
      <c r="E18" s="11">
        <f t="shared" si="12"/>
        <v>1389.8491041813447</v>
      </c>
      <c r="F18" s="11">
        <f t="shared" si="12"/>
        <v>1008.5122531585695</v>
      </c>
      <c r="G18" s="200">
        <f t="shared" si="11"/>
        <v>2.5237173992044504E-2</v>
      </c>
      <c r="H18" s="11"/>
      <c r="I18" s="86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1004.9447572906457</v>
      </c>
      <c r="R18" s="11">
        <v>1037.3803456113635</v>
      </c>
      <c r="S18" s="342">
        <f t="shared" si="5"/>
        <v>32.435588320717784</v>
      </c>
      <c r="T18" s="342">
        <v>369.90455498075977</v>
      </c>
      <c r="U18" s="342">
        <f t="shared" si="6"/>
        <v>402.34014330147755</v>
      </c>
      <c r="V18" s="343">
        <f t="shared" si="7"/>
        <v>2.1113914162764758E-2</v>
      </c>
      <c r="W18" s="343"/>
      <c r="X18" s="10" t="str">
        <f>name!A15</f>
        <v>Rubber and plastic</v>
      </c>
      <c r="Y18" s="10">
        <v>186.17899999963532</v>
      </c>
      <c r="Z18" s="10">
        <v>162.79600000022313</v>
      </c>
      <c r="AA18" s="342">
        <f t="shared" si="8"/>
        <v>-23.382999999412192</v>
      </c>
      <c r="AB18" s="10">
        <v>74.787576027899988</v>
      </c>
      <c r="AC18" s="342">
        <f t="shared" si="9"/>
        <v>51.404576028487796</v>
      </c>
      <c r="AD18" s="343">
        <f t="shared" si="10"/>
        <v>2.2767563767603249E-2</v>
      </c>
    </row>
    <row r="19" spans="1:30" x14ac:dyDescent="0.3">
      <c r="A19" s="10" t="str">
        <f>name!D16</f>
        <v>42 Secretarial and related occupations</v>
      </c>
      <c r="B19" s="11">
        <f t="shared" si="12"/>
        <v>675.89827543689898</v>
      </c>
      <c r="C19" s="11">
        <f t="shared" si="12"/>
        <v>570.45465442441719</v>
      </c>
      <c r="D19" s="11">
        <f t="shared" si="12"/>
        <v>-105.44362101248186</v>
      </c>
      <c r="E19" s="11">
        <f t="shared" si="12"/>
        <v>348.8936164839796</v>
      </c>
      <c r="F19" s="11">
        <f t="shared" si="12"/>
        <v>243.44999547149772</v>
      </c>
      <c r="G19" s="200">
        <f t="shared" si="11"/>
        <v>2.8135345012593405E-2</v>
      </c>
      <c r="H19" s="11"/>
      <c r="I19" s="11" t="str">
        <f t="shared" ref="I19:I27" si="13">I8</f>
        <v>Managers, directors and senior officials</v>
      </c>
      <c r="J19" s="11">
        <f t="array" ref="J19:J27">MMULT(aggregation!$B$38:$AA$46,B36:B61)</f>
        <v>60.298757515543485</v>
      </c>
      <c r="K19" s="11">
        <f t="array" ref="K19:K27">MMULT(aggregation!$B$38:$AA$46,C36:C61)</f>
        <v>118.75549489015386</v>
      </c>
      <c r="L19" s="11">
        <f t="array" ref="L19:L27">MMULT(aggregation!$B$38:$AA$46,D36:D61)</f>
        <v>58.45673737461037</v>
      </c>
      <c r="M19" s="11">
        <f t="array" ref="M19:M27">MMULT(aggregation!$B$38:$AA$46,E36:E61)</f>
        <v>49.806719145781742</v>
      </c>
      <c r="N19" s="11">
        <f t="array" ref="N19:N27">MMULT(aggregation!$B$38:$AA$46,F36:F61)</f>
        <v>108.26345652039211</v>
      </c>
      <c r="O19" s="11"/>
      <c r="P19" s="10" t="str">
        <f>name!D16</f>
        <v>42 Secretarial and related occupations</v>
      </c>
      <c r="Q19" s="11">
        <v>43.291709779888208</v>
      </c>
      <c r="R19" s="11">
        <v>69.579679642121931</v>
      </c>
      <c r="S19" s="342">
        <f t="shared" si="5"/>
        <v>26.287969862233723</v>
      </c>
      <c r="T19" s="342">
        <v>19.836836347772429</v>
      </c>
      <c r="U19" s="342">
        <f t="shared" si="6"/>
        <v>46.124806210006156</v>
      </c>
      <c r="V19" s="343">
        <f t="shared" si="7"/>
        <v>2.5466325027638126E-2</v>
      </c>
      <c r="W19" s="343"/>
      <c r="X19" s="10" t="str">
        <f>name!A16</f>
        <v>Other non-metallic</v>
      </c>
      <c r="Y19" s="10">
        <v>93.970999999898424</v>
      </c>
      <c r="Z19" s="10">
        <v>81.869000000050377</v>
      </c>
      <c r="AA19" s="342">
        <f t="shared" si="8"/>
        <v>-12.101999999848047</v>
      </c>
      <c r="AB19" s="10">
        <v>38.173913018489593</v>
      </c>
      <c r="AC19" s="342">
        <f t="shared" si="9"/>
        <v>26.071913018641546</v>
      </c>
      <c r="AD19" s="343">
        <f t="shared" si="10"/>
        <v>2.2987766202971827E-2</v>
      </c>
    </row>
    <row r="20" spans="1:30" x14ac:dyDescent="0.3">
      <c r="A20" s="10" t="str">
        <f>name!D17</f>
        <v>51 Skilled agricultural and related trades</v>
      </c>
      <c r="B20" s="11">
        <f t="shared" si="12"/>
        <v>376.47025514650511</v>
      </c>
      <c r="C20" s="11">
        <f t="shared" si="12"/>
        <v>423.49261595568009</v>
      </c>
      <c r="D20" s="11">
        <f t="shared" si="12"/>
        <v>47.022360809174955</v>
      </c>
      <c r="E20" s="11">
        <f t="shared" si="12"/>
        <v>218.81096615548063</v>
      </c>
      <c r="F20" s="11">
        <f t="shared" si="12"/>
        <v>265.8333269646555</v>
      </c>
      <c r="G20" s="200">
        <f t="shared" si="11"/>
        <v>3.101765215528518E-2</v>
      </c>
      <c r="H20" s="11"/>
      <c r="I20" s="11" t="str">
        <f t="shared" si="13"/>
        <v>Professional occupations</v>
      </c>
      <c r="J20" s="11">
        <v>438.49090656711093</v>
      </c>
      <c r="K20" s="11">
        <v>729.69768802841133</v>
      </c>
      <c r="L20" s="11">
        <v>291.20678146130035</v>
      </c>
      <c r="M20" s="11">
        <v>279.51360257480167</v>
      </c>
      <c r="N20" s="11">
        <v>570.72038403610202</v>
      </c>
      <c r="O20" s="11"/>
      <c r="P20" s="10" t="str">
        <f>name!D17</f>
        <v>51 Skilled agricultural and related trades</v>
      </c>
      <c r="Q20" s="11">
        <v>303.97513289187032</v>
      </c>
      <c r="R20" s="11">
        <v>323.74337055390657</v>
      </c>
      <c r="S20" s="342">
        <f t="shared" si="5"/>
        <v>19.768237662036256</v>
      </c>
      <c r="T20" s="342">
        <v>159.64842760451765</v>
      </c>
      <c r="U20" s="342">
        <f t="shared" si="6"/>
        <v>179.41666526655391</v>
      </c>
      <c r="V20" s="343">
        <f t="shared" si="7"/>
        <v>2.854152350130601E-2</v>
      </c>
      <c r="W20" s="343"/>
      <c r="X20" s="10" t="str">
        <f>name!A17</f>
        <v>Basic metals</v>
      </c>
      <c r="Y20" s="10">
        <v>61.690999999960979</v>
      </c>
      <c r="Z20" s="10">
        <v>53.181000000146554</v>
      </c>
      <c r="AA20" s="342">
        <f t="shared" si="8"/>
        <v>-8.5099999998144256</v>
      </c>
      <c r="AB20" s="10">
        <v>22.996346806168102</v>
      </c>
      <c r="AC20" s="342">
        <f t="shared" si="9"/>
        <v>14.486346806353676</v>
      </c>
      <c r="AD20" s="343">
        <f t="shared" si="10"/>
        <v>2.1346522291783243E-2</v>
      </c>
    </row>
    <row r="21" spans="1:30" x14ac:dyDescent="0.3">
      <c r="A21" s="10" t="str">
        <f>name!D18</f>
        <v>52 Skilled metal, electrical and electronic trades</v>
      </c>
      <c r="B21" s="11">
        <f t="shared" si="12"/>
        <v>1101.9773582511143</v>
      </c>
      <c r="C21" s="11">
        <f t="shared" si="12"/>
        <v>1030.162394183016</v>
      </c>
      <c r="D21" s="11">
        <f t="shared" si="12"/>
        <v>-71.814964068098334</v>
      </c>
      <c r="E21" s="11">
        <f t="shared" si="12"/>
        <v>409.67150609742322</v>
      </c>
      <c r="F21" s="11">
        <f t="shared" si="12"/>
        <v>337.85654202932488</v>
      </c>
      <c r="G21" s="200">
        <f t="shared" si="11"/>
        <v>2.1296593610457881E-2</v>
      </c>
      <c r="H21" s="11"/>
      <c r="I21" s="11" t="str">
        <f t="shared" si="13"/>
        <v>Associate professional occupations</v>
      </c>
      <c r="J21" s="11">
        <v>64.693246416762022</v>
      </c>
      <c r="K21" s="11">
        <v>122.30486253591781</v>
      </c>
      <c r="L21" s="11">
        <v>57.611616119155784</v>
      </c>
      <c r="M21" s="11">
        <v>45.200917098032541</v>
      </c>
      <c r="N21" s="11">
        <v>102.81253321718833</v>
      </c>
      <c r="O21" s="11"/>
      <c r="P21" s="10" t="str">
        <f>name!D18</f>
        <v>52 Skilled metal, electrical and electronic trades</v>
      </c>
      <c r="Q21" s="11">
        <v>1074.7938787991336</v>
      </c>
      <c r="R21" s="11">
        <v>951.98728285514289</v>
      </c>
      <c r="S21" s="342">
        <f t="shared" si="5"/>
        <v>-122.80659594399071</v>
      </c>
      <c r="T21" s="342">
        <v>373.58672918504573</v>
      </c>
      <c r="U21" s="342">
        <f t="shared" si="6"/>
        <v>250.78013324105501</v>
      </c>
      <c r="V21" s="343">
        <f t="shared" si="7"/>
        <v>2.0086893982477871E-2</v>
      </c>
      <c r="W21" s="343"/>
      <c r="X21" s="10" t="str">
        <f>name!A18</f>
        <v>Metal products</v>
      </c>
      <c r="Y21" s="10">
        <v>281.49899999927283</v>
      </c>
      <c r="Z21" s="10">
        <v>240.95400000030273</v>
      </c>
      <c r="AA21" s="342">
        <f t="shared" si="8"/>
        <v>-40.544999998970098</v>
      </c>
      <c r="AB21" s="10">
        <v>108.03195691709901</v>
      </c>
      <c r="AC21" s="342">
        <f t="shared" si="9"/>
        <v>67.486956918128911</v>
      </c>
      <c r="AD21" s="343">
        <f t="shared" si="10"/>
        <v>2.1890452163358054E-2</v>
      </c>
    </row>
    <row r="22" spans="1:30" x14ac:dyDescent="0.3">
      <c r="A22" s="10" t="str">
        <f>name!D19</f>
        <v>53 Skilled construction and building trades</v>
      </c>
      <c r="B22" s="11">
        <f t="shared" si="12"/>
        <v>902.60869973618549</v>
      </c>
      <c r="C22" s="11">
        <f t="shared" si="12"/>
        <v>888.79123577475832</v>
      </c>
      <c r="D22" s="11">
        <f t="shared" si="12"/>
        <v>-13.81746396142708</v>
      </c>
      <c r="E22" s="11">
        <f t="shared" si="12"/>
        <v>387.68579790988838</v>
      </c>
      <c r="F22" s="11">
        <f t="shared" si="12"/>
        <v>373.86833394846138</v>
      </c>
      <c r="G22" s="200">
        <f t="shared" si="11"/>
        <v>2.4108463653822909E-2</v>
      </c>
      <c r="H22" s="11"/>
      <c r="I22" s="11" t="str">
        <f t="shared" si="13"/>
        <v>Administrative and secretarial occupations</v>
      </c>
      <c r="J22" s="11">
        <v>21.543773109651585</v>
      </c>
      <c r="K22" s="11">
        <v>43.979183551576767</v>
      </c>
      <c r="L22" s="11">
        <v>22.435410441925178</v>
      </c>
      <c r="M22" s="11">
        <v>17.404155925220877</v>
      </c>
      <c r="N22" s="11">
        <v>39.839566367146055</v>
      </c>
      <c r="O22" s="11"/>
      <c r="P22" s="10" t="str">
        <f>name!D19</f>
        <v>53 Skilled construction and building trades</v>
      </c>
      <c r="Q22" s="11">
        <v>881.14209680591478</v>
      </c>
      <c r="R22" s="11">
        <v>859.7158864814952</v>
      </c>
      <c r="S22" s="342">
        <f t="shared" si="5"/>
        <v>-21.426210324419571</v>
      </c>
      <c r="T22" s="342">
        <v>373.91217161742844</v>
      </c>
      <c r="U22" s="342">
        <f t="shared" si="6"/>
        <v>352.48596129300887</v>
      </c>
      <c r="V22" s="343">
        <f t="shared" si="7"/>
        <v>2.3861243055997461E-2</v>
      </c>
      <c r="W22" s="343"/>
      <c r="X22" s="10" t="str">
        <f>name!A19</f>
        <v>Computer, etc</v>
      </c>
      <c r="Y22" s="10">
        <v>128.06699999964999</v>
      </c>
      <c r="Z22" s="10">
        <v>117.04900000015016</v>
      </c>
      <c r="AA22" s="342">
        <f t="shared" si="8"/>
        <v>-11.017999999499835</v>
      </c>
      <c r="AB22" s="10">
        <v>53.79329466454314</v>
      </c>
      <c r="AC22" s="342">
        <f t="shared" si="9"/>
        <v>42.775294665043305</v>
      </c>
      <c r="AD22" s="343">
        <f t="shared" si="10"/>
        <v>2.3654445814335512E-2</v>
      </c>
    </row>
    <row r="23" spans="1:30" x14ac:dyDescent="0.3">
      <c r="A23" s="10" t="str">
        <f>name!D20</f>
        <v>54 Textiles, printing and other skilled trades</v>
      </c>
      <c r="B23" s="11">
        <f t="shared" si="12"/>
        <v>647.87195370468589</v>
      </c>
      <c r="C23" s="11">
        <f t="shared" si="12"/>
        <v>647.60661016517997</v>
      </c>
      <c r="D23" s="11">
        <f t="shared" si="12"/>
        <v>-0.26534353950598444</v>
      </c>
      <c r="E23" s="11">
        <f t="shared" si="12"/>
        <v>276.57915260632291</v>
      </c>
      <c r="F23" s="11">
        <f t="shared" si="12"/>
        <v>276.31380906681687</v>
      </c>
      <c r="G23" s="200">
        <f t="shared" si="11"/>
        <v>2.3983560769097467E-2</v>
      </c>
      <c r="H23" s="11"/>
      <c r="I23" s="11" t="str">
        <f t="shared" si="13"/>
        <v>Skilled trades occupations</v>
      </c>
      <c r="J23" s="11">
        <v>6.0002894944935221</v>
      </c>
      <c r="K23" s="11">
        <v>12.54449996970957</v>
      </c>
      <c r="L23" s="11">
        <v>6.5442104752160457</v>
      </c>
      <c r="M23" s="11">
        <v>4.9219679062193631</v>
      </c>
      <c r="N23" s="11">
        <v>11.466178381435409</v>
      </c>
      <c r="O23" s="11"/>
      <c r="P23" s="10" t="str">
        <f>name!D20</f>
        <v>54 Textiles, printing and other skilled trades</v>
      </c>
      <c r="Q23" s="11">
        <v>385.2678051461524</v>
      </c>
      <c r="R23" s="11">
        <v>380.69227862888886</v>
      </c>
      <c r="S23" s="342">
        <f t="shared" si="5"/>
        <v>-4.5755265172635404</v>
      </c>
      <c r="T23" s="342">
        <v>124.14708776221802</v>
      </c>
      <c r="U23" s="342">
        <f t="shared" si="6"/>
        <v>119.57156124495448</v>
      </c>
      <c r="V23" s="343">
        <f t="shared" si="7"/>
        <v>1.8796070577016044E-2</v>
      </c>
      <c r="W23" s="343"/>
      <c r="X23" s="10" t="str">
        <f>name!A20</f>
        <v>Electrical equipment</v>
      </c>
      <c r="Y23" s="10">
        <v>73.031999999790429</v>
      </c>
      <c r="Z23" s="10">
        <v>69.085000000073691</v>
      </c>
      <c r="AA23" s="342">
        <f t="shared" si="8"/>
        <v>-3.9469999997167378</v>
      </c>
      <c r="AB23" s="10">
        <v>31.141840127397728</v>
      </c>
      <c r="AC23" s="342">
        <f t="shared" si="9"/>
        <v>27.19484012768099</v>
      </c>
      <c r="AD23" s="343">
        <f t="shared" si="10"/>
        <v>2.3960095008678461E-2</v>
      </c>
    </row>
    <row r="24" spans="1:30" x14ac:dyDescent="0.3">
      <c r="A24" s="10" t="str">
        <f>name!D21</f>
        <v>61 Caring personal service occupations</v>
      </c>
      <c r="B24" s="11">
        <f t="shared" si="12"/>
        <v>2366.0754145696496</v>
      </c>
      <c r="C24" s="11">
        <f t="shared" si="12"/>
        <v>2831.8232058058015</v>
      </c>
      <c r="D24" s="11">
        <f t="shared" si="12"/>
        <v>465.7477912361519</v>
      </c>
      <c r="E24" s="11">
        <f t="shared" si="12"/>
        <v>1473.745303560632</v>
      </c>
      <c r="F24" s="11">
        <f t="shared" si="12"/>
        <v>1939.4930947967841</v>
      </c>
      <c r="G24" s="200">
        <f t="shared" si="11"/>
        <v>3.2806171337909751E-2</v>
      </c>
      <c r="H24" s="11"/>
      <c r="I24" s="11" t="str">
        <f t="shared" si="13"/>
        <v>Caring, leisure and other service occupations</v>
      </c>
      <c r="J24" s="11">
        <v>3.5726666679502355</v>
      </c>
      <c r="K24" s="11">
        <v>8.631897054348256</v>
      </c>
      <c r="L24" s="11">
        <v>5.0592303863980206</v>
      </c>
      <c r="M24" s="11">
        <v>3.3924262176044486</v>
      </c>
      <c r="N24" s="11">
        <v>8.4516566040024692</v>
      </c>
      <c r="O24" s="11"/>
      <c r="P24" s="10" t="str">
        <f>name!D21</f>
        <v>61 Caring personal service occupations</v>
      </c>
      <c r="Q24" s="11">
        <v>369.85769879148097</v>
      </c>
      <c r="R24" s="11">
        <v>532.91813162272513</v>
      </c>
      <c r="S24" s="342">
        <f t="shared" si="5"/>
        <v>163.06043283124416</v>
      </c>
      <c r="T24" s="342">
        <v>210.08790831884767</v>
      </c>
      <c r="U24" s="342">
        <f t="shared" si="6"/>
        <v>373.14834115009182</v>
      </c>
      <c r="V24" s="343">
        <f t="shared" si="7"/>
        <v>3.0441892723820807E-2</v>
      </c>
      <c r="W24" s="343"/>
      <c r="X24" s="10" t="str">
        <f>name!A21</f>
        <v>Machinery n.e.c.</v>
      </c>
      <c r="Y24" s="10">
        <v>183.08699999947413</v>
      </c>
      <c r="Z24" s="10">
        <v>163.30300000015419</v>
      </c>
      <c r="AA24" s="342">
        <f t="shared" si="8"/>
        <v>-19.783999999319946</v>
      </c>
      <c r="AB24" s="10">
        <v>73.718010980723321</v>
      </c>
      <c r="AC24" s="342">
        <f t="shared" si="9"/>
        <v>53.934010981403375</v>
      </c>
      <c r="AD24" s="343">
        <f t="shared" si="10"/>
        <v>2.2813376167786892E-2</v>
      </c>
    </row>
    <row r="25" spans="1:30" x14ac:dyDescent="0.3">
      <c r="A25" s="10" t="str">
        <f>name!D22</f>
        <v>62 Leisure, travel and related personal service occupations</v>
      </c>
      <c r="B25" s="11">
        <f t="shared" si="12"/>
        <v>729.01453888132778</v>
      </c>
      <c r="C25" s="11">
        <f t="shared" si="12"/>
        <v>769.83325122450742</v>
      </c>
      <c r="D25" s="11">
        <f t="shared" si="12"/>
        <v>40.818712343179598</v>
      </c>
      <c r="E25" s="11">
        <f t="shared" si="12"/>
        <v>380.16420970967152</v>
      </c>
      <c r="F25" s="11">
        <f t="shared" si="12"/>
        <v>420.98292205285117</v>
      </c>
      <c r="G25" s="200">
        <f t="shared" si="11"/>
        <v>2.8373846940400904E-2</v>
      </c>
      <c r="H25" s="11"/>
      <c r="I25" s="11" t="str">
        <f t="shared" si="13"/>
        <v>Sales and customer service occupations</v>
      </c>
      <c r="J25" s="11">
        <v>8.3813494127914012</v>
      </c>
      <c r="K25" s="11">
        <v>17.805344073352586</v>
      </c>
      <c r="L25" s="11">
        <v>9.4239946605611866</v>
      </c>
      <c r="M25" s="11">
        <v>6.2317069806505581</v>
      </c>
      <c r="N25" s="11">
        <v>15.655701641211746</v>
      </c>
      <c r="O25" s="11"/>
      <c r="P25" s="10" t="str">
        <f>name!D22</f>
        <v>62 Leisure, travel and related personal service occupations</v>
      </c>
      <c r="Q25" s="11">
        <v>239.15645027242459</v>
      </c>
      <c r="R25" s="11">
        <v>271.05536182923242</v>
      </c>
      <c r="S25" s="342">
        <f t="shared" si="5"/>
        <v>31.898911556807832</v>
      </c>
      <c r="T25" s="342">
        <v>110.37375501840064</v>
      </c>
      <c r="U25" s="342">
        <f t="shared" si="6"/>
        <v>142.27266657520846</v>
      </c>
      <c r="V25" s="343">
        <f t="shared" si="7"/>
        <v>2.5620849500815002E-2</v>
      </c>
      <c r="W25" s="343"/>
      <c r="X25" s="10" t="str">
        <f>name!A22</f>
        <v>Motor vehicles, etc</v>
      </c>
      <c r="Y25" s="10">
        <v>150.10199999942225</v>
      </c>
      <c r="Z25" s="10">
        <v>137.84399999999374</v>
      </c>
      <c r="AA25" s="342">
        <f t="shared" si="8"/>
        <v>-12.257999999428506</v>
      </c>
      <c r="AB25" s="10">
        <v>58.423239840350021</v>
      </c>
      <c r="AC25" s="342">
        <f t="shared" si="9"/>
        <v>46.165239840921515</v>
      </c>
      <c r="AD25" s="343">
        <f t="shared" si="10"/>
        <v>2.2158262042498489E-2</v>
      </c>
    </row>
    <row r="26" spans="1:30" x14ac:dyDescent="0.3">
      <c r="A26" s="10" t="str">
        <f>name!D23</f>
        <v>63 Community and civil enforcement occupations</v>
      </c>
      <c r="B26" s="11">
        <f t="shared" si="12"/>
        <v>38.450806585208831</v>
      </c>
      <c r="C26" s="11">
        <f t="shared" si="12"/>
        <v>33.642958409426534</v>
      </c>
      <c r="D26" s="11">
        <f t="shared" si="12"/>
        <v>-4.807848175782298</v>
      </c>
      <c r="E26" s="11">
        <f t="shared" si="12"/>
        <v>15.989916065692373</v>
      </c>
      <c r="F26" s="11">
        <f t="shared" si="12"/>
        <v>11.182067889910074</v>
      </c>
      <c r="G26" s="200">
        <f t="shared" si="11"/>
        <v>2.3452980598266837E-2</v>
      </c>
      <c r="H26" s="11"/>
      <c r="I26" s="11" t="str">
        <f t="shared" si="13"/>
        <v>Process, plant and machine operatives</v>
      </c>
      <c r="J26" s="11">
        <v>5.3665959566709063</v>
      </c>
      <c r="K26" s="11">
        <v>16.856466944242875</v>
      </c>
      <c r="L26" s="11">
        <v>11.489870987571971</v>
      </c>
      <c r="M26" s="11">
        <v>6.8119910980700684</v>
      </c>
      <c r="N26" s="11">
        <v>18.301862085642039</v>
      </c>
      <c r="O26" s="11"/>
      <c r="P26" s="10" t="str">
        <f>name!D23</f>
        <v>63 Community and civil enforcement occupations</v>
      </c>
      <c r="Q26" s="11">
        <v>29.587882763207844</v>
      </c>
      <c r="R26" s="11">
        <v>22.090009419199141</v>
      </c>
      <c r="S26" s="342">
        <f t="shared" si="5"/>
        <v>-7.4978733440087026</v>
      </c>
      <c r="T26" s="342">
        <v>8.7250466628333072</v>
      </c>
      <c r="U26" s="342">
        <f t="shared" si="6"/>
        <v>1.2271733188246046</v>
      </c>
      <c r="V26" s="343">
        <f t="shared" si="7"/>
        <v>1.7377428189352617E-2</v>
      </c>
      <c r="W26" s="343"/>
      <c r="X26" s="10" t="str">
        <f>name!A23</f>
        <v>Other transport equipment</v>
      </c>
      <c r="Y26" s="10">
        <v>144.07699999955437</v>
      </c>
      <c r="Z26" s="10">
        <v>121.82300000000795</v>
      </c>
      <c r="AA26" s="342">
        <f t="shared" si="8"/>
        <v>-22.253999999546423</v>
      </c>
      <c r="AB26" s="10">
        <v>49.795064238355167</v>
      </c>
      <c r="AC26" s="342">
        <f t="shared" si="9"/>
        <v>27.541064238808744</v>
      </c>
      <c r="AD26" s="343">
        <f t="shared" si="10"/>
        <v>1.9987161035221135E-2</v>
      </c>
    </row>
    <row r="27" spans="1:30" x14ac:dyDescent="0.3">
      <c r="A27" s="10" t="str">
        <f>name!D24</f>
        <v>71 Sales occupations</v>
      </c>
      <c r="B27" s="11">
        <f t="shared" ref="B27:F33" si="14">SUM(B56,B85,B114,B143,B172,B201,B230,B259,B288)</f>
        <v>2182.3387584985471</v>
      </c>
      <c r="C27" s="11">
        <f t="shared" si="14"/>
        <v>1927.0365395209446</v>
      </c>
      <c r="D27" s="11">
        <f t="shared" si="14"/>
        <v>-255.30221897760268</v>
      </c>
      <c r="E27" s="11">
        <f t="shared" si="14"/>
        <v>926.45995940940816</v>
      </c>
      <c r="F27" s="11">
        <f t="shared" si="14"/>
        <v>671.15774043180568</v>
      </c>
      <c r="G27" s="200">
        <f t="shared" si="11"/>
        <v>2.3869711883188982E-2</v>
      </c>
      <c r="H27" s="11"/>
      <c r="I27" s="11" t="str">
        <f t="shared" si="13"/>
        <v>Elementary occupations</v>
      </c>
      <c r="J27" s="11">
        <v>3.0179832194021343</v>
      </c>
      <c r="K27" s="11">
        <v>6.6166166254757455</v>
      </c>
      <c r="L27" s="11">
        <v>3.5986334060736107</v>
      </c>
      <c r="M27" s="11">
        <v>2.795928279684559</v>
      </c>
      <c r="N27" s="11">
        <v>6.3945616857581689</v>
      </c>
      <c r="O27" s="11"/>
      <c r="P27" s="10" t="str">
        <f>name!D24</f>
        <v>71 Sales occupations</v>
      </c>
      <c r="Q27" s="11">
        <v>892.98198416227251</v>
      </c>
      <c r="R27" s="11">
        <v>823.84181487414082</v>
      </c>
      <c r="S27" s="342">
        <f t="shared" si="5"/>
        <v>-69.140169288131688</v>
      </c>
      <c r="T27" s="342">
        <v>281.8750382014756</v>
      </c>
      <c r="U27" s="342">
        <f t="shared" si="6"/>
        <v>212.73486891334392</v>
      </c>
      <c r="V27" s="343">
        <f t="shared" si="7"/>
        <v>1.8457290413481653E-2</v>
      </c>
      <c r="W27" s="343"/>
      <c r="X27" s="10" t="str">
        <f>name!A24</f>
        <v>Furniture</v>
      </c>
      <c r="Y27" s="10">
        <v>97.85199999990931</v>
      </c>
      <c r="Z27" s="10">
        <v>80.962000000195928</v>
      </c>
      <c r="AA27" s="342">
        <f t="shared" si="8"/>
        <v>-16.889999999713382</v>
      </c>
      <c r="AB27" s="10">
        <v>36.166870825232706</v>
      </c>
      <c r="AC27" s="342">
        <f t="shared" si="9"/>
        <v>19.276870825519325</v>
      </c>
      <c r="AD27" s="343">
        <f t="shared" si="10"/>
        <v>2.1189678322910854E-2</v>
      </c>
    </row>
    <row r="28" spans="1:30" x14ac:dyDescent="0.3">
      <c r="A28" s="10" t="str">
        <f>name!D25</f>
        <v>72 Customer service occupations</v>
      </c>
      <c r="B28" s="11">
        <f t="shared" si="14"/>
        <v>604.74815671761019</v>
      </c>
      <c r="C28" s="11">
        <f t="shared" si="14"/>
        <v>889.38998169618935</v>
      </c>
      <c r="D28" s="11">
        <f t="shared" si="14"/>
        <v>284.64182497857911</v>
      </c>
      <c r="E28" s="11">
        <f t="shared" si="14"/>
        <v>362.88294392232518</v>
      </c>
      <c r="F28" s="11">
        <f t="shared" si="14"/>
        <v>647.52476890090441</v>
      </c>
      <c r="G28" s="200">
        <f t="shared" si="11"/>
        <v>3.1832059993149642E-2</v>
      </c>
      <c r="H28" s="11"/>
      <c r="O28" s="11"/>
      <c r="P28" s="10" t="str">
        <f>name!D25</f>
        <v>72 Customer service occupations</v>
      </c>
      <c r="Q28" s="11">
        <v>237.44794155271015</v>
      </c>
      <c r="R28" s="11">
        <v>387.52098173476327</v>
      </c>
      <c r="S28" s="342">
        <f t="shared" si="5"/>
        <v>150.07304018205312</v>
      </c>
      <c r="T28" s="342">
        <v>116.09375892238918</v>
      </c>
      <c r="U28" s="342">
        <f t="shared" si="6"/>
        <v>266.1667991044423</v>
      </c>
      <c r="V28" s="343">
        <f t="shared" si="7"/>
        <v>2.6892107183178249E-2</v>
      </c>
      <c r="W28" s="343"/>
      <c r="X28" s="10" t="str">
        <f>name!A25</f>
        <v>Other manufacturing</v>
      </c>
      <c r="Y28" s="10">
        <v>104.09399999973414</v>
      </c>
      <c r="Z28" s="10">
        <v>85.78000000013752</v>
      </c>
      <c r="AA28" s="342">
        <f t="shared" si="8"/>
        <v>-18.313999999596618</v>
      </c>
      <c r="AB28" s="10">
        <v>41.49824101864872</v>
      </c>
      <c r="AC28" s="342">
        <f t="shared" si="9"/>
        <v>23.184241019052102</v>
      </c>
      <c r="AD28" s="343">
        <f t="shared" si="10"/>
        <v>2.2619733139495946E-2</v>
      </c>
    </row>
    <row r="29" spans="1:30" x14ac:dyDescent="0.3">
      <c r="A29" s="10" t="str">
        <f>name!D26</f>
        <v>81 Process, plant and machine operatives</v>
      </c>
      <c r="B29" s="11">
        <f t="shared" si="14"/>
        <v>765.07385705408819</v>
      </c>
      <c r="C29" s="11">
        <f t="shared" si="14"/>
        <v>906.83226165037149</v>
      </c>
      <c r="D29" s="11">
        <f t="shared" si="14"/>
        <v>141.75840459628319</v>
      </c>
      <c r="E29" s="11">
        <f t="shared" si="14"/>
        <v>353.74935888476273</v>
      </c>
      <c r="F29" s="11">
        <f t="shared" si="14"/>
        <v>495.50776348104591</v>
      </c>
      <c r="G29" s="200">
        <f t="shared" si="11"/>
        <v>2.566107491478653E-2</v>
      </c>
      <c r="H29" s="11"/>
      <c r="I29" s="86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591.41640268122455</v>
      </c>
      <c r="R29" s="11">
        <v>684.66526960856299</v>
      </c>
      <c r="S29" s="342">
        <f t="shared" si="5"/>
        <v>93.24886692733844</v>
      </c>
      <c r="T29" s="342">
        <v>247.84932288286231</v>
      </c>
      <c r="U29" s="342">
        <f t="shared" si="6"/>
        <v>341.09818981020078</v>
      </c>
      <c r="V29" s="343">
        <f t="shared" si="7"/>
        <v>2.3608165043835561E-2</v>
      </c>
      <c r="W29" s="343"/>
      <c r="X29" s="10" t="str">
        <f>name!A26</f>
        <v>Repair and installation</v>
      </c>
      <c r="Y29" s="10">
        <v>149.06999999955988</v>
      </c>
      <c r="Z29" s="10">
        <v>124.41599999989337</v>
      </c>
      <c r="AA29" s="342">
        <f t="shared" si="8"/>
        <v>-24.65399999966651</v>
      </c>
      <c r="AB29" s="10">
        <v>53.084436608220656</v>
      </c>
      <c r="AC29" s="342">
        <f t="shared" si="9"/>
        <v>28.430436608554146</v>
      </c>
      <c r="AD29" s="343">
        <f t="shared" si="10"/>
        <v>2.0515334805255137E-2</v>
      </c>
    </row>
    <row r="30" spans="1:30" x14ac:dyDescent="0.3">
      <c r="A30" s="10" t="str">
        <f>name!D27</f>
        <v>82 Transport and mobile machine drivers and operatives</v>
      </c>
      <c r="B30" s="11">
        <f t="shared" si="14"/>
        <v>1192.1983711089599</v>
      </c>
      <c r="C30" s="11">
        <f t="shared" si="14"/>
        <v>1272.0792886398049</v>
      </c>
      <c r="D30" s="11">
        <f t="shared" si="14"/>
        <v>79.880917530844826</v>
      </c>
      <c r="E30" s="11">
        <f t="shared" si="14"/>
        <v>667.65850811243592</v>
      </c>
      <c r="F30" s="11">
        <f t="shared" si="14"/>
        <v>747.53942564328088</v>
      </c>
      <c r="G30" s="200">
        <f t="shared" si="11"/>
        <v>3.009054310625614E-2</v>
      </c>
      <c r="H30" s="11"/>
      <c r="I30" s="11" t="str">
        <f>I19</f>
        <v>Managers, directors and senior officials</v>
      </c>
      <c r="J30" s="11">
        <f t="array" ref="J30:J38">MMULT(aggregation!$B$38:$AA$46,B65:B90)</f>
        <v>514.95109428442106</v>
      </c>
      <c r="K30" s="11">
        <f t="array" ref="K30:K38">MMULT(aggregation!$B$38:$AA$46,C65:C90)</f>
        <v>963.47460794030303</v>
      </c>
      <c r="L30" s="11">
        <f t="array" ref="L30:L38">MMULT(aggregation!$B$38:$AA$46,D65:D90)</f>
        <v>448.52351365588197</v>
      </c>
      <c r="M30" s="11">
        <f t="array" ref="M30:M38">MMULT(aggregation!$B$38:$AA$46,E65:E90)</f>
        <v>409.62351163271899</v>
      </c>
      <c r="N30" s="11">
        <f t="array" ref="N30:N38">MMULT(aggregation!$B$38:$AA$46,F65:F90)</f>
        <v>858.14702528860096</v>
      </c>
      <c r="O30" s="11"/>
      <c r="P30" s="10" t="str">
        <f>name!D27</f>
        <v>82 Transport and mobile machine drivers and operatives</v>
      </c>
      <c r="Q30" s="11">
        <v>1121.830455666314</v>
      </c>
      <c r="R30" s="11">
        <v>1153.3367925900011</v>
      </c>
      <c r="S30" s="342">
        <f t="shared" si="5"/>
        <v>31.506336923687059</v>
      </c>
      <c r="T30" s="342">
        <v>602.95087133750542</v>
      </c>
      <c r="U30" s="342">
        <f t="shared" si="6"/>
        <v>634.45720826119248</v>
      </c>
      <c r="V30" s="343">
        <f t="shared" si="7"/>
        <v>2.9091018119174583E-2</v>
      </c>
      <c r="W30" s="343"/>
      <c r="X30" s="10" t="str">
        <f>name!A27</f>
        <v>Electricity, gas, etc</v>
      </c>
      <c r="Y30" s="10">
        <v>145.99299999949051</v>
      </c>
      <c r="Z30" s="10">
        <v>138.5459999994923</v>
      </c>
      <c r="AA30" s="342">
        <f t="shared" si="8"/>
        <v>-7.4469999999982122</v>
      </c>
      <c r="AB30" s="10">
        <v>59.680488997827617</v>
      </c>
      <c r="AC30" s="342">
        <f t="shared" si="9"/>
        <v>52.233488997829404</v>
      </c>
      <c r="AD30" s="343">
        <f t="shared" si="10"/>
        <v>2.311178089938859E-2</v>
      </c>
    </row>
    <row r="31" spans="1:30" x14ac:dyDescent="0.3">
      <c r="A31" s="10" t="str">
        <f>name!D28</f>
        <v>91 Elementary trades and related occupations</v>
      </c>
      <c r="B31" s="11">
        <f t="shared" si="14"/>
        <v>464.80863120633876</v>
      </c>
      <c r="C31" s="11">
        <f t="shared" si="14"/>
        <v>368.2541352592811</v>
      </c>
      <c r="D31" s="11">
        <f t="shared" si="14"/>
        <v>-96.55449594705766</v>
      </c>
      <c r="E31" s="11">
        <f t="shared" si="14"/>
        <v>152.81011939748237</v>
      </c>
      <c r="F31" s="11">
        <f t="shared" si="14"/>
        <v>56.255623450424686</v>
      </c>
      <c r="G31" s="200">
        <f t="shared" si="11"/>
        <v>1.9130390749522608E-2</v>
      </c>
      <c r="H31" s="11"/>
      <c r="I31" s="11" t="str">
        <f>I20</f>
        <v>Professional occupations</v>
      </c>
      <c r="J31" s="11">
        <v>2382.9468719813444</v>
      </c>
      <c r="K31" s="11">
        <v>3886.1318686382438</v>
      </c>
      <c r="L31" s="11">
        <v>1503.1849966568991</v>
      </c>
      <c r="M31" s="11">
        <v>1568.1876425374594</v>
      </c>
      <c r="N31" s="11">
        <v>3071.3726391943583</v>
      </c>
      <c r="O31" s="11"/>
      <c r="P31" s="10" t="str">
        <f>name!D28</f>
        <v>91 Elementary trades and related occupations</v>
      </c>
      <c r="Q31" s="11">
        <v>366.35911682474841</v>
      </c>
      <c r="R31" s="11">
        <v>285.97562053211072</v>
      </c>
      <c r="S31" s="342">
        <f t="shared" si="5"/>
        <v>-80.383496292637687</v>
      </c>
      <c r="T31" s="342">
        <v>100.05460968837718</v>
      </c>
      <c r="U31" s="342">
        <f t="shared" si="6"/>
        <v>19.671113395739496</v>
      </c>
      <c r="V31" s="343">
        <f t="shared" si="7"/>
        <v>1.6227526985640228E-2</v>
      </c>
      <c r="W31" s="343"/>
      <c r="X31" s="10" t="str">
        <f>name!A28</f>
        <v>Water</v>
      </c>
      <c r="Y31" s="10">
        <v>45.078999999830756</v>
      </c>
      <c r="Z31" s="10">
        <v>51.075000000006845</v>
      </c>
      <c r="AA31" s="342">
        <f t="shared" si="8"/>
        <v>5.9960000001760889</v>
      </c>
      <c r="AB31" s="10">
        <v>21.203838854688307</v>
      </c>
      <c r="AC31" s="342">
        <f t="shared" si="9"/>
        <v>27.199838854864396</v>
      </c>
      <c r="AD31" s="343">
        <f t="shared" si="10"/>
        <v>2.6034085347453884E-2</v>
      </c>
    </row>
    <row r="32" spans="1:30" x14ac:dyDescent="0.3">
      <c r="A32" s="10" t="str">
        <f>name!D29</f>
        <v>92 Elementary administration and service occupations</v>
      </c>
      <c r="B32" s="11">
        <f t="shared" si="14"/>
        <v>3133.5251022906691</v>
      </c>
      <c r="C32" s="11">
        <f t="shared" si="14"/>
        <v>3085.5818095627974</v>
      </c>
      <c r="D32" s="11">
        <f t="shared" si="14"/>
        <v>-47.943292727871551</v>
      </c>
      <c r="E32" s="11">
        <f t="shared" si="14"/>
        <v>1535.5425944235601</v>
      </c>
      <c r="F32" s="11">
        <f t="shared" si="14"/>
        <v>1487.5993016956888</v>
      </c>
      <c r="G32" s="200">
        <f t="shared" ref="G32" si="15">IF(B32&gt;0,(1+(E32/B32))^(1/($C$6-$B$6))-1,0)</f>
        <v>2.6943300846090645E-2</v>
      </c>
      <c r="H32" s="11"/>
      <c r="I32" s="11" t="str">
        <f>I21</f>
        <v>Associate professional occupations</v>
      </c>
      <c r="J32" s="11">
        <v>725.67244787315985</v>
      </c>
      <c r="K32" s="11">
        <v>1261.4996175765905</v>
      </c>
      <c r="L32" s="11">
        <v>535.82716970343074</v>
      </c>
      <c r="M32" s="11">
        <v>488.22246126623531</v>
      </c>
      <c r="N32" s="11">
        <v>1024.0496309696659</v>
      </c>
      <c r="O32" s="11"/>
      <c r="P32" s="10" t="str">
        <f>name!D29</f>
        <v>92 Elementary administration and service occupations</v>
      </c>
      <c r="Q32" s="11">
        <v>1532.5978410910091</v>
      </c>
      <c r="R32" s="11">
        <v>1565.7526621758986</v>
      </c>
      <c r="S32" s="342">
        <f t="shared" ref="S32" si="16">R32-Q32</f>
        <v>33.154821084889591</v>
      </c>
      <c r="T32" s="342">
        <v>641.2227134280256</v>
      </c>
      <c r="U32" s="342">
        <f>SUM(S32:T32)</f>
        <v>674.37753451291519</v>
      </c>
      <c r="V32" s="343">
        <f>IF(Q32&gt;0,(1+(T32/Q32))^(1/($C$6-$B$6))-1,0)</f>
        <v>2.3575067674916239E-2</v>
      </c>
      <c r="W32" s="343"/>
      <c r="X32" s="10" t="str">
        <f>name!A29</f>
        <v>Sewerage</v>
      </c>
      <c r="Y32" s="10">
        <v>22.515000000017348</v>
      </c>
      <c r="Z32" s="10">
        <v>25.694000000224548</v>
      </c>
      <c r="AA32" s="342">
        <f t="shared" si="8"/>
        <v>3.1790000002071999</v>
      </c>
      <c r="AB32" s="10">
        <v>10.426546960881607</v>
      </c>
      <c r="AC32" s="342">
        <f t="shared" si="9"/>
        <v>13.605546961088807</v>
      </c>
      <c r="AD32" s="343">
        <f t="shared" si="10"/>
        <v>2.5694757859975104E-2</v>
      </c>
    </row>
    <row r="33" spans="1:30" x14ac:dyDescent="0.3">
      <c r="A33" t="str">
        <f>name!D3</f>
        <v>All occupations</v>
      </c>
      <c r="B33" s="11">
        <f t="shared" si="14"/>
        <v>34974.967999999833</v>
      </c>
      <c r="C33" s="11">
        <f t="shared" si="14"/>
        <v>37567.872000000098</v>
      </c>
      <c r="D33" s="11">
        <f t="shared" si="14"/>
        <v>2592.9040000002642</v>
      </c>
      <c r="E33" s="11">
        <f t="shared" si="14"/>
        <v>17534.355663602433</v>
      </c>
      <c r="F33" s="11">
        <f t="shared" si="14"/>
        <v>20127.259663602697</v>
      </c>
      <c r="G33" s="200">
        <f t="shared" si="11"/>
        <v>2.7460827719290926E-2</v>
      </c>
      <c r="H33" s="11"/>
      <c r="I33" s="11" t="str">
        <f>I22</f>
        <v>Administrative and secretarial occupations</v>
      </c>
      <c r="J33" s="11">
        <v>260.3745109838278</v>
      </c>
      <c r="K33" s="11">
        <v>476.23353992003013</v>
      </c>
      <c r="L33" s="11">
        <v>215.85902893620235</v>
      </c>
      <c r="M33" s="11">
        <v>202.44051930900375</v>
      </c>
      <c r="N33" s="11">
        <v>418.2995482452061</v>
      </c>
      <c r="O33" s="11"/>
      <c r="P33" s="10" t="str">
        <f>name!D3</f>
        <v>All occupations</v>
      </c>
      <c r="Q33" s="11">
        <f>SUM(Q7:Q32)</f>
        <v>18072.08199999978</v>
      </c>
      <c r="R33" s="11">
        <f>SUM(R7:R32)</f>
        <v>19212.934999999903</v>
      </c>
      <c r="S33" s="342">
        <f>R33-Q33</f>
        <v>1140.8530000001228</v>
      </c>
      <c r="T33" s="11">
        <f>SUM(T7:T32)</f>
        <v>7557.7581698058766</v>
      </c>
      <c r="U33" s="342">
        <f>SUM(S33:T33)</f>
        <v>8698.6111698059995</v>
      </c>
      <c r="V33" s="343">
        <f t="shared" si="7"/>
        <v>2.3565990307462092E-2</v>
      </c>
      <c r="W33" s="11"/>
      <c r="X33" s="10" t="str">
        <f>name!A30</f>
        <v>Waste management</v>
      </c>
      <c r="Y33" s="10">
        <v>142.40599999974893</v>
      </c>
      <c r="Z33" s="10">
        <v>160.70100000082169</v>
      </c>
      <c r="AA33" s="342">
        <f t="shared" si="8"/>
        <v>18.295000001072765</v>
      </c>
      <c r="AB33" s="10">
        <v>66.84691975042432</v>
      </c>
      <c r="AC33" s="342">
        <f t="shared" si="9"/>
        <v>85.141919751497085</v>
      </c>
      <c r="AD33" s="343">
        <f t="shared" si="10"/>
        <v>2.598942052596187E-2</v>
      </c>
    </row>
    <row r="34" spans="1:30" ht="30" customHeight="1" x14ac:dyDescent="0.3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69.774351507928998</v>
      </c>
      <c r="K34" s="11">
        <v>170.00025829574417</v>
      </c>
      <c r="L34" s="11">
        <v>100.22590678781521</v>
      </c>
      <c r="M34" s="11">
        <v>62.470031627835809</v>
      </c>
      <c r="N34" s="11">
        <v>162.69593841565097</v>
      </c>
      <c r="O34" s="11"/>
      <c r="P34" s="23"/>
      <c r="Q34" s="33"/>
      <c r="R34" s="33"/>
      <c r="S34" s="33"/>
      <c r="T34" s="33"/>
      <c r="U34" s="33"/>
      <c r="V34" s="33"/>
      <c r="W34" s="345"/>
      <c r="X34" s="10" t="str">
        <f>name!A31</f>
        <v>Construction</v>
      </c>
      <c r="Y34" s="10">
        <v>756.94499998924687</v>
      </c>
      <c r="Z34" s="10">
        <v>854.33299998294854</v>
      </c>
      <c r="AA34" s="342">
        <f t="shared" si="8"/>
        <v>97.387999993701669</v>
      </c>
      <c r="AB34" s="10">
        <v>343.68398402181634</v>
      </c>
      <c r="AC34" s="342">
        <f t="shared" si="9"/>
        <v>441.07198401551801</v>
      </c>
      <c r="AD34" s="343">
        <f t="shared" si="10"/>
        <v>2.5270452171174851E-2</v>
      </c>
    </row>
    <row r="35" spans="1:30" ht="24.9" x14ac:dyDescent="0.3">
      <c r="A35" s="201" t="str">
        <f>CONCATENATE(name!F4," (Constrained)")</f>
        <v>RQF8 Doctorate (Constrained)</v>
      </c>
      <c r="B35" s="74">
        <f t="shared" ref="B35:G35" si="17">B6</f>
        <v>2020</v>
      </c>
      <c r="C35" s="74">
        <f t="shared" si="17"/>
        <v>2035</v>
      </c>
      <c r="D35" s="87" t="str">
        <f t="shared" si="17"/>
        <v>Net Change</v>
      </c>
      <c r="E35" s="87" t="str">
        <f t="shared" si="17"/>
        <v>Replacement Demand level</v>
      </c>
      <c r="F35" s="87" t="str">
        <f t="shared" si="17"/>
        <v>Total Requirement</v>
      </c>
      <c r="G35" s="87" t="str">
        <f t="shared" si="17"/>
        <v>Replacement Demand rate</v>
      </c>
      <c r="H35" s="11"/>
      <c r="I35" s="11" t="str">
        <f t="shared" ref="I35:I38" si="18">I24</f>
        <v>Caring, leisure and other service occupations</v>
      </c>
      <c r="J35" s="11">
        <v>132.43251421996709</v>
      </c>
      <c r="K35" s="11">
        <v>304.02288949792484</v>
      </c>
      <c r="L35" s="11">
        <v>171.59037527795775</v>
      </c>
      <c r="M35" s="11">
        <v>128.46386562837901</v>
      </c>
      <c r="N35" s="11">
        <v>300.05424090633676</v>
      </c>
      <c r="O35" s="11"/>
      <c r="P35" s="201" t="s">
        <v>99</v>
      </c>
      <c r="Q35" s="74">
        <f t="shared" ref="Q35:V35" si="19">B35</f>
        <v>2020</v>
      </c>
      <c r="R35" s="74">
        <f t="shared" si="19"/>
        <v>2035</v>
      </c>
      <c r="S35" s="341" t="str">
        <f t="shared" si="19"/>
        <v>Net Change</v>
      </c>
      <c r="T35" s="341" t="str">
        <f t="shared" si="19"/>
        <v>Replacement Demand level</v>
      </c>
      <c r="U35" s="341" t="str">
        <f t="shared" si="19"/>
        <v>Total Requirement</v>
      </c>
      <c r="V35" s="341" t="str">
        <f t="shared" si="19"/>
        <v>Replacement Demand rate</v>
      </c>
      <c r="W35" s="343"/>
      <c r="X35" s="10" t="str">
        <f>name!A32</f>
        <v>Civil engineering</v>
      </c>
      <c r="Y35" s="10">
        <v>310.04099999585242</v>
      </c>
      <c r="Z35" s="10">
        <v>341.76799999278114</v>
      </c>
      <c r="AA35" s="342">
        <f t="shared" si="8"/>
        <v>31.726999996928726</v>
      </c>
      <c r="AB35" s="10">
        <v>132.91610005186317</v>
      </c>
      <c r="AC35" s="342">
        <f t="shared" si="9"/>
        <v>164.64310004879189</v>
      </c>
      <c r="AD35" s="343">
        <f t="shared" si="10"/>
        <v>2.4069667116587423E-2</v>
      </c>
    </row>
    <row r="36" spans="1:30" ht="12.75" customHeight="1" x14ac:dyDescent="0.3">
      <c r="A36" t="str">
        <f t="shared" ref="A36:A62" si="20">A7</f>
        <v>11 Corporate managers and directors</v>
      </c>
      <c r="B36" s="11">
        <v>44.40005408566455</v>
      </c>
      <c r="C36" s="11">
        <v>77.429826670031517</v>
      </c>
      <c r="D36" s="11">
        <f>C36-B36</f>
        <v>33.029772584366967</v>
      </c>
      <c r="E36" s="11">
        <v>31.835031611750399</v>
      </c>
      <c r="F36" s="11">
        <f>SUM(D36:E36)</f>
        <v>64.864804196117362</v>
      </c>
      <c r="G36" s="200">
        <f>IF(B36&gt;0,(1+(E36/B36))^(1/($C$6-$B$6))-1,0)</f>
        <v>3.6696008101580357E-2</v>
      </c>
      <c r="I36" s="11" t="str">
        <f t="shared" si="18"/>
        <v>Sales and customer service occupations</v>
      </c>
      <c r="J36" s="11">
        <v>115.82442512823985</v>
      </c>
      <c r="K36" s="11">
        <v>261.87776891884448</v>
      </c>
      <c r="L36" s="11">
        <v>146.0533437906046</v>
      </c>
      <c r="M36" s="11">
        <v>91.521051720076841</v>
      </c>
      <c r="N36" s="11">
        <v>237.57439551068143</v>
      </c>
      <c r="P36" s="10" t="str">
        <f>name!D4</f>
        <v>11 Corporate managers and directors</v>
      </c>
      <c r="Q36" s="11">
        <v>882.78203126444043</v>
      </c>
      <c r="R36" s="11">
        <v>1036.5752465545781</v>
      </c>
      <c r="S36" s="342">
        <f>R36-Q36</f>
        <v>153.79321529013771</v>
      </c>
      <c r="T36" s="342">
        <v>549.21271851160748</v>
      </c>
      <c r="U36" s="342">
        <f>SUM(S36:T36)</f>
        <v>703.00593380174519</v>
      </c>
      <c r="V36" s="343">
        <f>IF(Q36&gt;0,(1+(T36/Q36))^(1/($C$6-$B$6))-1,0)</f>
        <v>3.2775347563452684E-2</v>
      </c>
      <c r="W36" s="343"/>
      <c r="X36" s="10" t="str">
        <f>name!A33</f>
        <v>Specialised construction</v>
      </c>
      <c r="Y36" s="10">
        <v>1252.0109999827446</v>
      </c>
      <c r="Z36" s="10">
        <v>1386.9519999703471</v>
      </c>
      <c r="AA36" s="342">
        <f t="shared" si="8"/>
        <v>134.94099998760248</v>
      </c>
      <c r="AB36" s="10">
        <v>547.10373896238866</v>
      </c>
      <c r="AC36" s="342">
        <f t="shared" si="9"/>
        <v>682.04473894999114</v>
      </c>
      <c r="AD36" s="343">
        <f t="shared" si="10"/>
        <v>2.4464029972411483E-2</v>
      </c>
    </row>
    <row r="37" spans="1:30" x14ac:dyDescent="0.3">
      <c r="A37" t="str">
        <f t="shared" si="20"/>
        <v>12 Other managers and proprietors</v>
      </c>
      <c r="B37" s="11">
        <v>15.898703429878939</v>
      </c>
      <c r="C37" s="11">
        <v>41.325668220122338</v>
      </c>
      <c r="D37" s="11">
        <f t="shared" ref="D37:D60" si="21">C37-B37</f>
        <v>25.4269647902434</v>
      </c>
      <c r="E37" s="11">
        <v>17.971687534031343</v>
      </c>
      <c r="F37" s="11">
        <f t="shared" ref="F37:F57" si="22">SUM(D37:E37)</f>
        <v>43.398652324274742</v>
      </c>
      <c r="G37" s="200">
        <f t="shared" ref="G37:G62" si="23">IF(B37&gt;0,(1+(E37/B37))^(1/($C$6-$B$6))-1,0)</f>
        <v>5.1712978834143275E-2</v>
      </c>
      <c r="I37" s="11" t="str">
        <f t="shared" si="18"/>
        <v>Process, plant and machine operatives</v>
      </c>
      <c r="J37" s="11">
        <v>37.436266963848716</v>
      </c>
      <c r="K37" s="11">
        <v>104.79459939556112</v>
      </c>
      <c r="L37" s="11">
        <v>67.358332431712398</v>
      </c>
      <c r="M37" s="11">
        <v>42.216344122967726</v>
      </c>
      <c r="N37" s="11">
        <v>109.57467655468012</v>
      </c>
      <c r="P37" s="10" t="str">
        <f>name!D5</f>
        <v>12 Other managers and proprietors</v>
      </c>
      <c r="Q37" s="11">
        <v>477.0329101483984</v>
      </c>
      <c r="R37" s="11">
        <v>663.11737901932031</v>
      </c>
      <c r="S37" s="342">
        <f t="shared" ref="S37:S60" si="24">R37-Q37</f>
        <v>186.08446887092191</v>
      </c>
      <c r="T37" s="342">
        <v>381.73226799644721</v>
      </c>
      <c r="U37" s="342">
        <f t="shared" ref="U37:U60" si="25">SUM(S37:T37)</f>
        <v>567.81673686736917</v>
      </c>
      <c r="V37" s="343">
        <f t="shared" ref="V37:V60" si="26">IF(Q37&gt;0,(1+(T37/Q37))^(1/($C$6-$B$6))-1,0)</f>
        <v>3.9972221156095333E-2</v>
      </c>
      <c r="W37" s="343"/>
      <c r="X37" s="10" t="str">
        <f>name!A34</f>
        <v>Motor vehicle trade</v>
      </c>
      <c r="Y37" s="10">
        <v>620.00000000000102</v>
      </c>
      <c r="Z37" s="10">
        <v>659.12900000167406</v>
      </c>
      <c r="AA37" s="342">
        <f t="shared" si="8"/>
        <v>39.129000001673035</v>
      </c>
      <c r="AB37" s="10">
        <v>263.73752464671765</v>
      </c>
      <c r="AC37" s="342">
        <f t="shared" si="9"/>
        <v>302.86652464839068</v>
      </c>
      <c r="AD37" s="343">
        <f t="shared" si="10"/>
        <v>2.3910760474867399E-2</v>
      </c>
    </row>
    <row r="38" spans="1:30" x14ac:dyDescent="0.3">
      <c r="A38" t="str">
        <f t="shared" si="20"/>
        <v>21 Science, research, engineering and technology professionals</v>
      </c>
      <c r="B38" s="11">
        <v>112.62771391731624</v>
      </c>
      <c r="C38" s="11">
        <v>185.79747060477172</v>
      </c>
      <c r="D38" s="11">
        <f t="shared" si="21"/>
        <v>73.169756687455475</v>
      </c>
      <c r="E38" s="11">
        <v>58.314031409163647</v>
      </c>
      <c r="F38" s="11">
        <f t="shared" si="22"/>
        <v>131.48378809661912</v>
      </c>
      <c r="G38" s="200">
        <f t="shared" si="23"/>
        <v>2.8206135335247184E-2</v>
      </c>
      <c r="I38" s="11" t="str">
        <f t="shared" si="18"/>
        <v>Elementary occupations</v>
      </c>
      <c r="J38" s="11">
        <v>97.34908410064655</v>
      </c>
      <c r="K38" s="11">
        <v>259.61617626132505</v>
      </c>
      <c r="L38" s="11">
        <v>162.26709216067852</v>
      </c>
      <c r="M38" s="11">
        <v>101.36514194578848</v>
      </c>
      <c r="N38" s="11">
        <v>263.63223410646702</v>
      </c>
      <c r="P38" s="10" t="str">
        <f>name!D6</f>
        <v>21 Science, research, engineering and technology professionals</v>
      </c>
      <c r="Q38" s="11">
        <v>506.41451291559548</v>
      </c>
      <c r="R38" s="11">
        <v>718.01768529070887</v>
      </c>
      <c r="S38" s="342">
        <f t="shared" si="24"/>
        <v>211.60317237511339</v>
      </c>
      <c r="T38" s="342">
        <v>320.99070751364081</v>
      </c>
      <c r="U38" s="342">
        <f t="shared" si="25"/>
        <v>532.59387988875415</v>
      </c>
      <c r="V38" s="343">
        <f t="shared" si="26"/>
        <v>3.3270762877238846E-2</v>
      </c>
      <c r="W38" s="343"/>
      <c r="X38" s="10" t="str">
        <f>name!A35</f>
        <v>Wholesale trade</v>
      </c>
      <c r="Y38" s="10">
        <v>1255.9939999991977</v>
      </c>
      <c r="Z38" s="10">
        <v>1277.4459999991575</v>
      </c>
      <c r="AA38" s="342">
        <f t="shared" si="8"/>
        <v>21.451999999959753</v>
      </c>
      <c r="AB38" s="10">
        <v>570.85829290954587</v>
      </c>
      <c r="AC38" s="342">
        <f t="shared" si="9"/>
        <v>592.31029290950562</v>
      </c>
      <c r="AD38" s="343">
        <f t="shared" si="10"/>
        <v>2.5292368102715068E-2</v>
      </c>
    </row>
    <row r="39" spans="1:30" x14ac:dyDescent="0.3">
      <c r="A39" t="str">
        <f t="shared" si="20"/>
        <v>22 Health professionals</v>
      </c>
      <c r="B39" s="11">
        <v>111.57959940232023</v>
      </c>
      <c r="C39" s="11">
        <v>202.03069954758726</v>
      </c>
      <c r="D39" s="11">
        <f t="shared" si="21"/>
        <v>90.451100145267034</v>
      </c>
      <c r="E39" s="11">
        <v>79.842504391949646</v>
      </c>
      <c r="F39" s="11">
        <f t="shared" si="22"/>
        <v>170.29360453721668</v>
      </c>
      <c r="G39" s="200">
        <f t="shared" si="23"/>
        <v>3.6638066266976077E-2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1214.0779121629612</v>
      </c>
      <c r="R39" s="11">
        <v>1445.984441016122</v>
      </c>
      <c r="S39" s="342">
        <f t="shared" si="24"/>
        <v>231.90652885316081</v>
      </c>
      <c r="T39" s="342">
        <v>789.59155778584693</v>
      </c>
      <c r="U39" s="342">
        <f t="shared" si="25"/>
        <v>1021.4980866390077</v>
      </c>
      <c r="V39" s="343">
        <f t="shared" si="26"/>
        <v>3.3963722714278166E-2</v>
      </c>
      <c r="W39" s="343"/>
      <c r="X39" s="10" t="str">
        <f>name!A36</f>
        <v>Retail trade</v>
      </c>
      <c r="Y39" s="10">
        <v>3103.9990000393013</v>
      </c>
      <c r="Z39" s="10">
        <v>3122.3459999888278</v>
      </c>
      <c r="AA39" s="342">
        <f t="shared" si="8"/>
        <v>18.346999949526435</v>
      </c>
      <c r="AB39" s="10">
        <v>1480.4278587595859</v>
      </c>
      <c r="AC39" s="342">
        <f t="shared" si="9"/>
        <v>1498.7748587091123</v>
      </c>
      <c r="AD39" s="343">
        <f t="shared" si="10"/>
        <v>2.6339156770585959E-2</v>
      </c>
    </row>
    <row r="40" spans="1:30" x14ac:dyDescent="0.3">
      <c r="A40" t="str">
        <f t="shared" si="20"/>
        <v>23 Teaching and other educational professionals</v>
      </c>
      <c r="B40" s="11">
        <v>161.6155427826894</v>
      </c>
      <c r="C40" s="11">
        <v>230.71455562314728</v>
      </c>
      <c r="D40" s="11">
        <f>C40-B40</f>
        <v>69.099012840457874</v>
      </c>
      <c r="E40" s="11">
        <v>100.08400051366891</v>
      </c>
      <c r="F40" s="11">
        <f>SUM(D40:E40)</f>
        <v>169.18301335412679</v>
      </c>
      <c r="G40" s="200">
        <f>IF(B40&gt;0,(1+(E40/B40))^(1/($C$6-$B$6))-1,0)</f>
        <v>3.2653582342859311E-2</v>
      </c>
      <c r="I40" s="86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1228.1284682655059</v>
      </c>
      <c r="R40" s="11">
        <v>1396.6214538050767</v>
      </c>
      <c r="S40" s="342">
        <f t="shared" si="24"/>
        <v>168.49298553957078</v>
      </c>
      <c r="T40" s="342">
        <v>718.79320954275875</v>
      </c>
      <c r="U40" s="342">
        <f t="shared" si="25"/>
        <v>887.28619508232953</v>
      </c>
      <c r="V40" s="343">
        <f t="shared" si="26"/>
        <v>3.1193845041267876E-2</v>
      </c>
      <c r="W40" s="343"/>
      <c r="X40" s="10" t="str">
        <f>name!A37</f>
        <v>Land transport, etc</v>
      </c>
      <c r="Y40" s="10">
        <v>804.59700000234716</v>
      </c>
      <c r="Z40" s="10">
        <v>879.76600001214297</v>
      </c>
      <c r="AA40" s="342">
        <f t="shared" si="8"/>
        <v>75.169000009795809</v>
      </c>
      <c r="AB40" s="10">
        <v>418.45651426736777</v>
      </c>
      <c r="AC40" s="342">
        <f t="shared" si="9"/>
        <v>493.62551427716357</v>
      </c>
      <c r="AD40" s="343">
        <f t="shared" si="10"/>
        <v>2.8310972810738466E-2</v>
      </c>
    </row>
    <row r="41" spans="1:30" x14ac:dyDescent="0.3">
      <c r="A41" t="str">
        <f t="shared" si="20"/>
        <v>24 Business, media and public service professionals</v>
      </c>
      <c r="B41" s="11">
        <v>52.668050464785047</v>
      </c>
      <c r="C41" s="11">
        <v>111.15496225290505</v>
      </c>
      <c r="D41" s="11">
        <f t="shared" si="21"/>
        <v>58.486911788120004</v>
      </c>
      <c r="E41" s="11">
        <v>41.273066260019419</v>
      </c>
      <c r="F41" s="11">
        <f t="shared" si="22"/>
        <v>99.75997804813943</v>
      </c>
      <c r="G41" s="200">
        <f t="shared" si="23"/>
        <v>3.9331041258968025E-2</v>
      </c>
      <c r="I41" s="11" t="str">
        <f>I30</f>
        <v>Managers, directors and senior officials</v>
      </c>
      <c r="J41" s="11">
        <f t="array" ref="J41:J49">MMULT(aggregation!$B$38:$AA$46,B94:B119)</f>
        <v>1047.8380503878127</v>
      </c>
      <c r="K41" s="11">
        <f t="array" ref="K41:K49">MMULT(aggregation!$B$38:$AA$46,C94:C119)</f>
        <v>1283.0702791611191</v>
      </c>
      <c r="L41" s="11">
        <f t="array" ref="L41:L49">MMULT(aggregation!$B$38:$AA$46,D94:D119)</f>
        <v>235.23222877330625</v>
      </c>
      <c r="M41" s="11">
        <f t="array" ref="M41:M49">MMULT(aggregation!$B$38:$AA$46,E94:E119)</f>
        <v>689.37249529482369</v>
      </c>
      <c r="N41" s="11">
        <f t="array" ref="N41:N49">MMULT(aggregation!$B$38:$AA$46,F94:F119)</f>
        <v>924.60472406812994</v>
      </c>
      <c r="P41" s="10" t="str">
        <f>name!D9</f>
        <v>24 Business, media and public service professionals</v>
      </c>
      <c r="Q41" s="11">
        <v>1156.9300593073121</v>
      </c>
      <c r="R41" s="11">
        <v>1504.374184587836</v>
      </c>
      <c r="S41" s="342">
        <f t="shared" si="24"/>
        <v>347.44412528052385</v>
      </c>
      <c r="T41" s="342">
        <v>737.98139158404501</v>
      </c>
      <c r="U41" s="342">
        <f t="shared" si="25"/>
        <v>1085.4255168645689</v>
      </c>
      <c r="V41" s="343">
        <f t="shared" si="26"/>
        <v>3.3440445330263691E-2</v>
      </c>
      <c r="W41" s="343"/>
      <c r="X41" s="10" t="str">
        <f>name!A38</f>
        <v>Water transport</v>
      </c>
      <c r="Y41" s="10">
        <v>18.993000000048372</v>
      </c>
      <c r="Z41" s="10">
        <v>15.074000000063839</v>
      </c>
      <c r="AA41" s="342">
        <f t="shared" si="8"/>
        <v>-3.9189999999845337</v>
      </c>
      <c r="AB41" s="10">
        <v>7.1787756235021325</v>
      </c>
      <c r="AC41" s="342">
        <f t="shared" si="9"/>
        <v>3.2597756235175988</v>
      </c>
      <c r="AD41" s="343">
        <f t="shared" si="10"/>
        <v>2.1604133234857548E-2</v>
      </c>
    </row>
    <row r="42" spans="1:30" x14ac:dyDescent="0.3">
      <c r="A42" t="str">
        <f t="shared" si="20"/>
        <v>31 Science, engineering and technology associate professionals</v>
      </c>
      <c r="B42" s="11">
        <v>15.845449839294641</v>
      </c>
      <c r="C42" s="11">
        <v>28.511852878035562</v>
      </c>
      <c r="D42" s="11">
        <f t="shared" si="21"/>
        <v>12.666403038740921</v>
      </c>
      <c r="E42" s="11">
        <v>10.077082059273653</v>
      </c>
      <c r="F42" s="11">
        <f t="shared" si="22"/>
        <v>22.743485098014574</v>
      </c>
      <c r="G42" s="200">
        <f t="shared" si="23"/>
        <v>3.3359705915249283E-2</v>
      </c>
      <c r="I42" s="11" t="str">
        <f>I31</f>
        <v>Professional occupations</v>
      </c>
      <c r="J42" s="11">
        <v>2835.1919990617926</v>
      </c>
      <c r="K42" s="11">
        <v>3036.0130070665909</v>
      </c>
      <c r="L42" s="11">
        <v>200.82100800479805</v>
      </c>
      <c r="M42" s="11">
        <v>1486.6116944353889</v>
      </c>
      <c r="N42" s="11">
        <v>1687.4327024401873</v>
      </c>
      <c r="P42" s="10" t="str">
        <f>name!D10</f>
        <v>31 Science, engineering and technology associate professionals</v>
      </c>
      <c r="Q42" s="11">
        <v>193.87189344039913</v>
      </c>
      <c r="R42" s="11">
        <v>238.57338953704709</v>
      </c>
      <c r="S42" s="342">
        <f t="shared" si="24"/>
        <v>44.701496096647958</v>
      </c>
      <c r="T42" s="342">
        <v>107.37149618557929</v>
      </c>
      <c r="U42" s="342">
        <f t="shared" si="25"/>
        <v>152.07299228222723</v>
      </c>
      <c r="V42" s="343">
        <f t="shared" si="26"/>
        <v>2.9817288023500588E-2</v>
      </c>
      <c r="W42" s="343"/>
      <c r="X42" s="10" t="str">
        <f>name!A39</f>
        <v>Air transport</v>
      </c>
      <c r="Y42" s="10">
        <v>75.954999999799057</v>
      </c>
      <c r="Z42" s="10">
        <v>83.943999999784609</v>
      </c>
      <c r="AA42" s="342">
        <f t="shared" si="8"/>
        <v>7.9889999999855519</v>
      </c>
      <c r="AB42" s="10">
        <v>38.466975843000263</v>
      </c>
      <c r="AC42" s="342">
        <f t="shared" si="9"/>
        <v>46.455975842985815</v>
      </c>
      <c r="AD42" s="343">
        <f t="shared" si="10"/>
        <v>2.7693331114314157E-2</v>
      </c>
    </row>
    <row r="43" spans="1:30" x14ac:dyDescent="0.3">
      <c r="A43" t="str">
        <f t="shared" si="20"/>
        <v>32 Health and social care associate professionals</v>
      </c>
      <c r="B43" s="11">
        <v>3.3002709838085149</v>
      </c>
      <c r="C43" s="11">
        <v>7.3395232154360723</v>
      </c>
      <c r="D43" s="11">
        <f t="shared" si="21"/>
        <v>4.0392522316275574</v>
      </c>
      <c r="E43" s="11">
        <v>3.1984181432230945</v>
      </c>
      <c r="F43" s="11">
        <f t="shared" si="22"/>
        <v>7.2376703748506515</v>
      </c>
      <c r="G43" s="200">
        <f t="shared" si="23"/>
        <v>4.6208901322025042E-2</v>
      </c>
      <c r="I43" s="11" t="str">
        <f>I32</f>
        <v>Associate professional occupations</v>
      </c>
      <c r="J43" s="11">
        <v>1450.7693634529555</v>
      </c>
      <c r="K43" s="11">
        <v>1624.7880930946092</v>
      </c>
      <c r="L43" s="11">
        <v>174.01872964165375</v>
      </c>
      <c r="M43" s="11">
        <v>772.11566929160631</v>
      </c>
      <c r="N43" s="11">
        <v>946.13439893325994</v>
      </c>
      <c r="P43" s="10" t="str">
        <f>name!D11</f>
        <v>32 Health and social care associate professionals</v>
      </c>
      <c r="Q43" s="11">
        <v>527.36911066459652</v>
      </c>
      <c r="R43" s="11">
        <v>612.23713619788953</v>
      </c>
      <c r="S43" s="342">
        <f t="shared" si="24"/>
        <v>84.868025533293007</v>
      </c>
      <c r="T43" s="342">
        <v>340.16972101315633</v>
      </c>
      <c r="U43" s="342">
        <f t="shared" si="25"/>
        <v>425.03774654644934</v>
      </c>
      <c r="V43" s="343">
        <f t="shared" si="26"/>
        <v>3.3740700434042203E-2</v>
      </c>
      <c r="W43" s="343"/>
      <c r="X43" s="10" t="str">
        <f>name!A40</f>
        <v>Warehousing, etc</v>
      </c>
      <c r="Y43" s="10">
        <v>567.38099999990709</v>
      </c>
      <c r="Z43" s="10">
        <v>610.64600000094879</v>
      </c>
      <c r="AA43" s="342">
        <f t="shared" si="8"/>
        <v>43.265000001041699</v>
      </c>
      <c r="AB43" s="10">
        <v>261.70376489533726</v>
      </c>
      <c r="AC43" s="342">
        <f t="shared" si="9"/>
        <v>304.96876489637896</v>
      </c>
      <c r="AD43" s="343">
        <f t="shared" si="10"/>
        <v>2.5608495830668154E-2</v>
      </c>
    </row>
    <row r="44" spans="1:30" x14ac:dyDescent="0.3">
      <c r="A44" t="str">
        <f t="shared" si="20"/>
        <v>33 Protective service occupations</v>
      </c>
      <c r="B44" s="11">
        <v>1.5984521788013528</v>
      </c>
      <c r="C44" s="11">
        <v>4.4161112911514246</v>
      </c>
      <c r="D44" s="11">
        <f t="shared" si="21"/>
        <v>2.8176591123500718</v>
      </c>
      <c r="E44" s="11">
        <v>1.1102586544793436</v>
      </c>
      <c r="F44" s="11">
        <f t="shared" si="22"/>
        <v>3.9279177668294154</v>
      </c>
      <c r="G44" s="200">
        <f t="shared" si="23"/>
        <v>3.5787979026641548E-2</v>
      </c>
      <c r="I44" s="11" t="str">
        <f>I33</f>
        <v>Administrative and secretarial occupations</v>
      </c>
      <c r="J44" s="11">
        <v>775.47028492834022</v>
      </c>
      <c r="K44" s="11">
        <v>1008.4060324088484</v>
      </c>
      <c r="L44" s="11">
        <v>232.93574748050821</v>
      </c>
      <c r="M44" s="11">
        <v>506.01766975376927</v>
      </c>
      <c r="N44" s="11">
        <v>738.95341723427748</v>
      </c>
      <c r="P44" s="10" t="str">
        <f>name!D12</f>
        <v>33 Protective service occupations</v>
      </c>
      <c r="Q44" s="11">
        <v>104.48406298614599</v>
      </c>
      <c r="R44" s="11">
        <v>182.96371238156686</v>
      </c>
      <c r="S44" s="342">
        <f t="shared" si="24"/>
        <v>78.479649395420878</v>
      </c>
      <c r="T44" s="342">
        <v>73.600450658640341</v>
      </c>
      <c r="U44" s="342">
        <f t="shared" si="25"/>
        <v>152.08010005406123</v>
      </c>
      <c r="V44" s="343">
        <f t="shared" si="26"/>
        <v>3.6187638202652028E-2</v>
      </c>
      <c r="W44" s="343"/>
      <c r="X44" s="10" t="str">
        <f>name!A41</f>
        <v>Postal and courier</v>
      </c>
      <c r="Y44" s="10">
        <v>321.07600000033125</v>
      </c>
      <c r="Z44" s="10">
        <v>351.11799999924705</v>
      </c>
      <c r="AA44" s="342">
        <f t="shared" si="8"/>
        <v>30.041999998915799</v>
      </c>
      <c r="AB44" s="10">
        <v>160.47400107760689</v>
      </c>
      <c r="AC44" s="342">
        <f t="shared" si="9"/>
        <v>190.51600107652268</v>
      </c>
      <c r="AD44" s="343">
        <f t="shared" si="10"/>
        <v>2.7390556815989342E-2</v>
      </c>
    </row>
    <row r="45" spans="1:30" x14ac:dyDescent="0.3">
      <c r="A45" t="str">
        <f t="shared" si="20"/>
        <v>34 Culture, media and sports occupations</v>
      </c>
      <c r="B45" s="11">
        <v>9.7965159369052692</v>
      </c>
      <c r="C45" s="11">
        <v>16.410655466485583</v>
      </c>
      <c r="D45" s="11">
        <f t="shared" ref="D45:D46" si="27">C45-B45</f>
        <v>6.6141395295803136</v>
      </c>
      <c r="E45" s="11">
        <v>7.0578361128035567</v>
      </c>
      <c r="F45" s="11">
        <f t="shared" ref="F45:F46" si="28">SUM(D45:E45)</f>
        <v>13.67197564238387</v>
      </c>
      <c r="G45" s="200">
        <f t="shared" si="23"/>
        <v>3.6834311754397664E-2</v>
      </c>
      <c r="I45" s="11" t="str">
        <f t="shared" ref="I45:I49" si="29">I34</f>
        <v>Skilled trades occupations</v>
      </c>
      <c r="J45" s="11">
        <v>219.62915368420749</v>
      </c>
      <c r="K45" s="11">
        <v>350.03428991627266</v>
      </c>
      <c r="L45" s="11">
        <v>130.40513623206513</v>
      </c>
      <c r="M45" s="11">
        <v>162.65460486281185</v>
      </c>
      <c r="N45" s="11">
        <v>293.05974109487693</v>
      </c>
      <c r="P45" s="10" t="str">
        <f>name!D13</f>
        <v>34 Culture, media and sports occupations</v>
      </c>
      <c r="Q45" s="11">
        <v>370.20708073960736</v>
      </c>
      <c r="R45" s="11">
        <v>408.26652089850245</v>
      </c>
      <c r="S45" s="342">
        <f t="shared" si="24"/>
        <v>38.059440158895086</v>
      </c>
      <c r="T45" s="342">
        <v>203.92361489875333</v>
      </c>
      <c r="U45" s="342">
        <f t="shared" si="25"/>
        <v>241.98305505764841</v>
      </c>
      <c r="V45" s="343">
        <f t="shared" si="26"/>
        <v>2.9685040022365161E-2</v>
      </c>
      <c r="W45" s="343"/>
      <c r="X45" s="10" t="str">
        <f>name!A42</f>
        <v>Accommodation</v>
      </c>
      <c r="Y45" s="10">
        <v>514.37500000199907</v>
      </c>
      <c r="Z45" s="10">
        <v>624.00799999742401</v>
      </c>
      <c r="AA45" s="342">
        <f t="shared" si="8"/>
        <v>109.63299999542494</v>
      </c>
      <c r="AB45" s="10">
        <v>295.01687899821275</v>
      </c>
      <c r="AC45" s="342">
        <f t="shared" si="9"/>
        <v>404.64987899363769</v>
      </c>
      <c r="AD45" s="343">
        <f t="shared" si="10"/>
        <v>3.0683363378077422E-2</v>
      </c>
    </row>
    <row r="46" spans="1:30" x14ac:dyDescent="0.3">
      <c r="A46" t="str">
        <f t="shared" si="20"/>
        <v>35 Business and public service associate professionals</v>
      </c>
      <c r="B46" s="11">
        <v>34.152557477952243</v>
      </c>
      <c r="C46" s="11">
        <v>65.62671968480916</v>
      </c>
      <c r="D46" s="11">
        <f t="shared" si="27"/>
        <v>31.474162206856917</v>
      </c>
      <c r="E46" s="11">
        <v>23.757322128252895</v>
      </c>
      <c r="F46" s="11">
        <f t="shared" si="28"/>
        <v>55.231484335109812</v>
      </c>
      <c r="G46" s="200">
        <f t="shared" si="23"/>
        <v>3.5830342781695057E-2</v>
      </c>
      <c r="I46" s="11" t="str">
        <f t="shared" si="29"/>
        <v>Caring, leisure and other service occupations</v>
      </c>
      <c r="J46" s="11">
        <v>406.22656026611429</v>
      </c>
      <c r="K46" s="11">
        <v>622.44309141219696</v>
      </c>
      <c r="L46" s="11">
        <v>216.21653114608264</v>
      </c>
      <c r="M46" s="11">
        <v>336.44960401761023</v>
      </c>
      <c r="N46" s="11">
        <v>552.66613516369284</v>
      </c>
      <c r="P46" s="10" t="str">
        <f>name!D14</f>
        <v>35 Business and public service associate professionals</v>
      </c>
      <c r="Q46" s="11">
        <v>1069.3339214157434</v>
      </c>
      <c r="R46" s="11">
        <v>1168.9722356011355</v>
      </c>
      <c r="S46" s="342">
        <f t="shared" si="24"/>
        <v>99.638314185392119</v>
      </c>
      <c r="T46" s="342">
        <v>593.00613314412749</v>
      </c>
      <c r="U46" s="342">
        <f t="shared" si="25"/>
        <v>692.64444732951961</v>
      </c>
      <c r="V46" s="343">
        <f t="shared" si="26"/>
        <v>2.9849514001708988E-2</v>
      </c>
      <c r="W46" s="343"/>
      <c r="X46" s="10" t="str">
        <f>name!A43</f>
        <v>Food and beverage services</v>
      </c>
      <c r="Y46" s="10">
        <v>1901.6210000084816</v>
      </c>
      <c r="Z46" s="10">
        <v>2235.4209999907998</v>
      </c>
      <c r="AA46" s="342">
        <f t="shared" si="8"/>
        <v>333.79999998231824</v>
      </c>
      <c r="AB46" s="10">
        <v>1018.9550206306259</v>
      </c>
      <c r="AC46" s="342">
        <f t="shared" si="9"/>
        <v>1352.755020612944</v>
      </c>
      <c r="AD46" s="343">
        <f t="shared" si="10"/>
        <v>2.9017996067377094E-2</v>
      </c>
    </row>
    <row r="47" spans="1:30" x14ac:dyDescent="0.3">
      <c r="A47" t="str">
        <f t="shared" si="20"/>
        <v>41 Administrative occupations</v>
      </c>
      <c r="B47" s="11">
        <v>19.803716360512809</v>
      </c>
      <c r="C47" s="11">
        <v>38.452461414345919</v>
      </c>
      <c r="D47" s="11">
        <f t="shared" si="21"/>
        <v>18.64874505383311</v>
      </c>
      <c r="E47" s="11">
        <v>15.090423388775239</v>
      </c>
      <c r="F47" s="11">
        <f t="shared" si="22"/>
        <v>33.739168442608346</v>
      </c>
      <c r="G47" s="200">
        <f t="shared" si="23"/>
        <v>3.8485379375876594E-2</v>
      </c>
      <c r="I47" s="11" t="str">
        <f t="shared" si="29"/>
        <v>Sales and customer service occupations</v>
      </c>
      <c r="J47" s="11">
        <v>421.27906514928731</v>
      </c>
      <c r="K47" s="11">
        <v>631.71660115476436</v>
      </c>
      <c r="L47" s="11">
        <v>210.437536005477</v>
      </c>
      <c r="M47" s="11">
        <v>284.11819995911077</v>
      </c>
      <c r="N47" s="11">
        <v>494.55573596458783</v>
      </c>
      <c r="P47" s="10" t="str">
        <f>name!D15</f>
        <v>41 Administrative occupations</v>
      </c>
      <c r="Q47" s="11">
        <v>2060.9002547299101</v>
      </c>
      <c r="R47" s="11">
        <v>1647.1278153864282</v>
      </c>
      <c r="S47" s="342">
        <f t="shared" si="24"/>
        <v>-413.77243934348189</v>
      </c>
      <c r="T47" s="342">
        <v>1019.9445492005849</v>
      </c>
      <c r="U47" s="342">
        <f t="shared" si="25"/>
        <v>606.17210985710301</v>
      </c>
      <c r="V47" s="343">
        <f t="shared" si="26"/>
        <v>2.7166522924201297E-2</v>
      </c>
      <c r="W47" s="343"/>
      <c r="X47" s="10" t="str">
        <f>name!A44</f>
        <v>Publishing activities</v>
      </c>
      <c r="Y47" s="10">
        <v>158.74899999987559</v>
      </c>
      <c r="Z47" s="10">
        <v>159.76500000097872</v>
      </c>
      <c r="AA47" s="342">
        <f t="shared" si="8"/>
        <v>1.0160000011031229</v>
      </c>
      <c r="AB47" s="10">
        <v>74.55756843243249</v>
      </c>
      <c r="AC47" s="342">
        <f t="shared" si="9"/>
        <v>75.573568433535613</v>
      </c>
      <c r="AD47" s="343">
        <f t="shared" si="10"/>
        <v>2.6000875062712314E-2</v>
      </c>
    </row>
    <row r="48" spans="1:30" x14ac:dyDescent="0.3">
      <c r="A48" t="str">
        <f t="shared" si="20"/>
        <v>42 Secretarial and related occupations</v>
      </c>
      <c r="B48" s="11">
        <v>1.7400567491387777</v>
      </c>
      <c r="C48" s="11">
        <v>5.5267221372308466</v>
      </c>
      <c r="D48" s="11">
        <f t="shared" si="21"/>
        <v>3.7866653880920689</v>
      </c>
      <c r="E48" s="11">
        <v>2.3137325364456398</v>
      </c>
      <c r="F48" s="11">
        <f t="shared" si="22"/>
        <v>6.1003979245377087</v>
      </c>
      <c r="G48" s="200">
        <f t="shared" si="23"/>
        <v>5.8002069526174704E-2</v>
      </c>
      <c r="I48" s="11" t="str">
        <f t="shared" si="29"/>
        <v>Process, plant and machine operatives</v>
      </c>
      <c r="J48" s="11">
        <v>98.946240543310068</v>
      </c>
      <c r="K48" s="11">
        <v>199.16795619504728</v>
      </c>
      <c r="L48" s="11">
        <v>100.22171565173721</v>
      </c>
      <c r="M48" s="11">
        <v>93.671958478216851</v>
      </c>
      <c r="N48" s="11">
        <v>193.89367412995409</v>
      </c>
      <c r="P48" s="10" t="str">
        <f>name!D16</f>
        <v>42 Secretarial and related occupations</v>
      </c>
      <c r="Q48" s="11">
        <v>632.60656565700947</v>
      </c>
      <c r="R48" s="11">
        <v>500.874974782295</v>
      </c>
      <c r="S48" s="342">
        <f t="shared" si="24"/>
        <v>-131.73159087471447</v>
      </c>
      <c r="T48" s="342">
        <v>329.05678013620718</v>
      </c>
      <c r="U48" s="342">
        <f t="shared" si="25"/>
        <v>197.32518926149271</v>
      </c>
      <c r="V48" s="343">
        <f t="shared" si="26"/>
        <v>2.8314495605984202E-2</v>
      </c>
      <c r="W48" s="343"/>
      <c r="X48" s="10" t="str">
        <f>name!A45</f>
        <v>Film and music</v>
      </c>
      <c r="Y48" s="10">
        <v>170.32400000070891</v>
      </c>
      <c r="Z48" s="10">
        <v>176.48100000183862</v>
      </c>
      <c r="AA48" s="342">
        <f t="shared" si="8"/>
        <v>6.1570000011297168</v>
      </c>
      <c r="AB48" s="10">
        <v>85.336218560362099</v>
      </c>
      <c r="AC48" s="342">
        <f t="shared" si="9"/>
        <v>91.493218561491815</v>
      </c>
      <c r="AD48" s="343">
        <f t="shared" si="10"/>
        <v>2.7446350507850603E-2</v>
      </c>
    </row>
    <row r="49" spans="1:30" x14ac:dyDescent="0.3">
      <c r="A49" t="str">
        <f t="shared" si="20"/>
        <v>51 Skilled agricultural and related trades</v>
      </c>
      <c r="B49" s="11">
        <v>1.4884123598329198</v>
      </c>
      <c r="C49" s="11">
        <v>3.0278051385825373</v>
      </c>
      <c r="D49" s="11">
        <f t="shared" si="21"/>
        <v>1.5393927787496176</v>
      </c>
      <c r="E49" s="11">
        <v>1.4692168422848524</v>
      </c>
      <c r="F49" s="11">
        <f t="shared" si="22"/>
        <v>3.0086096210344699</v>
      </c>
      <c r="G49" s="200">
        <f t="shared" si="23"/>
        <v>4.684254320077974E-2</v>
      </c>
      <c r="I49" s="11" t="str">
        <f t="shared" si="29"/>
        <v>Elementary occupations</v>
      </c>
      <c r="J49" s="11">
        <v>307.10957474434355</v>
      </c>
      <c r="K49" s="11">
        <v>476.78106694436565</v>
      </c>
      <c r="L49" s="11">
        <v>169.67149220002207</v>
      </c>
      <c r="M49" s="11">
        <v>252.17289916956011</v>
      </c>
      <c r="N49" s="11">
        <v>421.84439136958213</v>
      </c>
      <c r="P49" s="10" t="str">
        <f>name!D17</f>
        <v>51 Skilled agricultural and related trades</v>
      </c>
      <c r="Q49" s="11">
        <v>72.495122254634566</v>
      </c>
      <c r="R49" s="11">
        <v>99.749245401773436</v>
      </c>
      <c r="S49" s="342">
        <f t="shared" si="24"/>
        <v>27.25412314713887</v>
      </c>
      <c r="T49" s="342">
        <v>59.162538550962985</v>
      </c>
      <c r="U49" s="342">
        <f t="shared" si="25"/>
        <v>86.416661698101848</v>
      </c>
      <c r="V49" s="343">
        <f>IF(Q49&gt;0,(1+(T49/Q49))^(1/($C$6-$B$6))-1,0)</f>
        <v>4.0580835549434813E-2</v>
      </c>
      <c r="W49" s="343"/>
      <c r="X49" s="10" t="str">
        <f>name!A46</f>
        <v>Broadcasting</v>
      </c>
      <c r="Y49" s="10">
        <v>48.450000000205002</v>
      </c>
      <c r="Z49" s="10">
        <v>49.487000000676268</v>
      </c>
      <c r="AA49" s="342">
        <f t="shared" si="8"/>
        <v>1.0370000004712665</v>
      </c>
      <c r="AB49" s="10">
        <v>22.831229342314856</v>
      </c>
      <c r="AC49" s="342">
        <f t="shared" si="9"/>
        <v>23.868229342786123</v>
      </c>
      <c r="AD49" s="343">
        <f t="shared" si="10"/>
        <v>2.6074181805310959E-2</v>
      </c>
    </row>
    <row r="50" spans="1:30" x14ac:dyDescent="0.3">
      <c r="A50" t="str">
        <f t="shared" si="20"/>
        <v>52 Skilled metal, electrical and electronic trades</v>
      </c>
      <c r="B50" s="11">
        <v>1.5801811397518566</v>
      </c>
      <c r="C50" s="11">
        <v>3.2783996505061124</v>
      </c>
      <c r="D50" s="11">
        <f t="shared" si="21"/>
        <v>1.6982185107542558</v>
      </c>
      <c r="E50" s="11">
        <v>1.0820833438833009</v>
      </c>
      <c r="F50" s="11">
        <f>SUM(D50:E50)</f>
        <v>2.7803018546375569</v>
      </c>
      <c r="G50" s="200">
        <f t="shared" si="23"/>
        <v>3.538758922517049E-2</v>
      </c>
      <c r="O50" s="70"/>
      <c r="P50" s="10" t="str">
        <f>name!D18</f>
        <v>52 Skilled metal, electrical and electronic trades</v>
      </c>
      <c r="Q50" s="11">
        <v>27.183479451981629</v>
      </c>
      <c r="R50" s="11">
        <v>78.175111327874617</v>
      </c>
      <c r="S50" s="342">
        <f t="shared" si="24"/>
        <v>50.991631875892992</v>
      </c>
      <c r="T50" s="342">
        <v>36.084776912377485</v>
      </c>
      <c r="U50" s="342">
        <f t="shared" si="25"/>
        <v>87.07640878827047</v>
      </c>
      <c r="V50" s="343">
        <f t="shared" si="26"/>
        <v>5.7934357149984184E-2</v>
      </c>
      <c r="W50" s="343"/>
      <c r="X50" s="10" t="str">
        <f>name!A47</f>
        <v>Telecommunications</v>
      </c>
      <c r="Y50" s="10">
        <v>209.64699999898374</v>
      </c>
      <c r="Z50" s="10">
        <v>241.69499999919952</v>
      </c>
      <c r="AA50" s="342">
        <f t="shared" si="8"/>
        <v>32.048000000215779</v>
      </c>
      <c r="AB50" s="10">
        <v>96.858527778035977</v>
      </c>
      <c r="AC50" s="342">
        <f t="shared" si="9"/>
        <v>128.90652777825176</v>
      </c>
      <c r="AD50" s="343">
        <f t="shared" si="10"/>
        <v>2.5644000460031569E-2</v>
      </c>
    </row>
    <row r="51" spans="1:30" x14ac:dyDescent="0.3">
      <c r="A51" t="str">
        <f t="shared" si="20"/>
        <v>53 Skilled construction and building trades</v>
      </c>
      <c r="B51" s="11">
        <v>0.36989494069787932</v>
      </c>
      <c r="C51" s="11">
        <v>0.85758074961115771</v>
      </c>
      <c r="D51" s="11">
        <f t="shared" ref="D51" si="30">C51-B51</f>
        <v>0.4876858089132784</v>
      </c>
      <c r="E51" s="11">
        <v>0.31562653514643779</v>
      </c>
      <c r="F51" s="11">
        <f>SUM(D51:E51)</f>
        <v>0.80331234405971619</v>
      </c>
      <c r="G51" s="200">
        <f t="shared" si="23"/>
        <v>4.1988305770139345E-2</v>
      </c>
      <c r="I51" s="86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21.466602930270341</v>
      </c>
      <c r="R51" s="11">
        <v>29.075349293264136</v>
      </c>
      <c r="S51" s="342">
        <f t="shared" si="24"/>
        <v>7.608746362993795</v>
      </c>
      <c r="T51" s="342">
        <v>13.77362629246011</v>
      </c>
      <c r="U51" s="342">
        <f t="shared" si="25"/>
        <v>21.382372655453906</v>
      </c>
      <c r="V51" s="343">
        <f t="shared" si="26"/>
        <v>3.3598078857774771E-2</v>
      </c>
      <c r="W51" s="343"/>
      <c r="X51" s="10" t="str">
        <f>name!A48</f>
        <v>Computing services</v>
      </c>
      <c r="Y51" s="10">
        <v>805.4179999971567</v>
      </c>
      <c r="Z51" s="10">
        <v>936.36099999820738</v>
      </c>
      <c r="AA51" s="342">
        <f t="shared" si="8"/>
        <v>130.94300000105068</v>
      </c>
      <c r="AB51" s="10">
        <v>384.1528813986032</v>
      </c>
      <c r="AC51" s="342">
        <f t="shared" si="9"/>
        <v>515.09588139965388</v>
      </c>
      <c r="AD51" s="343">
        <f t="shared" si="10"/>
        <v>2.6340026128333971E-2</v>
      </c>
    </row>
    <row r="52" spans="1:30" x14ac:dyDescent="0.3">
      <c r="A52" t="str">
        <f t="shared" si="20"/>
        <v>54 Textiles, printing and other skilled trades</v>
      </c>
      <c r="B52" s="11">
        <v>2.5618010542108673</v>
      </c>
      <c r="C52" s="11">
        <v>5.3807144310097614</v>
      </c>
      <c r="D52" s="11">
        <f t="shared" si="21"/>
        <v>2.8189133767988941</v>
      </c>
      <c r="E52" s="11">
        <v>2.0550411849047716</v>
      </c>
      <c r="F52" s="11">
        <f t="shared" si="22"/>
        <v>4.8739545617036661</v>
      </c>
      <c r="G52" s="200">
        <f t="shared" si="23"/>
        <v>4.004782225117931E-2</v>
      </c>
      <c r="I52" s="11" t="str">
        <f>I41</f>
        <v>Managers, directors and senior officials</v>
      </c>
      <c r="J52" s="11">
        <f t="array" ref="J52:J60">MMULT(aggregation!$B$38:$AA$46,B123:B148)</f>
        <v>225.39926607553465</v>
      </c>
      <c r="K52" s="11">
        <f t="array" ref="K52:K60">MMULT(aggregation!$B$38:$AA$46,C123:C148)</f>
        <v>265.10001895235672</v>
      </c>
      <c r="L52" s="11">
        <f t="array" ref="L52:L60">MMULT(aggregation!$B$38:$AA$46,D123:D148)</f>
        <v>39.700752876822079</v>
      </c>
      <c r="M52" s="11">
        <f t="array" ref="M52:M60">MMULT(aggregation!$B$38:$AA$46,E123:E148)</f>
        <v>139.09247318590417</v>
      </c>
      <c r="N52" s="11">
        <f t="array" ref="N52:N60">MMULT(aggregation!$B$38:$AA$46,F123:F148)</f>
        <v>178.79322606272626</v>
      </c>
      <c r="P52" s="10" t="str">
        <f>name!D20</f>
        <v>54 Textiles, printing and other skilled trades</v>
      </c>
      <c r="Q52" s="11">
        <v>262.60414855853298</v>
      </c>
      <c r="R52" s="11">
        <v>266.91433153629032</v>
      </c>
      <c r="S52" s="342">
        <f t="shared" si="24"/>
        <v>4.3101829777573357</v>
      </c>
      <c r="T52" s="342">
        <v>152.43206484410487</v>
      </c>
      <c r="U52" s="342">
        <f t="shared" si="25"/>
        <v>156.74224782186221</v>
      </c>
      <c r="V52" s="343">
        <f t="shared" si="26"/>
        <v>3.0984874815437546E-2</v>
      </c>
      <c r="W52" s="343"/>
      <c r="X52" s="10" t="str">
        <f>name!A49</f>
        <v>Information services</v>
      </c>
      <c r="Y52" s="10">
        <v>99.417999999905234</v>
      </c>
      <c r="Z52" s="10">
        <v>117.61600000012417</v>
      </c>
      <c r="AA52" s="342">
        <f t="shared" si="8"/>
        <v>18.19800000021894</v>
      </c>
      <c r="AB52" s="10">
        <v>50.116579414699601</v>
      </c>
      <c r="AC52" s="342">
        <f t="shared" si="9"/>
        <v>68.314579414918541</v>
      </c>
      <c r="AD52" s="343">
        <f t="shared" si="10"/>
        <v>2.7586619976512905E-2</v>
      </c>
    </row>
    <row r="53" spans="1:30" x14ac:dyDescent="0.3">
      <c r="A53" t="str">
        <f t="shared" si="20"/>
        <v>61 Caring personal service occupations</v>
      </c>
      <c r="B53" s="11">
        <v>2.2097514575264539</v>
      </c>
      <c r="C53" s="11">
        <v>5.5242187472689359</v>
      </c>
      <c r="D53" s="11">
        <f t="shared" si="21"/>
        <v>3.3144672897424821</v>
      </c>
      <c r="E53" s="11">
        <v>2.1560649935229153</v>
      </c>
      <c r="F53" s="11">
        <f t="shared" si="22"/>
        <v>5.4705322832653973</v>
      </c>
      <c r="G53" s="200">
        <f t="shared" si="23"/>
        <v>4.6441134398708117E-2</v>
      </c>
      <c r="I53" s="11" t="str">
        <f>I42</f>
        <v>Professional occupations</v>
      </c>
      <c r="J53" s="11">
        <v>410.86594061784439</v>
      </c>
      <c r="K53" s="11">
        <v>256.89730583556837</v>
      </c>
      <c r="L53" s="11">
        <v>-153.96863478227596</v>
      </c>
      <c r="M53" s="11">
        <v>116.95657424326893</v>
      </c>
      <c r="N53" s="11">
        <v>-37.012060539007017</v>
      </c>
      <c r="P53" s="10" t="str">
        <f>name!D21</f>
        <v>61 Caring personal service occupations</v>
      </c>
      <c r="Q53" s="11">
        <v>1996.2177157781721</v>
      </c>
      <c r="R53" s="11">
        <v>2298.9050741830715</v>
      </c>
      <c r="S53" s="342">
        <f t="shared" si="24"/>
        <v>302.68735840489944</v>
      </c>
      <c r="T53" s="342">
        <v>1263.6573952417843</v>
      </c>
      <c r="U53" s="342">
        <f t="shared" si="25"/>
        <v>1566.3447536466838</v>
      </c>
      <c r="V53" s="343">
        <f t="shared" si="26"/>
        <v>3.3236018225451858E-2</v>
      </c>
      <c r="W53" s="343"/>
      <c r="X53" s="10" t="str">
        <f>name!A50</f>
        <v>Financial services</v>
      </c>
      <c r="Y53" s="10">
        <v>505.38199999869619</v>
      </c>
      <c r="Z53" s="10">
        <v>499.68800000140004</v>
      </c>
      <c r="AA53" s="342">
        <f t="shared" si="8"/>
        <v>-5.6939999972961459</v>
      </c>
      <c r="AB53" s="10">
        <v>244.87458387849784</v>
      </c>
      <c r="AC53" s="342">
        <f t="shared" si="9"/>
        <v>239.1805838812017</v>
      </c>
      <c r="AD53" s="343">
        <f t="shared" si="10"/>
        <v>2.6690010329802227E-2</v>
      </c>
    </row>
    <row r="54" spans="1:30" x14ac:dyDescent="0.3">
      <c r="A54" t="str">
        <f t="shared" si="20"/>
        <v>62 Leisure, travel and related personal service occupations</v>
      </c>
      <c r="B54" s="11">
        <v>1.2648086336716604</v>
      </c>
      <c r="C54" s="11">
        <v>2.9084544355308966</v>
      </c>
      <c r="D54" s="11">
        <f t="shared" ref="D54:D55" si="31">C54-B54</f>
        <v>1.6436458018592361</v>
      </c>
      <c r="E54" s="11">
        <v>1.1540943940329922</v>
      </c>
      <c r="F54" s="11">
        <f t="shared" ref="F54:F55" si="32">SUM(D54:E54)</f>
        <v>2.7977401958922283</v>
      </c>
      <c r="G54" s="200">
        <f t="shared" si="23"/>
        <v>4.4174081895285822E-2</v>
      </c>
      <c r="I54" s="11" t="str">
        <f>I43</f>
        <v>Associate professional occupations</v>
      </c>
      <c r="J54" s="11">
        <v>385.27450140182162</v>
      </c>
      <c r="K54" s="11">
        <v>375.8271568862699</v>
      </c>
      <c r="L54" s="11">
        <v>-9.4473445155517162</v>
      </c>
      <c r="M54" s="11">
        <v>171.19129872424821</v>
      </c>
      <c r="N54" s="11">
        <v>161.74395420869649</v>
      </c>
      <c r="P54" s="10" t="str">
        <f>name!D22</f>
        <v>62 Leisure, travel and related personal service occupations</v>
      </c>
      <c r="Q54" s="11">
        <v>489.85808860890154</v>
      </c>
      <c r="R54" s="11">
        <v>498.77788939527414</v>
      </c>
      <c r="S54" s="342">
        <f t="shared" si="24"/>
        <v>8.9198007863726048</v>
      </c>
      <c r="T54" s="342">
        <v>269.79045469127095</v>
      </c>
      <c r="U54" s="342">
        <f t="shared" si="25"/>
        <v>278.71025547764356</v>
      </c>
      <c r="V54" s="343">
        <f t="shared" si="26"/>
        <v>2.9681306584811828E-2</v>
      </c>
      <c r="W54" s="343"/>
      <c r="X54" s="10" t="str">
        <f>name!A51</f>
        <v>Insurance and pensions</v>
      </c>
      <c r="Y54" s="10">
        <v>137.4299999993103</v>
      </c>
      <c r="Z54" s="10">
        <v>132.92300000002928</v>
      </c>
      <c r="AA54" s="342">
        <f t="shared" si="8"/>
        <v>-4.506999999281021</v>
      </c>
      <c r="AB54" s="10">
        <v>66.667850106176857</v>
      </c>
      <c r="AC54" s="342">
        <f t="shared" si="9"/>
        <v>62.160850106895836</v>
      </c>
      <c r="AD54" s="343">
        <f t="shared" si="10"/>
        <v>2.671630479773146E-2</v>
      </c>
    </row>
    <row r="55" spans="1:30" x14ac:dyDescent="0.3">
      <c r="A55" t="str">
        <f t="shared" si="20"/>
        <v>63 Community and civil enforcement occupations</v>
      </c>
      <c r="B55" s="11">
        <v>9.8106576752121352E-2</v>
      </c>
      <c r="C55" s="11">
        <v>0.19922387154842361</v>
      </c>
      <c r="D55" s="11">
        <f t="shared" si="31"/>
        <v>0.10111729479630226</v>
      </c>
      <c r="E55" s="11">
        <v>8.2266830048541392E-2</v>
      </c>
      <c r="F55" s="11">
        <f t="shared" si="32"/>
        <v>0.18338412484484365</v>
      </c>
      <c r="G55" s="200">
        <f t="shared" si="23"/>
        <v>4.1433696952710486E-2</v>
      </c>
      <c r="I55" s="11" t="str">
        <f>I44</f>
        <v>Administrative and secretarial occupations</v>
      </c>
      <c r="J55" s="11">
        <v>288.63976901644872</v>
      </c>
      <c r="K55" s="11">
        <v>345.32056214853299</v>
      </c>
      <c r="L55" s="11">
        <v>56.68079313208424</v>
      </c>
      <c r="M55" s="11">
        <v>187.55601951595293</v>
      </c>
      <c r="N55" s="11">
        <v>244.23681264803716</v>
      </c>
      <c r="P55" s="10" t="str">
        <f>name!D23</f>
        <v>63 Community and civil enforcement occupations</v>
      </c>
      <c r="Q55" s="11">
        <v>8.8629238220010098</v>
      </c>
      <c r="R55" s="11">
        <v>11.552948990227389</v>
      </c>
      <c r="S55" s="342">
        <f t="shared" si="24"/>
        <v>2.6900251682263789</v>
      </c>
      <c r="T55" s="342">
        <v>7.2648694028590599</v>
      </c>
      <c r="U55" s="342">
        <f t="shared" si="25"/>
        <v>9.9548945710854397</v>
      </c>
      <c r="V55" s="343">
        <f t="shared" si="26"/>
        <v>4.0718309774870454E-2</v>
      </c>
      <c r="W55" s="343"/>
      <c r="X55" s="10" t="str">
        <f>name!A52</f>
        <v>Auxiliary financial services</v>
      </c>
      <c r="Y55" s="10">
        <v>507.18999999889752</v>
      </c>
      <c r="Z55" s="10">
        <v>503.50600000234249</v>
      </c>
      <c r="AA55" s="342">
        <f t="shared" si="8"/>
        <v>-3.6839999965550305</v>
      </c>
      <c r="AB55" s="10">
        <v>246.59068116763353</v>
      </c>
      <c r="AC55" s="342">
        <f t="shared" si="9"/>
        <v>242.9066811710785</v>
      </c>
      <c r="AD55" s="343">
        <f t="shared" si="10"/>
        <v>2.6766336219091524E-2</v>
      </c>
    </row>
    <row r="56" spans="1:30" x14ac:dyDescent="0.3">
      <c r="A56" t="str">
        <f t="shared" si="20"/>
        <v>71 Sales occupations</v>
      </c>
      <c r="B56" s="11">
        <v>5.7837414181931104</v>
      </c>
      <c r="C56" s="11">
        <v>10.439447266938343</v>
      </c>
      <c r="D56" s="11">
        <f t="shared" si="21"/>
        <v>4.6557058487452325</v>
      </c>
      <c r="E56" s="11">
        <v>3.7988642061054905</v>
      </c>
      <c r="F56" s="11">
        <f t="shared" si="22"/>
        <v>8.4545700548507234</v>
      </c>
      <c r="G56" s="200">
        <f t="shared" si="23"/>
        <v>3.4232822490321446E-2</v>
      </c>
      <c r="I56" s="11" t="str">
        <f t="shared" ref="I56:I60" si="33">I45</f>
        <v>Skilled trades occupations</v>
      </c>
      <c r="J56" s="11">
        <v>97.146034762445012</v>
      </c>
      <c r="K56" s="11">
        <v>142.69771968308487</v>
      </c>
      <c r="L56" s="11">
        <v>45.55168492063985</v>
      </c>
      <c r="M56" s="11">
        <v>69.24700344401711</v>
      </c>
      <c r="N56" s="11">
        <v>114.79868836465695</v>
      </c>
      <c r="P56" s="10" t="str">
        <f>name!D24</f>
        <v>71 Sales occupations</v>
      </c>
      <c r="Q56" s="11">
        <v>1289.3567743362776</v>
      </c>
      <c r="R56" s="11">
        <v>1103.1947246468051</v>
      </c>
      <c r="S56" s="342">
        <f t="shared" si="24"/>
        <v>-186.1620496894725</v>
      </c>
      <c r="T56" s="342">
        <v>644.58492120793244</v>
      </c>
      <c r="U56" s="342">
        <f t="shared" si="25"/>
        <v>458.42287151845994</v>
      </c>
      <c r="V56" s="343">
        <f t="shared" si="26"/>
        <v>2.7396348918403701E-2</v>
      </c>
      <c r="W56" s="343"/>
      <c r="X56" s="10" t="str">
        <f>name!A53</f>
        <v>Real estate</v>
      </c>
      <c r="Y56" s="10">
        <v>642.99899999800766</v>
      </c>
      <c r="Z56" s="10">
        <v>672.2139999999257</v>
      </c>
      <c r="AA56" s="342">
        <f t="shared" si="8"/>
        <v>29.215000001918042</v>
      </c>
      <c r="AB56" s="10">
        <v>314.27045750709431</v>
      </c>
      <c r="AC56" s="342">
        <f t="shared" si="9"/>
        <v>343.48545750901235</v>
      </c>
      <c r="AD56" s="343">
        <f t="shared" si="10"/>
        <v>2.6884488399496087E-2</v>
      </c>
    </row>
    <row r="57" spans="1:30" x14ac:dyDescent="0.3">
      <c r="A57" t="str">
        <f t="shared" si="20"/>
        <v>72 Customer service occupations</v>
      </c>
      <c r="B57" s="11">
        <v>2.5976079945982908</v>
      </c>
      <c r="C57" s="11">
        <v>7.3658968064142449</v>
      </c>
      <c r="D57" s="11">
        <f t="shared" si="21"/>
        <v>4.7682888118159541</v>
      </c>
      <c r="E57" s="11">
        <v>2.4328427745450676</v>
      </c>
      <c r="F57" s="11">
        <f t="shared" si="22"/>
        <v>7.2011315863610221</v>
      </c>
      <c r="G57" s="200">
        <f t="shared" si="23"/>
        <v>4.5046349946899822E-2</v>
      </c>
      <c r="I57" s="11" t="str">
        <f t="shared" si="33"/>
        <v>Caring, leisure and other service occupations</v>
      </c>
      <c r="J57" s="11">
        <v>309.03255423786658</v>
      </c>
      <c r="K57" s="11">
        <v>372.61199545235343</v>
      </c>
      <c r="L57" s="11">
        <v>63.579441214486906</v>
      </c>
      <c r="M57" s="11">
        <v>204.71134248186604</v>
      </c>
      <c r="N57" s="11">
        <v>268.290783696353</v>
      </c>
      <c r="P57" s="10" t="str">
        <f>name!D25</f>
        <v>72 Customer service occupations</v>
      </c>
      <c r="Q57" s="11">
        <v>367.30021516489961</v>
      </c>
      <c r="R57" s="11">
        <v>501.86899996142643</v>
      </c>
      <c r="S57" s="342">
        <f t="shared" si="24"/>
        <v>134.56878479652681</v>
      </c>
      <c r="T57" s="342">
        <v>246.78918499993597</v>
      </c>
      <c r="U57" s="342">
        <f t="shared" si="25"/>
        <v>381.35796979646278</v>
      </c>
      <c r="V57" s="343">
        <f t="shared" si="26"/>
        <v>3.4857840855248678E-2</v>
      </c>
      <c r="W57" s="343"/>
      <c r="X57" s="10" t="str">
        <f>name!A54</f>
        <v>Legal and accounting</v>
      </c>
      <c r="Y57" s="10">
        <v>820.99699999628922</v>
      </c>
      <c r="Z57" s="10">
        <v>907.00100000541943</v>
      </c>
      <c r="AA57" s="342">
        <f t="shared" si="8"/>
        <v>86.004000009130209</v>
      </c>
      <c r="AB57" s="10">
        <v>436.22766820659558</v>
      </c>
      <c r="AC57" s="342">
        <f t="shared" si="9"/>
        <v>522.23166821572579</v>
      </c>
      <c r="AD57" s="343">
        <f t="shared" si="10"/>
        <v>2.881689669686982E-2</v>
      </c>
    </row>
    <row r="58" spans="1:30" x14ac:dyDescent="0.3">
      <c r="A58" t="str">
        <f t="shared" si="20"/>
        <v>81 Process, plant and machine operatives</v>
      </c>
      <c r="B58" s="11">
        <v>1.7116967137911221</v>
      </c>
      <c r="C58" s="11">
        <v>5.9761142214002536</v>
      </c>
      <c r="D58" s="11">
        <f t="shared" ref="D58:D59" si="34">C58-B58</f>
        <v>4.2644175076091315</v>
      </c>
      <c r="E58" s="11">
        <v>1.972082399413956</v>
      </c>
      <c r="F58" s="11">
        <f t="shared" ref="F58:F59" si="35">SUM(D58:E58)</f>
        <v>6.236499907023088</v>
      </c>
      <c r="G58" s="200">
        <f t="shared" si="23"/>
        <v>5.242490685305401E-2</v>
      </c>
      <c r="I58" s="11" t="str">
        <f t="shared" si="33"/>
        <v>Sales and customer service occupations</v>
      </c>
      <c r="J58" s="11">
        <v>137.16498301838305</v>
      </c>
      <c r="K58" s="11">
        <v>194.81521272645267</v>
      </c>
      <c r="L58" s="11">
        <v>57.650229708069645</v>
      </c>
      <c r="M58" s="11">
        <v>91.357369545577455</v>
      </c>
      <c r="N58" s="11">
        <v>149.0075992536471</v>
      </c>
      <c r="P58" s="10" t="str">
        <f>name!D26</f>
        <v>81 Process, plant and machine operatives</v>
      </c>
      <c r="Q58" s="11">
        <v>173.65745437286304</v>
      </c>
      <c r="R58" s="11">
        <v>222.16699204180659</v>
      </c>
      <c r="S58" s="342">
        <f t="shared" si="24"/>
        <v>48.509537668943551</v>
      </c>
      <c r="T58" s="342">
        <v>105.90003600190033</v>
      </c>
      <c r="U58" s="342">
        <f t="shared" si="25"/>
        <v>154.40957367084388</v>
      </c>
      <c r="V58" s="343">
        <f t="shared" si="26"/>
        <v>3.2250686027589959E-2</v>
      </c>
      <c r="W58" s="343"/>
      <c r="X58" s="10" t="str">
        <f>name!A55</f>
        <v>Head offices, etc</v>
      </c>
      <c r="Y58" s="10">
        <v>881.99899999574052</v>
      </c>
      <c r="Z58" s="10">
        <v>945.97300000301641</v>
      </c>
      <c r="AA58" s="342">
        <f t="shared" si="8"/>
        <v>63.97400000727589</v>
      </c>
      <c r="AB58" s="10">
        <v>445.31729426848665</v>
      </c>
      <c r="AC58" s="342">
        <f t="shared" si="9"/>
        <v>509.29129427576254</v>
      </c>
      <c r="AD58" s="343">
        <f t="shared" si="10"/>
        <v>2.7622857009372614E-2</v>
      </c>
    </row>
    <row r="59" spans="1:30" x14ac:dyDescent="0.3">
      <c r="A59" t="str">
        <f t="shared" si="20"/>
        <v>82 Transport and mobile machine drivers and operatives</v>
      </c>
      <c r="B59" s="11">
        <v>3.6548992428797842</v>
      </c>
      <c r="C59" s="11">
        <v>10.880352722842623</v>
      </c>
      <c r="D59" s="11">
        <f t="shared" si="34"/>
        <v>7.2254534799628392</v>
      </c>
      <c r="E59" s="11">
        <v>4.8399086986561128</v>
      </c>
      <c r="F59" s="11">
        <f t="shared" si="35"/>
        <v>12.065362178618951</v>
      </c>
      <c r="G59" s="200">
        <f t="shared" si="23"/>
        <v>5.7836489497857801E-2</v>
      </c>
      <c r="I59" s="11" t="str">
        <f t="shared" si="33"/>
        <v>Process, plant and machine operatives</v>
      </c>
      <c r="J59" s="11">
        <v>46.954524357356888</v>
      </c>
      <c r="K59" s="11">
        <v>86.007639055966095</v>
      </c>
      <c r="L59" s="11">
        <v>39.053114698609207</v>
      </c>
      <c r="M59" s="11">
        <v>41.116662483162443</v>
      </c>
      <c r="N59" s="11">
        <v>80.16977718177165</v>
      </c>
      <c r="P59" s="10" t="str">
        <f>name!D27</f>
        <v>82 Transport and mobile machine drivers and operatives</v>
      </c>
      <c r="Q59" s="11">
        <v>70.367915442644886</v>
      </c>
      <c r="R59" s="11">
        <v>118.74249604980453</v>
      </c>
      <c r="S59" s="342">
        <f t="shared" si="24"/>
        <v>48.374580607159643</v>
      </c>
      <c r="T59" s="342">
        <v>64.707636774930677</v>
      </c>
      <c r="U59" s="342">
        <f t="shared" si="25"/>
        <v>113.08221738209032</v>
      </c>
      <c r="V59" s="343">
        <f t="shared" si="26"/>
        <v>4.4431923449917532E-2</v>
      </c>
      <c r="W59" s="343"/>
      <c r="X59" s="10" t="str">
        <f>name!A56</f>
        <v>Architectural and related</v>
      </c>
      <c r="Y59" s="10">
        <v>674.00099999701069</v>
      </c>
      <c r="Z59" s="10">
        <v>695.60100000011766</v>
      </c>
      <c r="AA59" s="342">
        <f t="shared" si="8"/>
        <v>21.60000000310697</v>
      </c>
      <c r="AB59" s="10">
        <v>307.47005311543143</v>
      </c>
      <c r="AC59" s="342">
        <f t="shared" si="9"/>
        <v>329.0700531185384</v>
      </c>
      <c r="AD59" s="343">
        <f t="shared" si="10"/>
        <v>2.537123592944357E-2</v>
      </c>
    </row>
    <row r="60" spans="1:30" x14ac:dyDescent="0.3">
      <c r="A60" t="str">
        <f t="shared" si="20"/>
        <v>91 Elementary trades and related occupations</v>
      </c>
      <c r="B60" s="11">
        <v>2.851963408494251E-2</v>
      </c>
      <c r="C60" s="11">
        <v>5.1748804418108529E-2</v>
      </c>
      <c r="D60" s="11">
        <f t="shared" si="21"/>
        <v>2.3229170333166019E-2</v>
      </c>
      <c r="E60" s="11">
        <v>2.167789818746459E-2</v>
      </c>
      <c r="F60" s="11">
        <f>SUM(D60:E60)</f>
        <v>4.4907068520630609E-2</v>
      </c>
      <c r="G60" s="200">
        <f t="shared" si="23"/>
        <v>3.8410875407846268E-2</v>
      </c>
      <c r="I60" s="11" t="str">
        <f t="shared" si="33"/>
        <v>Elementary occupations</v>
      </c>
      <c r="J60" s="11">
        <v>154.09765834863813</v>
      </c>
      <c r="K60" s="11">
        <v>240.54778497953575</v>
      </c>
      <c r="L60" s="11">
        <v>86.450126630897628</v>
      </c>
      <c r="M60" s="11">
        <v>120.37020058989921</v>
      </c>
      <c r="N60" s="11">
        <v>206.82032722079683</v>
      </c>
      <c r="P60" s="10" t="str">
        <f>name!D28</f>
        <v>91 Elementary trades and related occupations</v>
      </c>
      <c r="Q60" s="11">
        <v>98.449514381590134</v>
      </c>
      <c r="R60" s="11">
        <v>82.278514727169892</v>
      </c>
      <c r="S60" s="342">
        <f t="shared" si="24"/>
        <v>-16.170999654420243</v>
      </c>
      <c r="T60" s="342">
        <v>52.755509709105205</v>
      </c>
      <c r="U60" s="342">
        <f t="shared" si="25"/>
        <v>36.584510054684962</v>
      </c>
      <c r="V60" s="343">
        <f t="shared" si="26"/>
        <v>2.9019274454619604E-2</v>
      </c>
      <c r="W60" s="343"/>
      <c r="X60" s="10" t="str">
        <f>name!A57</f>
        <v>Scientific research and development</v>
      </c>
      <c r="Y60" s="10">
        <v>167.6040000005236</v>
      </c>
      <c r="Z60" s="10">
        <v>212.77300000038647</v>
      </c>
      <c r="AA60" s="342">
        <f t="shared" si="8"/>
        <v>45.168999999862876</v>
      </c>
      <c r="AB60" s="10">
        <v>86.404141352721211</v>
      </c>
      <c r="AC60" s="342">
        <f t="shared" si="9"/>
        <v>131.57314135258409</v>
      </c>
      <c r="AD60" s="343">
        <f t="shared" si="10"/>
        <v>2.8105187563323142E-2</v>
      </c>
    </row>
    <row r="61" spans="1:30" x14ac:dyDescent="0.3">
      <c r="A61" t="str">
        <f t="shared" si="20"/>
        <v>92 Elementary administration and service occupations</v>
      </c>
      <c r="B61" s="11">
        <v>2.9894635853171918</v>
      </c>
      <c r="C61" s="11">
        <v>6.5648678210576366</v>
      </c>
      <c r="D61" s="11">
        <f t="shared" ref="D61" si="36">C61-B61</f>
        <v>3.5754042357404447</v>
      </c>
      <c r="E61" s="11">
        <v>2.7742503814970942</v>
      </c>
      <c r="F61" s="11">
        <f t="shared" ref="F61" si="37">SUM(D61:E61)</f>
        <v>6.3496546172375385</v>
      </c>
      <c r="G61" s="200">
        <f t="shared" ref="G61" si="38">IF(B61&gt;0,(1+(E61/B61))^(1/($C$6-$B$6))-1,0)</f>
        <v>4.4737724206380447E-2</v>
      </c>
      <c r="P61" s="10" t="str">
        <f>name!D29</f>
        <v>92 Elementary administration and service occupations</v>
      </c>
      <c r="Q61" s="11">
        <v>1600.9272611996569</v>
      </c>
      <c r="R61" s="11">
        <v>1519.8291473869019</v>
      </c>
      <c r="S61" s="342">
        <f t="shared" ref="S61" si="39">R61-Q61</f>
        <v>-81.098113812754946</v>
      </c>
      <c r="T61" s="342">
        <v>894.3198809955345</v>
      </c>
      <c r="U61" s="342">
        <f t="shared" ref="U61" si="40">SUM(S61:T61)</f>
        <v>813.22176718277956</v>
      </c>
      <c r="V61" s="343">
        <f t="shared" ref="V61" si="41">IF(Q61&gt;0,(1+(T61/Q61))^(1/($C$6-$B$6))-1,0)</f>
        <v>3.002902897010773E-2</v>
      </c>
      <c r="W61" s="11"/>
      <c r="X61" s="10" t="str">
        <f>name!A58</f>
        <v>Advertising, etc</v>
      </c>
      <c r="Y61" s="10">
        <v>234.44699999980119</v>
      </c>
      <c r="Z61" s="10">
        <v>294.4100000024614</v>
      </c>
      <c r="AA61" s="342">
        <f t="shared" si="8"/>
        <v>59.963000002660209</v>
      </c>
      <c r="AB61" s="10">
        <v>137.68840274839738</v>
      </c>
      <c r="AC61" s="342">
        <f t="shared" si="9"/>
        <v>197.65140275105759</v>
      </c>
      <c r="AD61" s="343">
        <f t="shared" si="10"/>
        <v>3.128116789709745E-2</v>
      </c>
    </row>
    <row r="62" spans="1:30" x14ac:dyDescent="0.3">
      <c r="A62" t="str">
        <f t="shared" si="20"/>
        <v>All occupations</v>
      </c>
      <c r="B62" s="11">
        <f>SUM(B36:B61)</f>
        <v>611.36556836037607</v>
      </c>
      <c r="C62" s="11">
        <f t="shared" ref="C62:F62" si="42">SUM(C36:C61)</f>
        <v>1077.1920536731884</v>
      </c>
      <c r="D62" s="11">
        <f t="shared" si="42"/>
        <v>465.82648531281257</v>
      </c>
      <c r="E62" s="11">
        <f t="shared" si="42"/>
        <v>416.07941522606592</v>
      </c>
      <c r="F62" s="11">
        <f t="shared" si="42"/>
        <v>881.90590053887786</v>
      </c>
      <c r="G62" s="200">
        <f t="shared" si="23"/>
        <v>3.5214881983752333E-2</v>
      </c>
      <c r="I62" s="86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16902.886000000053</v>
      </c>
      <c r="R62" s="11">
        <f>SUM(R36:R61)</f>
        <v>18354.937000000195</v>
      </c>
      <c r="S62" s="342">
        <f>R62-Q62</f>
        <v>1452.0510000001414</v>
      </c>
      <c r="T62" s="11">
        <f>SUM(T36:T61)</f>
        <v>9976.5974937965511</v>
      </c>
      <c r="U62" s="342">
        <f>SUM(S62:T62)</f>
        <v>11428.648493796692</v>
      </c>
      <c r="V62" s="343">
        <f>IF(Q62&gt;0,(1+(T62/Q62))^(1/($C$6-$B$6))-1,0)</f>
        <v>3.1408415165634862E-2</v>
      </c>
      <c r="X62" s="10" t="str">
        <f>name!A59</f>
        <v>Other professional</v>
      </c>
      <c r="Y62" s="10">
        <v>259.66499999946109</v>
      </c>
      <c r="Z62" s="10">
        <v>327.76600000213443</v>
      </c>
      <c r="AA62" s="342">
        <f t="shared" si="8"/>
        <v>68.101000002673345</v>
      </c>
      <c r="AB62" s="10">
        <v>145.86320173580143</v>
      </c>
      <c r="AC62" s="342">
        <f t="shared" si="9"/>
        <v>213.96420173847477</v>
      </c>
      <c r="AD62" s="343">
        <f t="shared" si="10"/>
        <v>3.0165915246795461E-2</v>
      </c>
    </row>
    <row r="63" spans="1:30" x14ac:dyDescent="0.3">
      <c r="I63" s="11" t="str">
        <f>I52</f>
        <v>Managers, directors and senior officials</v>
      </c>
      <c r="J63" s="11">
        <f t="array" ref="J63:J71">MMULT(aggregation!$B$38:$AA$46,B152:B177)</f>
        <v>299.63891056408966</v>
      </c>
      <c r="K63" s="11">
        <f t="array" ref="K63:K71">MMULT(aggregation!$B$38:$AA$46,C152:C177)</f>
        <v>338.81443835064408</v>
      </c>
      <c r="L63" s="11">
        <f t="array" ref="L63:L71">MMULT(aggregation!$B$38:$AA$46,D152:D177)</f>
        <v>39.175527786554483</v>
      </c>
      <c r="M63" s="11">
        <f t="array" ref="M63:M71">MMULT(aggregation!$B$38:$AA$46,E152:E177)</f>
        <v>175.46521473604921</v>
      </c>
      <c r="N63" s="11">
        <f t="array" ref="N63:N71">MMULT(aggregation!$B$38:$AA$46,F152:F177)</f>
        <v>214.64074252260369</v>
      </c>
      <c r="P63" s="23"/>
      <c r="Q63" s="33"/>
      <c r="R63" s="33"/>
      <c r="S63" s="33"/>
      <c r="T63" s="33"/>
      <c r="U63" s="33"/>
      <c r="V63" s="33"/>
      <c r="X63" s="10" t="str">
        <f>name!A60</f>
        <v>Veterinary</v>
      </c>
      <c r="Y63" s="10">
        <v>113.28300000102203</v>
      </c>
      <c r="Z63" s="10">
        <v>148.57200000021123</v>
      </c>
      <c r="AA63" s="342">
        <f t="shared" si="8"/>
        <v>35.288999999189201</v>
      </c>
      <c r="AB63" s="10">
        <v>71.156493406441626</v>
      </c>
      <c r="AC63" s="342">
        <f t="shared" si="9"/>
        <v>106.44549340563083</v>
      </c>
      <c r="AD63" s="343">
        <f t="shared" si="10"/>
        <v>3.3029234035804711E-2</v>
      </c>
    </row>
    <row r="64" spans="1:30" ht="24.9" x14ac:dyDescent="0.3">
      <c r="A64" s="201" t="str">
        <f>CONCATENATE(name!F5," (Constrained)")</f>
        <v>RQF7 Other higher degree (Constrained)</v>
      </c>
      <c r="B64" s="74">
        <f t="shared" ref="B64:G64" si="43">B6</f>
        <v>2020</v>
      </c>
      <c r="C64" s="74">
        <f t="shared" si="43"/>
        <v>2035</v>
      </c>
      <c r="D64" s="87" t="str">
        <f t="shared" si="43"/>
        <v>Net Change</v>
      </c>
      <c r="E64" s="87" t="str">
        <f t="shared" si="43"/>
        <v>Replacement Demand level</v>
      </c>
      <c r="F64" s="87" t="str">
        <f t="shared" si="43"/>
        <v>Total Requirement</v>
      </c>
      <c r="G64" s="87" t="str">
        <f t="shared" si="43"/>
        <v>Replacement Demand rate</v>
      </c>
      <c r="I64" s="11" t="str">
        <f>I53</f>
        <v>Professional occupations</v>
      </c>
      <c r="J64" s="11">
        <v>405.16683612695613</v>
      </c>
      <c r="K64" s="11">
        <v>424.77432964389004</v>
      </c>
      <c r="L64" s="11">
        <v>19.60749351693396</v>
      </c>
      <c r="M64" s="11">
        <v>181.34471942228726</v>
      </c>
      <c r="N64" s="11">
        <v>200.9522129392212</v>
      </c>
      <c r="P64" s="11"/>
      <c r="Q64" s="11"/>
      <c r="R64" s="11"/>
      <c r="S64" s="11"/>
      <c r="T64" s="11"/>
      <c r="U64" s="11"/>
      <c r="X64" s="10" t="str">
        <f>name!A61</f>
        <v>Rental and leasing</v>
      </c>
      <c r="Y64" s="10">
        <v>161.10999999995076</v>
      </c>
      <c r="Z64" s="10">
        <v>183.41500000032084</v>
      </c>
      <c r="AA64" s="342">
        <f t="shared" si="8"/>
        <v>22.305000000370086</v>
      </c>
      <c r="AB64" s="10">
        <v>77.197060324643004</v>
      </c>
      <c r="AC64" s="342">
        <f t="shared" si="9"/>
        <v>99.50206032501309</v>
      </c>
      <c r="AD64" s="343">
        <f t="shared" si="10"/>
        <v>2.6441716156246908E-2</v>
      </c>
    </row>
    <row r="65" spans="1:30" x14ac:dyDescent="0.3">
      <c r="A65" t="str">
        <f t="shared" ref="A65:A91" si="44">A7</f>
        <v>11 Corporate managers and directors</v>
      </c>
      <c r="B65" s="11">
        <v>375.78522463827409</v>
      </c>
      <c r="C65" s="11">
        <v>625.97200248215609</v>
      </c>
      <c r="D65" s="11">
        <f>C65-B65</f>
        <v>250.186777843882</v>
      </c>
      <c r="E65" s="11">
        <v>262.27935789076525</v>
      </c>
      <c r="F65" s="11">
        <f>SUM(D65:E65)</f>
        <v>512.4661357346472</v>
      </c>
      <c r="G65" s="200">
        <f>IF(B65&gt;0,(1+(E65/B65))^(1/($C$6-$B$6))-1,0)</f>
        <v>3.5925036238239949E-2</v>
      </c>
      <c r="I65" s="11" t="str">
        <f>I54</f>
        <v>Associate professional occupations</v>
      </c>
      <c r="J65" s="11">
        <v>326.01460833859255</v>
      </c>
      <c r="K65" s="11">
        <v>319.417558503225</v>
      </c>
      <c r="L65" s="11">
        <v>-6.5970498353676135</v>
      </c>
      <c r="M65" s="11">
        <v>143.08787477670049</v>
      </c>
      <c r="N65" s="11">
        <v>136.49082494133287</v>
      </c>
      <c r="P65" s="11"/>
      <c r="Q65" s="11"/>
      <c r="R65" s="11"/>
      <c r="S65" s="11"/>
      <c r="T65" s="11"/>
      <c r="U65" s="11"/>
      <c r="X65" s="10" t="str">
        <f>name!A62</f>
        <v>Employment activities</v>
      </c>
      <c r="Y65" s="10">
        <v>976.62699999978281</v>
      </c>
      <c r="Z65" s="10">
        <v>1109.7480000011983</v>
      </c>
      <c r="AA65" s="342">
        <f t="shared" si="8"/>
        <v>133.1210000014155</v>
      </c>
      <c r="AB65" s="10">
        <v>483.37829442511173</v>
      </c>
      <c r="AC65" s="342">
        <f t="shared" si="9"/>
        <v>616.49929442652729</v>
      </c>
      <c r="AD65" s="343">
        <f t="shared" si="10"/>
        <v>2.7168549913418216E-2</v>
      </c>
    </row>
    <row r="66" spans="1:30" x14ac:dyDescent="0.3">
      <c r="A66" t="str">
        <f t="shared" si="44"/>
        <v>12 Other managers and proprietors</v>
      </c>
      <c r="B66" s="11">
        <v>139.16586964614694</v>
      </c>
      <c r="C66" s="11">
        <v>337.50260545814695</v>
      </c>
      <c r="D66" s="11">
        <f t="shared" ref="D66:D89" si="45">C66-B66</f>
        <v>198.336735812</v>
      </c>
      <c r="E66" s="11">
        <v>147.34415374195376</v>
      </c>
      <c r="F66" s="11">
        <f t="shared" ref="F66:F89" si="46">SUM(D66:E66)</f>
        <v>345.68088955395376</v>
      </c>
      <c r="G66" s="200">
        <f t="shared" ref="G66:G91" si="47">IF(B66&gt;0,(1+(E66/B66))^(1/($C$6-$B$6))-1,0)</f>
        <v>4.9318038667983455E-2</v>
      </c>
      <c r="I66" s="11" t="str">
        <f>I55</f>
        <v>Administrative and secretarial occupations</v>
      </c>
      <c r="J66" s="11">
        <v>263.69701673766014</v>
      </c>
      <c r="K66" s="11">
        <v>295.01617293856629</v>
      </c>
      <c r="L66" s="11">
        <v>31.319156200906143</v>
      </c>
      <c r="M66" s="11">
        <v>153.05902499903718</v>
      </c>
      <c r="N66" s="11">
        <v>184.37818119994336</v>
      </c>
      <c r="P66" s="11"/>
      <c r="Q66" s="11"/>
      <c r="R66" s="11"/>
      <c r="S66" s="11"/>
      <c r="T66" s="11"/>
      <c r="U66" s="11"/>
      <c r="X66" s="10" t="str">
        <f>name!A63</f>
        <v>Travel, etc</v>
      </c>
      <c r="Y66" s="10">
        <v>98.161999999480201</v>
      </c>
      <c r="Z66" s="10">
        <v>111.3149999998835</v>
      </c>
      <c r="AA66" s="342">
        <f t="shared" si="8"/>
        <v>13.153000000403296</v>
      </c>
      <c r="AB66" s="10">
        <v>48.445466673575474</v>
      </c>
      <c r="AC66" s="342">
        <f t="shared" si="9"/>
        <v>61.59846667397877</v>
      </c>
      <c r="AD66" s="343">
        <f t="shared" si="10"/>
        <v>2.7103429664412815E-2</v>
      </c>
    </row>
    <row r="67" spans="1:30" x14ac:dyDescent="0.3">
      <c r="A67" t="str">
        <f t="shared" si="44"/>
        <v>21 Science, research, engineering and technology professionals</v>
      </c>
      <c r="B67" s="11">
        <v>481.12971538360688</v>
      </c>
      <c r="C67" s="11">
        <v>866.8080849492851</v>
      </c>
      <c r="D67" s="11">
        <f t="shared" si="45"/>
        <v>385.67836956567822</v>
      </c>
      <c r="E67" s="11">
        <v>275.39494724014241</v>
      </c>
      <c r="F67" s="11">
        <f t="shared" si="46"/>
        <v>661.0733168058207</v>
      </c>
      <c r="G67" s="200">
        <f t="shared" si="47"/>
        <v>3.0633039344480029E-2</v>
      </c>
      <c r="I67" s="11" t="str">
        <f t="shared" ref="I67:I71" si="48">I56</f>
        <v>Skilled trades occupations</v>
      </c>
      <c r="J67" s="11">
        <v>194.45869664620164</v>
      </c>
      <c r="K67" s="11">
        <v>275.42628680543709</v>
      </c>
      <c r="L67" s="11">
        <v>80.967590159235442</v>
      </c>
      <c r="M67" s="11">
        <v>122.52685697952973</v>
      </c>
      <c r="N67" s="11">
        <v>203.4944471387652</v>
      </c>
      <c r="P67" s="11"/>
      <c r="Q67" s="11"/>
      <c r="R67" s="11"/>
      <c r="S67" s="11"/>
      <c r="T67" s="11"/>
      <c r="U67" s="11"/>
      <c r="X67" s="10" t="str">
        <f>name!A64</f>
        <v>Security, etc</v>
      </c>
      <c r="Y67" s="10">
        <v>209.47500000018161</v>
      </c>
      <c r="Z67" s="10">
        <v>237.6060000003896</v>
      </c>
      <c r="AA67" s="342">
        <f t="shared" si="8"/>
        <v>28.13100000020799</v>
      </c>
      <c r="AB67" s="10">
        <v>99.657645655031658</v>
      </c>
      <c r="AC67" s="342">
        <f t="shared" si="9"/>
        <v>127.78864565523965</v>
      </c>
      <c r="AD67" s="343">
        <f t="shared" si="10"/>
        <v>2.6283889488537104E-2</v>
      </c>
    </row>
    <row r="68" spans="1:30" x14ac:dyDescent="0.3">
      <c r="A68" t="str">
        <f t="shared" si="44"/>
        <v>22 Health professionals</v>
      </c>
      <c r="B68" s="11">
        <v>327.69546625784898</v>
      </c>
      <c r="C68" s="11">
        <v>552.58843824363146</v>
      </c>
      <c r="D68" s="11">
        <f t="shared" si="45"/>
        <v>224.89297198578248</v>
      </c>
      <c r="E68" s="11">
        <v>239.09631391790987</v>
      </c>
      <c r="F68" s="11">
        <f t="shared" si="46"/>
        <v>463.98928590369235</v>
      </c>
      <c r="G68" s="200">
        <f t="shared" si="47"/>
        <v>3.7202466101194265E-2</v>
      </c>
      <c r="I68" s="11" t="str">
        <f t="shared" si="48"/>
        <v>Caring, leisure and other service occupations</v>
      </c>
      <c r="J68" s="11">
        <v>219.12869606712673</v>
      </c>
      <c r="K68" s="11">
        <v>300.61440913038314</v>
      </c>
      <c r="L68" s="11">
        <v>81.485713063256398</v>
      </c>
      <c r="M68" s="11">
        <v>158.94277954553658</v>
      </c>
      <c r="N68" s="11">
        <v>240.42849260879299</v>
      </c>
      <c r="P68" s="11"/>
      <c r="Q68" s="11"/>
      <c r="R68" s="11"/>
      <c r="S68" s="11"/>
      <c r="T68" s="11"/>
      <c r="U68" s="11"/>
      <c r="X68" s="10" t="str">
        <f>name!A65</f>
        <v>Services to buildings</v>
      </c>
      <c r="Y68" s="10">
        <v>849.80400000089367</v>
      </c>
      <c r="Z68" s="10">
        <v>956.54700000012178</v>
      </c>
      <c r="AA68" s="342">
        <f t="shared" si="8"/>
        <v>106.74299999922812</v>
      </c>
      <c r="AB68" s="10">
        <v>456.31177595303518</v>
      </c>
      <c r="AC68" s="342">
        <f t="shared" si="9"/>
        <v>563.0547759522633</v>
      </c>
      <c r="AD68" s="343">
        <f t="shared" si="10"/>
        <v>2.9068284492792307E-2</v>
      </c>
    </row>
    <row r="69" spans="1:30" x14ac:dyDescent="0.3">
      <c r="A69" t="str">
        <f t="shared" si="44"/>
        <v>23 Teaching and other educational professionals</v>
      </c>
      <c r="B69" s="11">
        <v>918.95121416254005</v>
      </c>
      <c r="C69" s="11">
        <v>1273.7308523236406</v>
      </c>
      <c r="D69" s="11">
        <f t="shared" ref="D69" si="49">C69-B69</f>
        <v>354.77963816110059</v>
      </c>
      <c r="E69" s="11">
        <v>584.31062340202027</v>
      </c>
      <c r="F69" s="11">
        <f t="shared" ref="F69" si="50">SUM(D69:E69)</f>
        <v>939.09026156312086</v>
      </c>
      <c r="G69" s="200">
        <f t="shared" si="47"/>
        <v>3.3354841152653858E-2</v>
      </c>
      <c r="I69" s="11" t="str">
        <f t="shared" si="48"/>
        <v>Sales and customer service occupations</v>
      </c>
      <c r="J69" s="11">
        <v>125.63076023409138</v>
      </c>
      <c r="K69" s="11">
        <v>167.17950583336386</v>
      </c>
      <c r="L69" s="11">
        <v>41.548745599272458</v>
      </c>
      <c r="M69" s="11">
        <v>70.298281404344635</v>
      </c>
      <c r="N69" s="11">
        <v>111.84702700361709</v>
      </c>
      <c r="P69" s="11"/>
      <c r="Q69" s="11"/>
      <c r="R69" s="11"/>
      <c r="S69" s="11"/>
      <c r="T69" s="11"/>
      <c r="U69" s="11"/>
      <c r="X69" s="10" t="str">
        <f>name!A66</f>
        <v>Office administrative</v>
      </c>
      <c r="Y69" s="10">
        <v>541.83799999943778</v>
      </c>
      <c r="Z69" s="10">
        <v>615.36700000032067</v>
      </c>
      <c r="AA69" s="342">
        <f t="shared" si="8"/>
        <v>73.529000000882888</v>
      </c>
      <c r="AB69" s="10">
        <v>262.83336304991849</v>
      </c>
      <c r="AC69" s="342">
        <f t="shared" si="9"/>
        <v>336.36236305080138</v>
      </c>
      <c r="AD69" s="343">
        <f t="shared" si="10"/>
        <v>2.6715075885382022E-2</v>
      </c>
    </row>
    <row r="70" spans="1:30" x14ac:dyDescent="0.3">
      <c r="A70" t="str">
        <f t="shared" si="44"/>
        <v>24 Business, media and public service professionals</v>
      </c>
      <c r="B70" s="11">
        <v>655.17047617734863</v>
      </c>
      <c r="C70" s="11">
        <v>1193.0044931216864</v>
      </c>
      <c r="D70" s="11">
        <f t="shared" si="45"/>
        <v>537.8340169443378</v>
      </c>
      <c r="E70" s="11">
        <v>469.38575797738662</v>
      </c>
      <c r="F70" s="11">
        <f t="shared" si="46"/>
        <v>1007.2197749217244</v>
      </c>
      <c r="G70" s="200">
        <f t="shared" si="47"/>
        <v>3.6673007264244495E-2</v>
      </c>
      <c r="I70" s="11" t="str">
        <f t="shared" si="48"/>
        <v>Process, plant and machine operatives</v>
      </c>
      <c r="J70" s="11">
        <v>83.86230357023328</v>
      </c>
      <c r="K70" s="11">
        <v>145.50815220284898</v>
      </c>
      <c r="L70" s="11">
        <v>61.645848632615717</v>
      </c>
      <c r="M70" s="11">
        <v>70.526019666534722</v>
      </c>
      <c r="N70" s="11">
        <v>132.17186829915045</v>
      </c>
      <c r="P70" s="11"/>
      <c r="Q70" s="11"/>
      <c r="R70" s="11"/>
      <c r="S70" s="11"/>
      <c r="T70" s="11"/>
      <c r="U70" s="11"/>
      <c r="X70" s="10" t="str">
        <f>name!A67</f>
        <v>Public administration and defence</v>
      </c>
      <c r="Y70" s="10">
        <v>1402.9949999971047</v>
      </c>
      <c r="Z70" s="10">
        <v>1451.2490000022112</v>
      </c>
      <c r="AA70" s="342">
        <f t="shared" si="8"/>
        <v>48.254000005106491</v>
      </c>
      <c r="AB70" s="10">
        <v>689.51459610730137</v>
      </c>
      <c r="AC70" s="342">
        <f t="shared" si="9"/>
        <v>737.76859611240786</v>
      </c>
      <c r="AD70" s="343">
        <f t="shared" si="10"/>
        <v>2.7008620524001437E-2</v>
      </c>
    </row>
    <row r="71" spans="1:30" x14ac:dyDescent="0.3">
      <c r="A71" t="str">
        <f t="shared" si="44"/>
        <v>31 Science, engineering and technology associate professionals</v>
      </c>
      <c r="B71" s="11">
        <v>89.185157393206367</v>
      </c>
      <c r="C71" s="11">
        <v>133.61404406247803</v>
      </c>
      <c r="D71" s="11">
        <f t="shared" si="45"/>
        <v>44.428886669271662</v>
      </c>
      <c r="E71" s="11">
        <v>47.144570337063072</v>
      </c>
      <c r="F71" s="11">
        <f t="shared" si="46"/>
        <v>91.573457006334735</v>
      </c>
      <c r="G71" s="200">
        <f t="shared" si="47"/>
        <v>2.8694771057994561E-2</v>
      </c>
      <c r="I71" s="11" t="str">
        <f t="shared" si="48"/>
        <v>Elementary occupations</v>
      </c>
      <c r="J71" s="11">
        <v>141.01144018245446</v>
      </c>
      <c r="K71" s="11">
        <v>208.64107996157099</v>
      </c>
      <c r="L71" s="11">
        <v>67.629639779116516</v>
      </c>
      <c r="M71" s="11">
        <v>103.45567104799163</v>
      </c>
      <c r="N71" s="11">
        <v>171.08531082710815</v>
      </c>
      <c r="P71" s="11"/>
      <c r="Q71" s="11"/>
      <c r="R71" s="11"/>
      <c r="S71" s="11"/>
      <c r="T71" s="11"/>
      <c r="U71" s="11"/>
      <c r="X71" s="10" t="str">
        <f>name!A68</f>
        <v xml:space="preserve">Education </v>
      </c>
      <c r="Y71" s="10">
        <v>2955.9990000195403</v>
      </c>
      <c r="Z71" s="10">
        <v>3100.350000033804</v>
      </c>
      <c r="AA71" s="342">
        <f t="shared" si="8"/>
        <v>144.35100001426372</v>
      </c>
      <c r="AB71" s="10">
        <v>1591.3011844975492</v>
      </c>
      <c r="AC71" s="342">
        <f t="shared" si="9"/>
        <v>1735.6521845118129</v>
      </c>
      <c r="AD71" s="343">
        <f t="shared" si="10"/>
        <v>2.9129331010806947E-2</v>
      </c>
    </row>
    <row r="72" spans="1:30" x14ac:dyDescent="0.3">
      <c r="A72" t="str">
        <f t="shared" si="44"/>
        <v>32 Health and social care associate professionals</v>
      </c>
      <c r="B72" s="11">
        <v>81.864050039796453</v>
      </c>
      <c r="C72" s="11">
        <v>157.92988063520647</v>
      </c>
      <c r="D72" s="11">
        <f t="shared" si="45"/>
        <v>76.06583059541002</v>
      </c>
      <c r="E72" s="11">
        <v>69.431036203497101</v>
      </c>
      <c r="F72" s="11">
        <f t="shared" si="46"/>
        <v>145.49686679890712</v>
      </c>
      <c r="G72" s="200">
        <f t="shared" si="47"/>
        <v>4.1794610670140564E-2</v>
      </c>
      <c r="I72" s="11"/>
      <c r="J72" s="11"/>
      <c r="K72" s="11"/>
      <c r="L72" s="11"/>
      <c r="M72" s="11"/>
      <c r="N72" s="11"/>
      <c r="P72" s="11"/>
      <c r="Q72" s="11"/>
      <c r="R72" s="11"/>
      <c r="S72" s="11"/>
      <c r="T72" s="11"/>
      <c r="U72" s="11"/>
      <c r="X72" s="10" t="str">
        <f>name!A69</f>
        <v>Health</v>
      </c>
      <c r="Y72" s="10">
        <v>2661.3899999955383</v>
      </c>
      <c r="Z72" s="10">
        <v>3030.0579999967026</v>
      </c>
      <c r="AA72" s="342">
        <f t="shared" ref="AA72:AA80" si="51">Z72-Y72</f>
        <v>368.66800000116427</v>
      </c>
      <c r="AB72" s="10">
        <v>1565.7311220808094</v>
      </c>
      <c r="AC72" s="342">
        <f t="shared" ref="AC72:AC82" si="52">SUM(AA72:AB72)</f>
        <v>1934.3991220819737</v>
      </c>
      <c r="AD72" s="343">
        <f t="shared" ref="AD72:AD82" si="53">IF(Y72&gt;0,(1+(AB72/Y72))^(1/($C$6-$B$6))-1,0)</f>
        <v>3.1325473270640947E-2</v>
      </c>
    </row>
    <row r="73" spans="1:30" x14ac:dyDescent="0.3">
      <c r="A73" t="str">
        <f t="shared" si="44"/>
        <v>33 Protective service occupations</v>
      </c>
      <c r="B73" s="11">
        <v>27.929803983852711</v>
      </c>
      <c r="C73" s="11">
        <v>75.296942029012158</v>
      </c>
      <c r="D73" s="11">
        <f t="shared" si="45"/>
        <v>47.36713804515945</v>
      </c>
      <c r="E73" s="11">
        <v>17.167414143428729</v>
      </c>
      <c r="F73" s="11">
        <f t="shared" si="46"/>
        <v>64.534552188588179</v>
      </c>
      <c r="G73" s="200">
        <f t="shared" si="47"/>
        <v>3.2457359503187178E-2</v>
      </c>
      <c r="I73" s="86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11"/>
      <c r="T73" s="11"/>
      <c r="U73" s="11"/>
      <c r="X73" s="10" t="str">
        <f>name!A70</f>
        <v>Residential care</v>
      </c>
      <c r="Y73" s="10">
        <v>764.89099999917812</v>
      </c>
      <c r="Z73" s="10">
        <v>901.25399999790034</v>
      </c>
      <c r="AA73" s="342">
        <f t="shared" si="51"/>
        <v>136.36299999872222</v>
      </c>
      <c r="AB73" s="10">
        <v>462.82492866215398</v>
      </c>
      <c r="AC73" s="342">
        <f t="shared" si="52"/>
        <v>599.1879286608762</v>
      </c>
      <c r="AD73" s="343">
        <f t="shared" si="53"/>
        <v>3.2047982757683835E-2</v>
      </c>
    </row>
    <row r="74" spans="1:30" x14ac:dyDescent="0.3">
      <c r="A74" t="str">
        <f t="shared" si="44"/>
        <v>34 Culture, media and sports occupations</v>
      </c>
      <c r="B74" s="11">
        <v>167.55468927034528</v>
      </c>
      <c r="C74" s="11">
        <v>289.45374804447374</v>
      </c>
      <c r="D74" s="11">
        <f t="shared" ref="D74:D75" si="54">C74-B74</f>
        <v>121.89905877412846</v>
      </c>
      <c r="E74" s="11">
        <v>116.39034654956848</v>
      </c>
      <c r="F74" s="11">
        <f t="shared" ref="F74:F75" si="55">SUM(D74:E74)</f>
        <v>238.28940532369694</v>
      </c>
      <c r="G74" s="200">
        <f t="shared" si="47"/>
        <v>3.579031582553549E-2</v>
      </c>
      <c r="I74" s="11" t="str">
        <f>I63</f>
        <v>Managers, directors and senior officials</v>
      </c>
      <c r="J74" s="11">
        <f t="array" ref="J74:J82">MMULT(aggregation!$B$38:$AA$46,B181:B206)</f>
        <v>635.32226922898178</v>
      </c>
      <c r="K74" s="11">
        <f t="array" ref="K74:K82">MMULT(aggregation!$B$38:$AA$46,C181:C206)</f>
        <v>602.5560673930737</v>
      </c>
      <c r="L74" s="11">
        <f t="array" ref="L74:L82">MMULT(aggregation!$B$38:$AA$46,D181:D206)</f>
        <v>-32.766201835908106</v>
      </c>
      <c r="M74" s="11">
        <f t="array" ref="M74:M82">MMULT(aggregation!$B$38:$AA$46,E181:E206)</f>
        <v>268.16242552186264</v>
      </c>
      <c r="N74" s="11">
        <f t="array" ref="N74:N82">MMULT(aggregation!$B$38:$AA$46,F181:F206)</f>
        <v>235.39622368595457</v>
      </c>
      <c r="P74" s="11"/>
      <c r="Q74" s="11"/>
      <c r="R74" s="11"/>
      <c r="S74" s="11"/>
      <c r="T74" s="11"/>
      <c r="U74" s="11"/>
      <c r="X74" s="10" t="str">
        <f>name!A71</f>
        <v>Social work</v>
      </c>
      <c r="Y74" s="10">
        <v>995.71499999842206</v>
      </c>
      <c r="Z74" s="10">
        <v>1146.9959999976561</v>
      </c>
      <c r="AA74" s="342">
        <f t="shared" si="51"/>
        <v>151.28099999923404</v>
      </c>
      <c r="AB74" s="10">
        <v>596.2292431228658</v>
      </c>
      <c r="AC74" s="342">
        <f t="shared" si="52"/>
        <v>747.51024312209984</v>
      </c>
      <c r="AD74" s="343">
        <f t="shared" si="53"/>
        <v>3.1777818130318103E-2</v>
      </c>
    </row>
    <row r="75" spans="1:30" x14ac:dyDescent="0.3">
      <c r="A75" t="str">
        <f t="shared" si="44"/>
        <v>35 Business and public service associate professionals</v>
      </c>
      <c r="B75" s="11">
        <v>359.13874718595901</v>
      </c>
      <c r="C75" s="11">
        <v>605.20500280542012</v>
      </c>
      <c r="D75" s="11">
        <f t="shared" si="54"/>
        <v>246.06625561946112</v>
      </c>
      <c r="E75" s="11">
        <v>238.08909403267793</v>
      </c>
      <c r="F75" s="11">
        <f t="shared" si="55"/>
        <v>484.15534965213908</v>
      </c>
      <c r="G75" s="200">
        <f t="shared" si="47"/>
        <v>3.4487352616888067E-2</v>
      </c>
      <c r="I75" s="11" t="str">
        <f>I64</f>
        <v>Professional occupations</v>
      </c>
      <c r="J75" s="11">
        <v>787.16158728965991</v>
      </c>
      <c r="K75" s="11">
        <v>789.61339763161664</v>
      </c>
      <c r="L75" s="11">
        <v>2.4518103419568007</v>
      </c>
      <c r="M75" s="11">
        <v>322.11362889509689</v>
      </c>
      <c r="N75" s="11">
        <v>324.56543923705368</v>
      </c>
      <c r="P75" s="11"/>
      <c r="Q75" s="11"/>
      <c r="R75" s="11"/>
      <c r="S75" s="11"/>
      <c r="T75" s="11"/>
      <c r="U75" s="11"/>
      <c r="X75" s="10" t="str">
        <f>name!A72</f>
        <v>Arts and entertainment</v>
      </c>
      <c r="Y75" s="10">
        <v>198.39800000076798</v>
      </c>
      <c r="Z75" s="10">
        <v>201.4500000029692</v>
      </c>
      <c r="AA75" s="342">
        <f t="shared" si="51"/>
        <v>3.0520000022012255</v>
      </c>
      <c r="AB75" s="10">
        <v>98.373055123757098</v>
      </c>
      <c r="AC75" s="342">
        <f t="shared" si="52"/>
        <v>101.42505512595832</v>
      </c>
      <c r="AD75" s="343">
        <f t="shared" si="53"/>
        <v>2.7209317424902402E-2</v>
      </c>
    </row>
    <row r="76" spans="1:30" x14ac:dyDescent="0.3">
      <c r="A76" t="str">
        <f t="shared" si="44"/>
        <v>41 Administrative occupations</v>
      </c>
      <c r="B76" s="11">
        <v>224.76092300841069</v>
      </c>
      <c r="C76" s="11">
        <v>398.90808470322833</v>
      </c>
      <c r="D76" s="11">
        <f t="shared" si="45"/>
        <v>174.14716169481764</v>
      </c>
      <c r="E76" s="11">
        <v>166.73891259673761</v>
      </c>
      <c r="F76" s="11">
        <f t="shared" si="46"/>
        <v>340.88607429155525</v>
      </c>
      <c r="G76" s="200">
        <f t="shared" si="47"/>
        <v>3.7689411239290704E-2</v>
      </c>
      <c r="I76" s="11" t="str">
        <f>I65</f>
        <v>Associate professional occupations</v>
      </c>
      <c r="J76" s="11">
        <v>791.83788529316985</v>
      </c>
      <c r="K76" s="11">
        <v>673.93001797943748</v>
      </c>
      <c r="L76" s="11">
        <v>-117.90786731373231</v>
      </c>
      <c r="M76" s="11">
        <v>293.24882587439902</v>
      </c>
      <c r="N76" s="11">
        <v>175.34095856066665</v>
      </c>
      <c r="P76" s="11"/>
      <c r="Q76" s="11"/>
      <c r="R76" s="11"/>
      <c r="S76" s="11"/>
      <c r="T76" s="11"/>
      <c r="U76" s="11"/>
      <c r="X76" s="10" t="str">
        <f>name!A73</f>
        <v>Libraries, etc</v>
      </c>
      <c r="Y76" s="10">
        <v>196.25800000001627</v>
      </c>
      <c r="Z76" s="10">
        <v>204.89800000229093</v>
      </c>
      <c r="AA76" s="342">
        <f t="shared" si="51"/>
        <v>8.640000002274661</v>
      </c>
      <c r="AB76" s="10">
        <v>100.01495995335318</v>
      </c>
      <c r="AC76" s="342">
        <f t="shared" si="52"/>
        <v>108.65495995562785</v>
      </c>
      <c r="AD76" s="343">
        <f t="shared" si="53"/>
        <v>2.7837147939361095E-2</v>
      </c>
    </row>
    <row r="77" spans="1:30" x14ac:dyDescent="0.3">
      <c r="A77" t="str">
        <f t="shared" si="44"/>
        <v>42 Secretarial and related occupations</v>
      </c>
      <c r="B77" s="11">
        <v>35.613587975417126</v>
      </c>
      <c r="C77" s="11">
        <v>77.325455216801828</v>
      </c>
      <c r="D77" s="11">
        <f t="shared" si="45"/>
        <v>41.711867241384702</v>
      </c>
      <c r="E77" s="11">
        <v>35.701606712266134</v>
      </c>
      <c r="F77" s="11">
        <f t="shared" si="46"/>
        <v>77.413473953650836</v>
      </c>
      <c r="G77" s="200">
        <f t="shared" si="47"/>
        <v>4.7380352444340579E-2</v>
      </c>
      <c r="I77" s="11" t="str">
        <f>I66</f>
        <v>Administrative and secretarial occupations</v>
      </c>
      <c r="J77" s="11">
        <v>757.83843159465061</v>
      </c>
      <c r="K77" s="11">
        <v>503.2945707222612</v>
      </c>
      <c r="L77" s="11">
        <v>-254.54386087238942</v>
      </c>
      <c r="M77" s="11">
        <v>295.40505609710857</v>
      </c>
      <c r="N77" s="11">
        <v>40.861195224719147</v>
      </c>
      <c r="P77" s="11"/>
      <c r="Q77" s="11"/>
      <c r="R77" s="11"/>
      <c r="S77" s="11"/>
      <c r="T77" s="11"/>
      <c r="U77" s="11"/>
      <c r="X77" s="10" t="str">
        <f>name!A74</f>
        <v>Gambling and betting</v>
      </c>
      <c r="Y77" s="10">
        <v>100.1820000001414</v>
      </c>
      <c r="Z77" s="10">
        <v>118.35600000080578</v>
      </c>
      <c r="AA77" s="342">
        <f t="shared" si="51"/>
        <v>18.174000000664378</v>
      </c>
      <c r="AB77" s="10">
        <v>50.893040899035398</v>
      </c>
      <c r="AC77" s="342">
        <f t="shared" si="52"/>
        <v>69.067040899699776</v>
      </c>
      <c r="AD77" s="343">
        <f t="shared" si="53"/>
        <v>2.7764315919592164E-2</v>
      </c>
    </row>
    <row r="78" spans="1:30" x14ac:dyDescent="0.3">
      <c r="A78" t="str">
        <f t="shared" si="44"/>
        <v>51 Skilled agricultural and related trades</v>
      </c>
      <c r="B78" s="11">
        <v>6.77100633343733</v>
      </c>
      <c r="C78" s="11">
        <v>12.350112828698588</v>
      </c>
      <c r="D78" s="11">
        <f t="shared" si="45"/>
        <v>5.5791064952612581</v>
      </c>
      <c r="E78" s="11">
        <v>5.3607152492672343</v>
      </c>
      <c r="F78" s="11">
        <f t="shared" si="46"/>
        <v>10.939821744528492</v>
      </c>
      <c r="G78" s="200">
        <f t="shared" si="47"/>
        <v>3.9643910990944331E-2</v>
      </c>
      <c r="I78" s="11" t="str">
        <f t="shared" ref="I78:I82" si="56">I67</f>
        <v>Skilled trades occupations</v>
      </c>
      <c r="J78" s="11">
        <v>975.95688105270438</v>
      </c>
      <c r="K78" s="11">
        <v>890.46129474114628</v>
      </c>
      <c r="L78" s="11">
        <v>-85.495586311558185</v>
      </c>
      <c r="M78" s="11">
        <v>351.45900571414512</v>
      </c>
      <c r="N78" s="11">
        <v>265.96341940258696</v>
      </c>
      <c r="O78" s="70"/>
      <c r="P78" s="11"/>
      <c r="Q78" s="11"/>
      <c r="R78" s="11"/>
      <c r="S78" s="11"/>
      <c r="T78" s="11"/>
      <c r="U78" s="11"/>
      <c r="X78" s="10" t="str">
        <f>name!A75</f>
        <v>Sport and recreation</v>
      </c>
      <c r="Y78" s="10">
        <v>505.15800000099483</v>
      </c>
      <c r="Z78" s="10">
        <v>594.05900000410713</v>
      </c>
      <c r="AA78" s="342">
        <f t="shared" si="51"/>
        <v>88.901000003112301</v>
      </c>
      <c r="AB78" s="10">
        <v>270.32657529852713</v>
      </c>
      <c r="AC78" s="342">
        <f t="shared" si="52"/>
        <v>359.22757530163943</v>
      </c>
      <c r="AD78" s="343">
        <f t="shared" si="53"/>
        <v>2.8986622263938555E-2</v>
      </c>
    </row>
    <row r="79" spans="1:30" x14ac:dyDescent="0.3">
      <c r="A79" t="str">
        <f t="shared" si="44"/>
        <v>52 Skilled metal, electrical and electronic trades</v>
      </c>
      <c r="B79" s="11">
        <v>25.462108374536054</v>
      </c>
      <c r="C79" s="11">
        <v>67.587894717620983</v>
      </c>
      <c r="D79" s="11">
        <f t="shared" si="45"/>
        <v>42.125786343084926</v>
      </c>
      <c r="E79" s="11">
        <v>23.226633756798595</v>
      </c>
      <c r="F79" s="11">
        <f t="shared" si="46"/>
        <v>65.352420099883517</v>
      </c>
      <c r="G79" s="200">
        <f t="shared" si="47"/>
        <v>4.4164553823738739E-2</v>
      </c>
      <c r="I79" s="11" t="str">
        <f t="shared" si="56"/>
        <v>Caring, leisure and other service occupations</v>
      </c>
      <c r="J79" s="11">
        <v>1025.4107408764523</v>
      </c>
      <c r="K79" s="11">
        <v>1242.1452835034875</v>
      </c>
      <c r="L79" s="11">
        <v>216.73454262703484</v>
      </c>
      <c r="M79" s="11">
        <v>621.18360345451094</v>
      </c>
      <c r="N79" s="11">
        <v>837.91814608154573</v>
      </c>
      <c r="X79" s="10" t="str">
        <f>name!A76</f>
        <v>Membership organisations</v>
      </c>
      <c r="Y79" s="10">
        <v>400.05599999843645</v>
      </c>
      <c r="Z79" s="10">
        <v>396.27400000287605</v>
      </c>
      <c r="AA79" s="342">
        <f t="shared" si="51"/>
        <v>-3.7819999955603976</v>
      </c>
      <c r="AB79" s="10">
        <v>205.18526397578526</v>
      </c>
      <c r="AC79" s="342">
        <f t="shared" si="52"/>
        <v>201.40326398022486</v>
      </c>
      <c r="AD79" s="343">
        <f t="shared" si="53"/>
        <v>2.7985958929452437E-2</v>
      </c>
    </row>
    <row r="80" spans="1:30" x14ac:dyDescent="0.3">
      <c r="A80" t="str">
        <f t="shared" si="44"/>
        <v>53 Skilled construction and building trades</v>
      </c>
      <c r="B80" s="11">
        <v>11.566133826631905</v>
      </c>
      <c r="C80" s="11">
        <v>27.544947032391367</v>
      </c>
      <c r="D80" s="11">
        <f t="shared" ref="D80" si="57">C80-B80</f>
        <v>15.978813205759462</v>
      </c>
      <c r="E80" s="11">
        <v>10.153767401807766</v>
      </c>
      <c r="F80" s="11">
        <f>SUM(D80:E80)</f>
        <v>26.132580607567228</v>
      </c>
      <c r="G80" s="200">
        <f t="shared" si="47"/>
        <v>4.2904742078789804E-2</v>
      </c>
      <c r="I80" s="11" t="str">
        <f t="shared" si="56"/>
        <v>Sales and customer service occupations</v>
      </c>
      <c r="J80" s="11">
        <v>720.57380171850696</v>
      </c>
      <c r="K80" s="11">
        <v>748.817392720768</v>
      </c>
      <c r="L80" s="11">
        <v>28.24359100226107</v>
      </c>
      <c r="M80" s="11">
        <v>327.76763722936141</v>
      </c>
      <c r="N80" s="11">
        <v>356.01122823162245</v>
      </c>
      <c r="P80" s="84"/>
      <c r="Q80" s="73"/>
      <c r="R80" s="73"/>
      <c r="S80" s="71"/>
      <c r="T80" s="71"/>
      <c r="U80" s="71"/>
      <c r="X80" s="10" t="str">
        <f>name!A77</f>
        <v>Repair of goods</v>
      </c>
      <c r="Y80" s="10">
        <v>88.583999999823163</v>
      </c>
      <c r="Z80" s="10">
        <v>92.124000000225379</v>
      </c>
      <c r="AA80" s="342">
        <f t="shared" si="51"/>
        <v>3.5400000004022161</v>
      </c>
      <c r="AB80" s="10">
        <v>41.125628155008755</v>
      </c>
      <c r="AC80" s="342">
        <f t="shared" si="52"/>
        <v>44.665628155410971</v>
      </c>
      <c r="AD80" s="343">
        <f t="shared" si="53"/>
        <v>2.574906199375393E-2</v>
      </c>
    </row>
    <row r="81" spans="1:30" x14ac:dyDescent="0.3">
      <c r="A81" t="str">
        <f t="shared" si="44"/>
        <v>54 Textiles, printing and other skilled trades</v>
      </c>
      <c r="B81" s="11">
        <v>25.975102973323708</v>
      </c>
      <c r="C81" s="11">
        <v>62.517303717033258</v>
      </c>
      <c r="D81" s="11">
        <f t="shared" si="45"/>
        <v>36.54220074370955</v>
      </c>
      <c r="E81" s="11">
        <v>23.728915219962214</v>
      </c>
      <c r="F81" s="11">
        <f t="shared" si="46"/>
        <v>60.271115963671761</v>
      </c>
      <c r="G81" s="200">
        <f t="shared" si="47"/>
        <v>4.4212645169926956E-2</v>
      </c>
      <c r="I81" s="11" t="str">
        <f t="shared" si="56"/>
        <v>Process, plant and machine operatives</v>
      </c>
      <c r="J81" s="11">
        <v>427.64202756894554</v>
      </c>
      <c r="K81" s="11">
        <v>564.97824768386602</v>
      </c>
      <c r="L81" s="11">
        <v>137.33622011492048</v>
      </c>
      <c r="M81" s="11">
        <v>227.98736087798895</v>
      </c>
      <c r="N81" s="11">
        <v>365.32358099290946</v>
      </c>
      <c r="P81" s="11"/>
      <c r="Q81" s="11"/>
      <c r="R81" s="11"/>
      <c r="S81" s="11"/>
      <c r="T81" s="11"/>
      <c r="U81" s="11"/>
      <c r="X81" s="10" t="str">
        <f>name!A78</f>
        <v>Other personal service</v>
      </c>
      <c r="Y81" s="10">
        <v>511.35799999848638</v>
      </c>
      <c r="Z81" s="10">
        <v>503.7620000013444</v>
      </c>
      <c r="AA81" s="342">
        <f>Z81-Y81</f>
        <v>-7.5959999971419734</v>
      </c>
      <c r="AB81" s="10">
        <v>253.44813005765502</v>
      </c>
      <c r="AC81" s="342">
        <f t="shared" si="52"/>
        <v>245.85213006051305</v>
      </c>
      <c r="AD81" s="343">
        <f t="shared" si="53"/>
        <v>2.7200180489610037E-2</v>
      </c>
    </row>
    <row r="82" spans="1:30" x14ac:dyDescent="0.3">
      <c r="A82" t="str">
        <f t="shared" si="44"/>
        <v>61 Caring personal service occupations</v>
      </c>
      <c r="B82" s="11">
        <v>111.49974031866401</v>
      </c>
      <c r="C82" s="11">
        <v>259.38518503454372</v>
      </c>
      <c r="D82" s="11">
        <f t="shared" si="45"/>
        <v>147.88544471587971</v>
      </c>
      <c r="E82" s="11">
        <v>110.34945791127396</v>
      </c>
      <c r="F82" s="11">
        <f t="shared" si="46"/>
        <v>258.2349026271537</v>
      </c>
      <c r="G82" s="200">
        <f t="shared" si="47"/>
        <v>4.6933107461225809E-2</v>
      </c>
      <c r="I82" s="11" t="str">
        <f t="shared" si="56"/>
        <v>Elementary occupations</v>
      </c>
      <c r="J82" s="11">
        <v>621.41506492948804</v>
      </c>
      <c r="K82" s="11">
        <v>603.19776338425913</v>
      </c>
      <c r="L82" s="11">
        <v>-18.217301545228949</v>
      </c>
      <c r="M82" s="11">
        <v>288.1797478122337</v>
      </c>
      <c r="N82" s="11">
        <v>269.96244626700479</v>
      </c>
      <c r="P82" s="11"/>
      <c r="Q82" s="11"/>
      <c r="R82" s="11"/>
      <c r="S82" s="11"/>
      <c r="T82" s="11"/>
      <c r="U82" s="11"/>
      <c r="X82" s="231" t="str">
        <f>name!A3</f>
        <v>All industries</v>
      </c>
      <c r="Y82" s="353">
        <f>SUM(Y7:Y81)</f>
        <v>34974.967999999812</v>
      </c>
      <c r="Z82" s="353">
        <f>SUM(Z7:Z81)</f>
        <v>37567.872000000105</v>
      </c>
      <c r="AA82" s="354">
        <f>Z82-Y82</f>
        <v>2592.9040000002933</v>
      </c>
      <c r="AB82" s="353">
        <f>SUM(AB7:AB81)</f>
        <v>17534.355663602433</v>
      </c>
      <c r="AC82" s="354">
        <f t="shared" si="52"/>
        <v>20127.259663602727</v>
      </c>
      <c r="AD82" s="346">
        <f t="shared" si="53"/>
        <v>2.7460827719290926E-2</v>
      </c>
    </row>
    <row r="83" spans="1:30" x14ac:dyDescent="0.3">
      <c r="A83" t="str">
        <f t="shared" si="44"/>
        <v>62 Leisure, travel and related personal service occupations</v>
      </c>
      <c r="B83" s="11">
        <v>19.060435242764736</v>
      </c>
      <c r="C83" s="11">
        <v>41.369618669244979</v>
      </c>
      <c r="D83" s="11">
        <f t="shared" ref="D83:D84" si="58">C83-B83</f>
        <v>22.309183426480242</v>
      </c>
      <c r="E83" s="11">
        <v>16.832810454040533</v>
      </c>
      <c r="F83" s="11">
        <f t="shared" ref="F83:F84" si="59">SUM(D83:E83)</f>
        <v>39.141993880520772</v>
      </c>
      <c r="G83" s="200">
        <f t="shared" si="47"/>
        <v>4.3098516836546086E-2</v>
      </c>
      <c r="I83" s="11"/>
      <c r="J83" s="11"/>
      <c r="K83" s="11"/>
      <c r="L83" s="11"/>
      <c r="M83" s="11"/>
      <c r="N83" s="11"/>
      <c r="P83" s="11"/>
      <c r="Q83" s="11"/>
      <c r="R83" s="11"/>
      <c r="S83" s="11"/>
      <c r="T83" s="11"/>
      <c r="U83" s="11"/>
      <c r="X83" s="10"/>
    </row>
    <row r="84" spans="1:30" x14ac:dyDescent="0.3">
      <c r="A84" t="str">
        <f t="shared" si="44"/>
        <v>63 Community and civil enforcement occupations</v>
      </c>
      <c r="B84" s="11">
        <v>1.8723386585383628</v>
      </c>
      <c r="C84" s="11">
        <v>3.2680857941361414</v>
      </c>
      <c r="D84" s="11">
        <f t="shared" si="58"/>
        <v>1.3957471355977786</v>
      </c>
      <c r="E84" s="11">
        <v>1.2815972630645152</v>
      </c>
      <c r="F84" s="11">
        <f t="shared" si="59"/>
        <v>2.677344398662294</v>
      </c>
      <c r="G84" s="200">
        <f t="shared" si="47"/>
        <v>3.5375531748587097E-2</v>
      </c>
      <c r="I84" s="86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11"/>
      <c r="T84" s="11"/>
      <c r="U84" s="11"/>
    </row>
    <row r="85" spans="1:30" x14ac:dyDescent="0.3">
      <c r="A85" t="str">
        <f t="shared" si="44"/>
        <v>71 Sales occupations</v>
      </c>
      <c r="B85" s="11">
        <v>86.135136388835761</v>
      </c>
      <c r="C85" s="11">
        <v>181.85330452600772</v>
      </c>
      <c r="D85" s="11">
        <f t="shared" si="45"/>
        <v>95.718168137171958</v>
      </c>
      <c r="E85" s="11">
        <v>63.229485068018157</v>
      </c>
      <c r="F85" s="11">
        <f t="shared" si="46"/>
        <v>158.94765320519011</v>
      </c>
      <c r="G85" s="200">
        <f t="shared" si="47"/>
        <v>3.7379894008603642E-2</v>
      </c>
      <c r="I85" s="11" t="str">
        <f>I74</f>
        <v>Managers, directors and senior officials</v>
      </c>
      <c r="J85" s="11">
        <f t="array" ref="J85:J93">MMULT(aggregation!$B$38:$AA$46,B210:B235)</f>
        <v>519.56961129506954</v>
      </c>
      <c r="K85" s="11">
        <f t="array" ref="K85:K93">MMULT(aggregation!$B$38:$AA$46,C210:C235)</f>
        <v>402.3956984611608</v>
      </c>
      <c r="L85" s="11">
        <f t="array" ref="L85:L93">MMULT(aggregation!$B$38:$AA$46,D210:D235)</f>
        <v>-117.17391283390873</v>
      </c>
      <c r="M85" s="11">
        <f t="array" ref="M85:M93">MMULT(aggregation!$B$38:$AA$46,E210:E235)</f>
        <v>225.21193831612024</v>
      </c>
      <c r="N85" s="11">
        <f t="array" ref="N85:N93">MMULT(aggregation!$B$38:$AA$46,F210:F235)</f>
        <v>108.03802548221151</v>
      </c>
      <c r="P85" s="11"/>
      <c r="Q85" s="11"/>
      <c r="R85" s="11"/>
      <c r="S85" s="11"/>
      <c r="T85" s="11"/>
      <c r="U85" s="11"/>
    </row>
    <row r="86" spans="1:30" x14ac:dyDescent="0.3">
      <c r="A86" t="str">
        <f t="shared" si="44"/>
        <v>72 Customer service occupations</v>
      </c>
      <c r="B86" s="11">
        <v>29.689288739404084</v>
      </c>
      <c r="C86" s="11">
        <v>80.024464392836734</v>
      </c>
      <c r="D86" s="11">
        <f t="shared" si="45"/>
        <v>50.33517565343265</v>
      </c>
      <c r="E86" s="11">
        <v>28.291566652058687</v>
      </c>
      <c r="F86" s="11">
        <f t="shared" si="46"/>
        <v>78.626742305491334</v>
      </c>
      <c r="G86" s="200">
        <f t="shared" si="47"/>
        <v>4.5632295209006024E-2</v>
      </c>
      <c r="I86" s="11" t="str">
        <f>I75</f>
        <v>Professional occupations</v>
      </c>
      <c r="J86" s="11">
        <v>536.94311034703492</v>
      </c>
      <c r="K86" s="11">
        <v>414.93638548207127</v>
      </c>
      <c r="L86" s="11">
        <v>-122.00672486496366</v>
      </c>
      <c r="M86" s="11">
        <v>193.51541904735268</v>
      </c>
      <c r="N86" s="11">
        <v>71.508694182389007</v>
      </c>
      <c r="P86" s="11"/>
      <c r="Q86" s="11"/>
      <c r="R86" s="11"/>
      <c r="S86" s="11"/>
      <c r="T86" s="11"/>
      <c r="U86" s="11"/>
    </row>
    <row r="87" spans="1:30" x14ac:dyDescent="0.3">
      <c r="A87" t="str">
        <f t="shared" si="44"/>
        <v>81 Process, plant and machine operatives</v>
      </c>
      <c r="B87" s="11">
        <v>12.368890999466219</v>
      </c>
      <c r="C87" s="11">
        <v>40.122222874164791</v>
      </c>
      <c r="D87" s="11">
        <f t="shared" ref="D87:D88" si="60">C87-B87</f>
        <v>27.753331874698574</v>
      </c>
      <c r="E87" s="11">
        <v>13.317182357906812</v>
      </c>
      <c r="F87" s="11">
        <f t="shared" ref="F87:F88" si="61">SUM(D87:E87)</f>
        <v>41.07051423260539</v>
      </c>
      <c r="G87" s="200">
        <f t="shared" si="47"/>
        <v>4.9923839949335802E-2</v>
      </c>
      <c r="I87" s="11" t="str">
        <f>I76</f>
        <v>Associate professional occupations</v>
      </c>
      <c r="J87" s="11">
        <v>596.94135201471613</v>
      </c>
      <c r="K87" s="11">
        <v>406.2587922248556</v>
      </c>
      <c r="L87" s="11">
        <v>-190.68255978986062</v>
      </c>
      <c r="M87" s="11">
        <v>190.51487502059217</v>
      </c>
      <c r="N87" s="11">
        <v>-0.16768476926842446</v>
      </c>
      <c r="P87" s="11"/>
      <c r="Q87" s="11"/>
      <c r="R87" s="11"/>
      <c r="S87" s="11"/>
      <c r="T87" s="11"/>
      <c r="U87" s="11"/>
    </row>
    <row r="88" spans="1:30" x14ac:dyDescent="0.3">
      <c r="A88" t="str">
        <f t="shared" si="44"/>
        <v>82 Transport and mobile machine drivers and operatives</v>
      </c>
      <c r="B88" s="11">
        <v>25.067375964382499</v>
      </c>
      <c r="C88" s="11">
        <v>64.67237652139633</v>
      </c>
      <c r="D88" s="11">
        <f t="shared" si="60"/>
        <v>39.605000557013831</v>
      </c>
      <c r="E88" s="11">
        <v>28.89916176506091</v>
      </c>
      <c r="F88" s="11">
        <f t="shared" si="61"/>
        <v>68.504162322074734</v>
      </c>
      <c r="G88" s="200">
        <f t="shared" si="47"/>
        <v>5.2448965221632671E-2</v>
      </c>
      <c r="I88" s="11" t="str">
        <f>I77</f>
        <v>Administrative and secretarial occupations</v>
      </c>
      <c r="J88" s="11">
        <v>807.47649759959677</v>
      </c>
      <c r="K88" s="11">
        <v>394.03846636228548</v>
      </c>
      <c r="L88" s="11">
        <v>-413.43803123731135</v>
      </c>
      <c r="M88" s="11">
        <v>250.96004997722997</v>
      </c>
      <c r="N88" s="11">
        <v>-162.47798126008138</v>
      </c>
      <c r="P88" s="11"/>
      <c r="Q88" s="11"/>
      <c r="R88" s="11"/>
      <c r="S88" s="11"/>
      <c r="T88" s="11"/>
      <c r="U88" s="11"/>
    </row>
    <row r="89" spans="1:30" x14ac:dyDescent="0.3">
      <c r="A89" t="str">
        <f t="shared" si="44"/>
        <v>91 Elementary trades and related occupations</v>
      </c>
      <c r="B89" s="11">
        <v>6.1818939930834924</v>
      </c>
      <c r="C89" s="11">
        <v>12.693768395752782</v>
      </c>
      <c r="D89" s="11">
        <f t="shared" si="45"/>
        <v>6.5118744026692896</v>
      </c>
      <c r="E89" s="11">
        <v>4.5464010855759085</v>
      </c>
      <c r="F89" s="11">
        <f t="shared" si="46"/>
        <v>11.058275488245197</v>
      </c>
      <c r="G89" s="200">
        <f t="shared" si="47"/>
        <v>3.7434318530908506E-2</v>
      </c>
      <c r="I89" s="11" t="str">
        <f t="shared" ref="I89:I93" si="62">I78</f>
        <v>Skilled trades occupations</v>
      </c>
      <c r="J89" s="11">
        <v>786.25967285366494</v>
      </c>
      <c r="K89" s="11">
        <v>687.46532976523804</v>
      </c>
      <c r="L89" s="11">
        <v>-98.794343088427027</v>
      </c>
      <c r="M89" s="11">
        <v>308.50419332957449</v>
      </c>
      <c r="N89" s="11">
        <v>209.70985024114748</v>
      </c>
      <c r="P89" s="11"/>
      <c r="Q89" s="11"/>
      <c r="R89" s="11"/>
      <c r="S89" s="11"/>
      <c r="T89" s="11"/>
      <c r="U89" s="11"/>
    </row>
    <row r="90" spans="1:30" x14ac:dyDescent="0.3">
      <c r="A90" t="str">
        <f t="shared" si="44"/>
        <v>92 Elementary administration and service occupations</v>
      </c>
      <c r="B90" s="11">
        <v>91.167190107563059</v>
      </c>
      <c r="C90" s="11">
        <v>246.9224078655723</v>
      </c>
      <c r="D90" s="11">
        <f t="shared" ref="D90" si="63">C90-B90</f>
        <v>155.75521775800922</v>
      </c>
      <c r="E90" s="11">
        <v>96.818740860212571</v>
      </c>
      <c r="F90" s="11">
        <f t="shared" ref="F90" si="64">SUM(D90:E90)</f>
        <v>252.57395861822181</v>
      </c>
      <c r="G90" s="200">
        <f t="shared" ref="G90" si="65">IF(B90&gt;0,(1+(E90/B90))^(1/($C$6-$B$6))-1,0)</f>
        <v>4.9427527237863478E-2</v>
      </c>
      <c r="I90" s="11" t="str">
        <f t="shared" si="62"/>
        <v>Caring, leisure and other service occupations</v>
      </c>
      <c r="J90" s="11">
        <v>754.69049752852209</v>
      </c>
      <c r="K90" s="11">
        <v>582.7214235189407</v>
      </c>
      <c r="L90" s="11">
        <v>-171.96907400958136</v>
      </c>
      <c r="M90" s="11">
        <v>332.32718553949047</v>
      </c>
      <c r="N90" s="11">
        <v>160.35811152990914</v>
      </c>
      <c r="P90" s="11"/>
      <c r="Q90" s="11"/>
      <c r="R90" s="11"/>
      <c r="S90" s="11"/>
      <c r="T90" s="11"/>
      <c r="U90" s="11"/>
    </row>
    <row r="91" spans="1:30" x14ac:dyDescent="0.3">
      <c r="A91" t="str">
        <f t="shared" si="44"/>
        <v>All occupations</v>
      </c>
      <c r="B91" s="11">
        <f>SUM(B65:B90)</f>
        <v>4336.7615670433843</v>
      </c>
      <c r="C91" s="11">
        <f t="shared" ref="C91:F91" si="66">SUM(C65:C90)</f>
        <v>7687.6513264445657</v>
      </c>
      <c r="D91" s="11">
        <f t="shared" si="66"/>
        <v>3350.8897594011833</v>
      </c>
      <c r="E91" s="11">
        <f t="shared" si="66"/>
        <v>3094.5105697904651</v>
      </c>
      <c r="F91" s="11">
        <f t="shared" si="66"/>
        <v>6445.4003291916488</v>
      </c>
      <c r="G91" s="200">
        <f t="shared" si="47"/>
        <v>3.6556966227581977E-2</v>
      </c>
      <c r="I91" s="11" t="str">
        <f t="shared" si="62"/>
        <v>Sales and customer service occupations</v>
      </c>
      <c r="J91" s="11">
        <v>673.58069997920302</v>
      </c>
      <c r="K91" s="11">
        <v>514.71031126840603</v>
      </c>
      <c r="L91" s="11">
        <v>-158.87038871079687</v>
      </c>
      <c r="M91" s="11">
        <v>276.00770964491386</v>
      </c>
      <c r="N91" s="11">
        <v>117.13732093411697</v>
      </c>
      <c r="P91" s="11"/>
      <c r="Q91" s="11"/>
      <c r="R91" s="11"/>
      <c r="S91" s="11"/>
      <c r="T91" s="11"/>
      <c r="U91" s="11"/>
    </row>
    <row r="92" spans="1:30" x14ac:dyDescent="0.3">
      <c r="B92" s="11"/>
      <c r="C92" s="11"/>
      <c r="D92" s="11"/>
      <c r="E92" s="11"/>
      <c r="F92" s="11"/>
      <c r="G92" s="11"/>
      <c r="I92" s="11" t="str">
        <f t="shared" si="62"/>
        <v>Process, plant and machine operatives</v>
      </c>
      <c r="J92" s="11">
        <v>580.89483148822183</v>
      </c>
      <c r="K92" s="11">
        <v>658.54993801196929</v>
      </c>
      <c r="L92" s="11">
        <v>77.655106523747406</v>
      </c>
      <c r="M92" s="11">
        <v>313.52080319477074</v>
      </c>
      <c r="N92" s="11">
        <v>391.17590971851814</v>
      </c>
      <c r="P92" s="11"/>
      <c r="Q92" s="11"/>
      <c r="R92" s="11"/>
      <c r="S92" s="11"/>
      <c r="T92" s="11"/>
      <c r="U92" s="11"/>
    </row>
    <row r="93" spans="1:30" ht="24.9" x14ac:dyDescent="0.3">
      <c r="A93" s="201" t="str">
        <f>CONCATENATE(name!F6," (Constrained)")</f>
        <v>RQF6 First degree (Constrained)</v>
      </c>
      <c r="B93" s="74">
        <f t="shared" ref="B93:G93" si="67">B6</f>
        <v>2020</v>
      </c>
      <c r="C93" s="74">
        <f t="shared" si="67"/>
        <v>2035</v>
      </c>
      <c r="D93" s="87" t="str">
        <f t="shared" si="67"/>
        <v>Net Change</v>
      </c>
      <c r="E93" s="87" t="str">
        <f t="shared" si="67"/>
        <v>Replacement Demand level</v>
      </c>
      <c r="F93" s="87" t="str">
        <f t="shared" si="67"/>
        <v>Total Requirement</v>
      </c>
      <c r="G93" s="87" t="str">
        <f t="shared" si="67"/>
        <v>Replacement Demand rate</v>
      </c>
      <c r="I93" s="11" t="str">
        <f t="shared" si="62"/>
        <v>Elementary occupations</v>
      </c>
      <c r="J93" s="11">
        <v>992.38844768977651</v>
      </c>
      <c r="K93" s="11">
        <v>868.28798474981443</v>
      </c>
      <c r="L93" s="11">
        <v>-124.10046293996211</v>
      </c>
      <c r="M93" s="11">
        <v>439.70094942490192</v>
      </c>
      <c r="N93" s="11">
        <v>315.60048648493984</v>
      </c>
      <c r="P93" s="11"/>
      <c r="Q93" s="11"/>
      <c r="R93" s="11"/>
      <c r="S93" s="11"/>
      <c r="T93" s="11"/>
      <c r="U93" s="11"/>
    </row>
    <row r="94" spans="1:30" x14ac:dyDescent="0.3">
      <c r="A94" t="str">
        <f t="shared" ref="A94:A120" si="68">A7</f>
        <v>11 Corporate managers and directors</v>
      </c>
      <c r="B94" s="11">
        <v>774.67498681637198</v>
      </c>
      <c r="C94" s="11">
        <v>845.02188575404705</v>
      </c>
      <c r="D94" s="11">
        <f>C94-B94</f>
        <v>70.346898937675064</v>
      </c>
      <c r="E94" s="11">
        <v>450.16284324435139</v>
      </c>
      <c r="F94" s="11">
        <f>SUM(D94:E94)</f>
        <v>520.50974218202646</v>
      </c>
      <c r="G94" s="200">
        <f>IF(B94&gt;0,(1+(E94/B94))^(1/($C$6-$B$6))-1,0)</f>
        <v>3.1012515421154907E-2</v>
      </c>
      <c r="I94" s="84"/>
      <c r="J94" s="73"/>
      <c r="K94" s="73"/>
      <c r="L94" s="71"/>
      <c r="M94" s="71"/>
      <c r="N94" s="71"/>
      <c r="P94" s="11"/>
      <c r="Q94" s="11"/>
      <c r="R94" s="11"/>
      <c r="S94" s="11"/>
      <c r="T94" s="11"/>
      <c r="U94" s="11"/>
    </row>
    <row r="95" spans="1:30" x14ac:dyDescent="0.3">
      <c r="A95" t="str">
        <f t="shared" si="68"/>
        <v>12 Other managers and proprietors</v>
      </c>
      <c r="B95" s="11">
        <v>273.16306357144077</v>
      </c>
      <c r="C95" s="11">
        <v>438.04839340707196</v>
      </c>
      <c r="D95" s="11">
        <f t="shared" ref="D95:D118" si="69">C95-B95</f>
        <v>164.88532983563118</v>
      </c>
      <c r="E95" s="11">
        <v>239.2096520504723</v>
      </c>
      <c r="F95" s="11">
        <f t="shared" ref="F95:F118" si="70">SUM(D95:E95)</f>
        <v>404.09498188610348</v>
      </c>
      <c r="G95" s="200">
        <f t="shared" ref="G95:G120" si="71">IF(B95&gt;0,(1+(E95/B95))^(1/($C$6-$B$6))-1,0)</f>
        <v>4.2823800785339872E-2</v>
      </c>
      <c r="I95" s="86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11"/>
      <c r="T95" s="11"/>
      <c r="U95" s="11"/>
    </row>
    <row r="96" spans="1:30" x14ac:dyDescent="0.3">
      <c r="A96" t="str">
        <f t="shared" si="68"/>
        <v>21 Science, research, engineering and technology professionals</v>
      </c>
      <c r="B96" s="11">
        <v>735.45901868176668</v>
      </c>
      <c r="C96" s="11">
        <v>786.26141761508222</v>
      </c>
      <c r="D96" s="11">
        <f t="shared" si="69"/>
        <v>50.802398933315544</v>
      </c>
      <c r="E96" s="11">
        <v>304.96662941313184</v>
      </c>
      <c r="F96" s="11">
        <f t="shared" si="70"/>
        <v>355.76902834644739</v>
      </c>
      <c r="G96" s="200">
        <f t="shared" si="71"/>
        <v>2.3395504219698271E-2</v>
      </c>
      <c r="I96" s="11" t="str">
        <f>I85</f>
        <v>Managers, directors and senior officials</v>
      </c>
      <c r="J96" s="11">
        <f t="array" ref="J96:J104">MMULT(aggregation!$B$38:$AA$46,B239:B264)</f>
        <v>353.79739128943123</v>
      </c>
      <c r="K96" s="11">
        <f t="array" ref="K96:K104">MMULT(aggregation!$B$38:$AA$46,C239:C264)</f>
        <v>251.15327518876018</v>
      </c>
      <c r="L96" s="11">
        <f t="array" ref="L96:L104">MMULT(aggregation!$B$38:$AA$46,D239:D264)</f>
        <v>-102.64411610067106</v>
      </c>
      <c r="M96" s="11">
        <f t="array" ref="M96:M104">MMULT(aggregation!$B$38:$AA$46,E239:E264)</f>
        <v>135.78729798665972</v>
      </c>
      <c r="N96" s="11">
        <f t="array" ref="N96:N104">MMULT(aggregation!$B$38:$AA$46,F239:F264)</f>
        <v>33.143181885988668</v>
      </c>
      <c r="P96" s="11"/>
      <c r="Q96" s="11"/>
      <c r="R96" s="11"/>
      <c r="S96" s="11"/>
      <c r="T96" s="11"/>
      <c r="U96" s="11"/>
    </row>
    <row r="97" spans="1:21" x14ac:dyDescent="0.3">
      <c r="A97" t="str">
        <f t="shared" si="68"/>
        <v>22 Health professionals</v>
      </c>
      <c r="B97" s="11">
        <v>625.28238298149176</v>
      </c>
      <c r="C97" s="11">
        <v>783.39416017298618</v>
      </c>
      <c r="D97" s="11">
        <f t="shared" si="69"/>
        <v>158.11177719149441</v>
      </c>
      <c r="E97" s="11">
        <v>415.08321086242086</v>
      </c>
      <c r="F97" s="11">
        <f t="shared" si="70"/>
        <v>573.19498805391527</v>
      </c>
      <c r="G97" s="200">
        <f t="shared" si="71"/>
        <v>3.4524195816032943E-2</v>
      </c>
      <c r="I97" s="11" t="str">
        <f>I86</f>
        <v>Professional occupations</v>
      </c>
      <c r="J97" s="11">
        <v>324.50015952670969</v>
      </c>
      <c r="K97" s="11">
        <v>204.90619761112788</v>
      </c>
      <c r="L97" s="11">
        <v>-119.59396191558179</v>
      </c>
      <c r="M97" s="11">
        <v>100.38602056418095</v>
      </c>
      <c r="N97" s="11">
        <v>-19.207941351400844</v>
      </c>
      <c r="P97" s="11"/>
      <c r="Q97" s="11"/>
      <c r="R97" s="11"/>
      <c r="S97" s="11"/>
      <c r="T97" s="11"/>
      <c r="U97" s="11"/>
    </row>
    <row r="98" spans="1:21" x14ac:dyDescent="0.3">
      <c r="A98" t="str">
        <f t="shared" si="68"/>
        <v>23 Teaching and other educational professionals</v>
      </c>
      <c r="B98" s="11">
        <v>495.33354268650936</v>
      </c>
      <c r="C98" s="11">
        <v>361.04168779807566</v>
      </c>
      <c r="D98" s="11">
        <f t="shared" ref="D98" si="72">C98-B98</f>
        <v>-134.2918548884337</v>
      </c>
      <c r="E98" s="11">
        <v>214.85512558743886</v>
      </c>
      <c r="F98" s="11">
        <f t="shared" ref="F98" si="73">SUM(D98:E98)</f>
        <v>80.563270699005159</v>
      </c>
      <c r="G98" s="200">
        <f t="shared" si="71"/>
        <v>2.431075647202352E-2</v>
      </c>
      <c r="I98" s="11" t="str">
        <f>I87</f>
        <v>Associate professional occupations</v>
      </c>
      <c r="J98" s="11">
        <v>355.73271589348792</v>
      </c>
      <c r="K98" s="11">
        <v>202.69635737707546</v>
      </c>
      <c r="L98" s="11">
        <v>-153.03635851641241</v>
      </c>
      <c r="M98" s="11">
        <v>97.085924656643016</v>
      </c>
      <c r="N98" s="11">
        <v>-55.950433859769404</v>
      </c>
      <c r="P98" s="11"/>
      <c r="Q98" s="11"/>
      <c r="R98" s="11"/>
      <c r="S98" s="11"/>
      <c r="T98" s="11"/>
      <c r="U98" s="11"/>
    </row>
    <row r="99" spans="1:21" x14ac:dyDescent="0.3">
      <c r="A99" t="str">
        <f t="shared" si="68"/>
        <v>24 Business, media and public service professionals</v>
      </c>
      <c r="B99" s="11">
        <v>979.11705471202504</v>
      </c>
      <c r="C99" s="11">
        <v>1105.3157414804468</v>
      </c>
      <c r="D99" s="11">
        <f t="shared" si="69"/>
        <v>126.19868676842179</v>
      </c>
      <c r="E99" s="11">
        <v>551.70672857239754</v>
      </c>
      <c r="F99" s="11">
        <f t="shared" si="70"/>
        <v>677.90541534081933</v>
      </c>
      <c r="G99" s="200">
        <f t="shared" si="71"/>
        <v>3.0242288292573694E-2</v>
      </c>
      <c r="I99" s="11" t="str">
        <f>I88</f>
        <v>Administrative and secretarial occupations</v>
      </c>
      <c r="J99" s="11">
        <v>442.62543519118452</v>
      </c>
      <c r="K99" s="11">
        <v>95.339502259889713</v>
      </c>
      <c r="L99" s="11">
        <v>-347.28593293129478</v>
      </c>
      <c r="M99" s="11">
        <v>89.65502891175683</v>
      </c>
      <c r="N99" s="11">
        <v>-257.63090401953798</v>
      </c>
      <c r="P99" s="11"/>
      <c r="Q99" s="11"/>
      <c r="R99" s="11"/>
      <c r="S99" s="11"/>
      <c r="T99" s="11"/>
      <c r="U99" s="11"/>
    </row>
    <row r="100" spans="1:21" x14ac:dyDescent="0.3">
      <c r="A100" t="str">
        <f t="shared" si="68"/>
        <v>31 Science, engineering and technology associate professionals</v>
      </c>
      <c r="B100" s="11">
        <v>189.79410765028632</v>
      </c>
      <c r="C100" s="11">
        <v>192.11125438703479</v>
      </c>
      <c r="D100" s="11">
        <f t="shared" si="69"/>
        <v>2.3171467367484695</v>
      </c>
      <c r="E100" s="11">
        <v>81.603642720382339</v>
      </c>
      <c r="F100" s="11">
        <f t="shared" si="70"/>
        <v>83.920789457130809</v>
      </c>
      <c r="G100" s="200">
        <f t="shared" si="71"/>
        <v>2.4129559110154464E-2</v>
      </c>
      <c r="I100" s="11" t="str">
        <f t="shared" ref="I100:I104" si="74">I89</f>
        <v>Skilled trades occupations</v>
      </c>
      <c r="J100" s="11">
        <v>455.35044518116536</v>
      </c>
      <c r="K100" s="11">
        <v>359.1101981679036</v>
      </c>
      <c r="L100" s="11">
        <v>-96.240247013261808</v>
      </c>
      <c r="M100" s="11">
        <v>159.70235124941902</v>
      </c>
      <c r="N100" s="11">
        <v>63.462104236157217</v>
      </c>
      <c r="P100" s="11"/>
      <c r="Q100" s="11"/>
      <c r="R100" s="11"/>
      <c r="S100" s="11"/>
      <c r="T100" s="11"/>
      <c r="U100" s="11"/>
    </row>
    <row r="101" spans="1:21" x14ac:dyDescent="0.3">
      <c r="A101" t="str">
        <f t="shared" si="68"/>
        <v>32 Health and social care associate professionals</v>
      </c>
      <c r="B101" s="11">
        <v>218.19430079087982</v>
      </c>
      <c r="C101" s="11">
        <v>292.95123345513429</v>
      </c>
      <c r="D101" s="11">
        <f t="shared" si="69"/>
        <v>74.756932664254464</v>
      </c>
      <c r="E101" s="11">
        <v>162.88754133338497</v>
      </c>
      <c r="F101" s="11">
        <f t="shared" si="70"/>
        <v>237.64447399763944</v>
      </c>
      <c r="G101" s="200">
        <f t="shared" si="71"/>
        <v>3.7874854899793808E-2</v>
      </c>
      <c r="I101" s="11" t="str">
        <f t="shared" si="74"/>
        <v>Caring, leisure and other service occupations</v>
      </c>
      <c r="J101" s="11">
        <v>214.48357792607152</v>
      </c>
      <c r="K101" s="11">
        <v>147.70108851490062</v>
      </c>
      <c r="L101" s="11">
        <v>-66.782489411170872</v>
      </c>
      <c r="M101" s="11">
        <v>66.351131989006149</v>
      </c>
      <c r="N101" s="11">
        <v>-0.43135742216473139</v>
      </c>
      <c r="P101" s="11"/>
      <c r="Q101" s="11"/>
      <c r="R101" s="11"/>
      <c r="S101" s="11"/>
      <c r="T101" s="11"/>
      <c r="U101" s="11"/>
    </row>
    <row r="102" spans="1:21" x14ac:dyDescent="0.3">
      <c r="A102" t="str">
        <f t="shared" si="68"/>
        <v>33 Protective service occupations</v>
      </c>
      <c r="B102" s="11">
        <v>109.61709132132559</v>
      </c>
      <c r="C102" s="11">
        <v>200.30778670018861</v>
      </c>
      <c r="D102" s="11">
        <f t="shared" si="69"/>
        <v>90.690695378863026</v>
      </c>
      <c r="E102" s="11">
        <v>66.873927389196609</v>
      </c>
      <c r="F102" s="11">
        <f t="shared" si="70"/>
        <v>157.56462276805962</v>
      </c>
      <c r="G102" s="200">
        <f t="shared" si="71"/>
        <v>3.2261244550151114E-2</v>
      </c>
      <c r="I102" s="11" t="str">
        <f t="shared" si="74"/>
        <v>Sales and customer service occupations</v>
      </c>
      <c r="J102" s="11">
        <v>418.01739048230058</v>
      </c>
      <c r="K102" s="11">
        <v>173.8934686144992</v>
      </c>
      <c r="L102" s="11">
        <v>-244.12392186780136</v>
      </c>
      <c r="M102" s="11">
        <v>105.86653916434392</v>
      </c>
      <c r="N102" s="11">
        <v>-138.25738270345744</v>
      </c>
      <c r="P102" s="11"/>
      <c r="Q102" s="11"/>
      <c r="R102" s="11"/>
      <c r="S102" s="11"/>
      <c r="T102" s="11"/>
      <c r="U102" s="11"/>
    </row>
    <row r="103" spans="1:21" x14ac:dyDescent="0.3">
      <c r="A103" t="str">
        <f t="shared" si="68"/>
        <v>34 Culture, media and sports occupations</v>
      </c>
      <c r="B103" s="11">
        <v>294.92961311730181</v>
      </c>
      <c r="C103" s="11">
        <v>302.31424565979398</v>
      </c>
      <c r="D103" s="11">
        <f t="shared" ref="D103:D104" si="75">C103-B103</f>
        <v>7.3846325424921702</v>
      </c>
      <c r="E103" s="11">
        <v>142.58507188706196</v>
      </c>
      <c r="F103" s="11">
        <f t="shared" ref="F103:F104" si="76">SUM(D103:E103)</f>
        <v>149.96970442955413</v>
      </c>
      <c r="G103" s="200">
        <f t="shared" si="71"/>
        <v>2.6640241833946865E-2</v>
      </c>
      <c r="I103" s="11" t="str">
        <f t="shared" si="74"/>
        <v>Process, plant and machine operatives</v>
      </c>
      <c r="J103" s="11">
        <v>461.41326283471358</v>
      </c>
      <c r="K103" s="11">
        <v>309.38327183042838</v>
      </c>
      <c r="L103" s="11">
        <v>-152.02999100428525</v>
      </c>
      <c r="M103" s="11">
        <v>173.58933313818346</v>
      </c>
      <c r="N103" s="11">
        <v>21.55934213389822</v>
      </c>
      <c r="P103" s="11"/>
      <c r="Q103" s="11"/>
      <c r="R103" s="11"/>
      <c r="S103" s="11"/>
      <c r="T103" s="11"/>
      <c r="U103" s="11"/>
    </row>
    <row r="104" spans="1:21" x14ac:dyDescent="0.3">
      <c r="A104" t="str">
        <f t="shared" si="68"/>
        <v>35 Business and public service associate professionals</v>
      </c>
      <c r="B104" s="11">
        <v>638.23425057316183</v>
      </c>
      <c r="C104" s="11">
        <v>637.10357289245746</v>
      </c>
      <c r="D104" s="11">
        <f t="shared" si="75"/>
        <v>-1.1306776807043661</v>
      </c>
      <c r="E104" s="11">
        <v>318.16548596158037</v>
      </c>
      <c r="F104" s="11">
        <f t="shared" si="76"/>
        <v>317.03480828087601</v>
      </c>
      <c r="G104" s="200">
        <f t="shared" si="71"/>
        <v>2.733154281593464E-2</v>
      </c>
      <c r="I104" s="11" t="str">
        <f t="shared" si="74"/>
        <v>Elementary occupations</v>
      </c>
      <c r="J104" s="11">
        <v>903.46488895748178</v>
      </c>
      <c r="K104" s="11">
        <v>599.44913892267652</v>
      </c>
      <c r="L104" s="11">
        <v>-304.01575003480519</v>
      </c>
      <c r="M104" s="11">
        <v>307.57114561033251</v>
      </c>
      <c r="N104" s="11">
        <v>3.5553955755272781</v>
      </c>
      <c r="P104" s="11"/>
      <c r="Q104" s="11"/>
      <c r="R104" s="11"/>
      <c r="S104" s="11"/>
      <c r="T104" s="11"/>
      <c r="U104" s="11"/>
    </row>
    <row r="105" spans="1:21" x14ac:dyDescent="0.3">
      <c r="A105" t="str">
        <f t="shared" si="68"/>
        <v>41 Administrative occupations</v>
      </c>
      <c r="B105" s="11">
        <v>661.60941774988532</v>
      </c>
      <c r="C105" s="11">
        <v>784.23969372282704</v>
      </c>
      <c r="D105" s="11">
        <f t="shared" si="69"/>
        <v>122.63027597294172</v>
      </c>
      <c r="E105" s="11">
        <v>396.57237884129245</v>
      </c>
      <c r="F105" s="11">
        <f t="shared" si="70"/>
        <v>519.20265481423417</v>
      </c>
      <c r="G105" s="200">
        <f t="shared" si="71"/>
        <v>3.1804079211465108E-2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11"/>
      <c r="T105" s="11"/>
      <c r="U105" s="11"/>
    </row>
    <row r="106" spans="1:21" x14ac:dyDescent="0.3">
      <c r="A106" t="str">
        <f t="shared" si="68"/>
        <v>42 Secretarial and related occupations</v>
      </c>
      <c r="B106" s="11">
        <v>113.86086717845488</v>
      </c>
      <c r="C106" s="11">
        <v>224.16633868602136</v>
      </c>
      <c r="D106" s="11">
        <f t="shared" si="69"/>
        <v>110.30547150756648</v>
      </c>
      <c r="E106" s="11">
        <v>109.44529091247684</v>
      </c>
      <c r="F106" s="11">
        <f t="shared" si="70"/>
        <v>219.75076242004332</v>
      </c>
      <c r="G106" s="200">
        <f t="shared" si="71"/>
        <v>4.592789904173733E-2</v>
      </c>
      <c r="I106" s="86" t="str">
        <f>name!F12</f>
        <v>No Qualification</v>
      </c>
      <c r="J106" s="11"/>
      <c r="K106" s="11"/>
      <c r="L106" s="11"/>
      <c r="M106" s="11"/>
      <c r="N106" s="11"/>
      <c r="O106" s="70"/>
      <c r="P106" s="11"/>
      <c r="Q106" s="11"/>
      <c r="R106" s="11"/>
      <c r="S106" s="11"/>
      <c r="T106" s="11"/>
      <c r="U106" s="11"/>
    </row>
    <row r="107" spans="1:21" x14ac:dyDescent="0.3">
      <c r="A107" t="str">
        <f t="shared" si="68"/>
        <v>51 Skilled agricultural and related trades</v>
      </c>
      <c r="B107" s="11">
        <v>56.769285395540216</v>
      </c>
      <c r="C107" s="11">
        <v>93.854061649497766</v>
      </c>
      <c r="D107" s="11">
        <f t="shared" si="69"/>
        <v>37.08477625395755</v>
      </c>
      <c r="E107" s="11">
        <v>49.433306698516063</v>
      </c>
      <c r="F107" s="11">
        <f t="shared" si="70"/>
        <v>86.518082952473605</v>
      </c>
      <c r="G107" s="200">
        <f t="shared" si="71"/>
        <v>4.2640953194424513E-2</v>
      </c>
      <c r="I107" s="11" t="str">
        <f>I96</f>
        <v>Managers, directors and senior officials</v>
      </c>
      <c r="J107" s="11">
        <f t="array" ref="J107:J115">MMULT(aggregation!$B$38:$AA$46,B268:B293)</f>
        <v>89.743851413850678</v>
      </c>
      <c r="K107" s="11">
        <f t="array" ref="K107:K115">MMULT(aggregation!$B$38:$AA$46,C268:C293)</f>
        <v>92.928990016211955</v>
      </c>
      <c r="L107" s="11">
        <f t="array" ref="L107:L115">MMULT(aggregation!$B$38:$AA$46,D268:D293)</f>
        <v>3.1851386023612704</v>
      </c>
      <c r="M107" s="11">
        <f t="array" ref="M107:M115">MMULT(aggregation!$B$38:$AA$46,E268:E293)</f>
        <v>31.77702158622683</v>
      </c>
      <c r="N107" s="11">
        <f t="array" ref="N107:N115">MMULT(aggregation!$B$38:$AA$46,F268:F293)</f>
        <v>34.962160188588101</v>
      </c>
      <c r="P107" s="11"/>
      <c r="Q107" s="11"/>
      <c r="R107" s="11"/>
      <c r="S107" s="11"/>
      <c r="T107" s="11"/>
      <c r="U107" s="11"/>
    </row>
    <row r="108" spans="1:21" x14ac:dyDescent="0.3">
      <c r="A108" t="str">
        <f t="shared" si="68"/>
        <v>52 Skilled metal, electrical and electronic trades</v>
      </c>
      <c r="B108" s="11">
        <v>65.692866033071439</v>
      </c>
      <c r="C108" s="11">
        <v>104.58472847519586</v>
      </c>
      <c r="D108" s="11">
        <f t="shared" si="69"/>
        <v>38.89186244212442</v>
      </c>
      <c r="E108" s="11">
        <v>43.390938839510284</v>
      </c>
      <c r="F108" s="11">
        <f t="shared" si="70"/>
        <v>82.282801281634704</v>
      </c>
      <c r="G108" s="200">
        <f t="shared" si="71"/>
        <v>3.4386406425163996E-2</v>
      </c>
      <c r="I108" s="11" t="str">
        <f>I97</f>
        <v>Professional occupations</v>
      </c>
      <c r="J108" s="11">
        <v>78.312298681930343</v>
      </c>
      <c r="K108" s="11">
        <v>98.846900516286439</v>
      </c>
      <c r="L108" s="11">
        <v>20.534601834356074</v>
      </c>
      <c r="M108" s="11">
        <v>31.563548180818461</v>
      </c>
      <c r="N108" s="11">
        <v>52.098150015174539</v>
      </c>
      <c r="P108" s="84"/>
      <c r="Q108" s="73"/>
      <c r="R108" s="73"/>
      <c r="S108" s="71"/>
      <c r="T108" s="71"/>
      <c r="U108" s="71"/>
    </row>
    <row r="109" spans="1:21" x14ac:dyDescent="0.3">
      <c r="A109" t="str">
        <f t="shared" si="68"/>
        <v>53 Skilled construction and building trades</v>
      </c>
      <c r="B109" s="11">
        <v>34.993452712279513</v>
      </c>
      <c r="C109" s="11">
        <v>53.422446018604866</v>
      </c>
      <c r="D109" s="11">
        <f t="shared" ref="D109" si="77">C109-B109</f>
        <v>18.428993306325353</v>
      </c>
      <c r="E109" s="11">
        <v>24.62095991787232</v>
      </c>
      <c r="F109" s="11">
        <f t="shared" ref="F109" si="78">SUM(D109:E109)</f>
        <v>43.049953224197672</v>
      </c>
      <c r="G109" s="200">
        <f t="shared" si="71"/>
        <v>3.6153977016795125E-2</v>
      </c>
      <c r="I109" s="11" t="str">
        <f>I98</f>
        <v>Associate professional occupations</v>
      </c>
      <c r="J109" s="11">
        <v>84.987775851697876</v>
      </c>
      <c r="K109" s="11">
        <v>91.59448974456275</v>
      </c>
      <c r="L109" s="11">
        <v>6.6067138928648745</v>
      </c>
      <c r="M109" s="11">
        <v>28.702812666762664</v>
      </c>
      <c r="N109" s="11">
        <v>35.309526559627542</v>
      </c>
      <c r="P109" s="11"/>
      <c r="Q109" s="11"/>
      <c r="R109" s="11"/>
      <c r="S109" s="11"/>
      <c r="T109" s="11"/>
      <c r="U109" s="11"/>
    </row>
    <row r="110" spans="1:21" x14ac:dyDescent="0.3">
      <c r="A110" t="str">
        <f t="shared" si="68"/>
        <v>54 Textiles, printing and other skilled trades</v>
      </c>
      <c r="B110" s="11">
        <v>62.173549543316327</v>
      </c>
      <c r="C110" s="11">
        <v>98.173053772974129</v>
      </c>
      <c r="D110" s="11">
        <f t="shared" si="69"/>
        <v>35.999504229657802</v>
      </c>
      <c r="E110" s="11">
        <v>45.209399406913171</v>
      </c>
      <c r="F110" s="11">
        <f t="shared" si="70"/>
        <v>81.208903636570966</v>
      </c>
      <c r="G110" s="200">
        <f t="shared" si="71"/>
        <v>3.7103207918687264E-2</v>
      </c>
      <c r="I110" s="11" t="str">
        <f>I99</f>
        <v>Administrative and secretarial occupations</v>
      </c>
      <c r="J110" s="11">
        <v>124.07756829610233</v>
      </c>
      <c r="K110" s="11">
        <v>93.334785110214838</v>
      </c>
      <c r="L110" s="11">
        <v>-30.74278318588749</v>
      </c>
      <c r="M110" s="11">
        <v>36.245196176244775</v>
      </c>
      <c r="N110" s="11">
        <v>5.5024129903572838</v>
      </c>
      <c r="P110" s="11"/>
      <c r="Q110" s="11"/>
      <c r="R110" s="11"/>
      <c r="S110" s="11"/>
      <c r="T110" s="11"/>
      <c r="U110" s="11"/>
    </row>
    <row r="111" spans="1:21" x14ac:dyDescent="0.3">
      <c r="A111" t="str">
        <f t="shared" si="68"/>
        <v>61 Caring personal service occupations</v>
      </c>
      <c r="B111" s="11">
        <v>314.79044593100093</v>
      </c>
      <c r="C111" s="11">
        <v>470.62569726862517</v>
      </c>
      <c r="D111" s="11">
        <f>C111-B111</f>
        <v>155.83525133762424</v>
      </c>
      <c r="E111" s="11">
        <v>261.13313317674709</v>
      </c>
      <c r="F111" s="11">
        <f>SUM(D111:E111)</f>
        <v>416.96838451437134</v>
      </c>
      <c r="G111" s="200">
        <f t="shared" si="71"/>
        <v>4.10930671868599E-2</v>
      </c>
      <c r="I111" s="11" t="str">
        <f t="shared" ref="I111:I115" si="79">I100</f>
        <v>Skilled trades occupations</v>
      </c>
      <c r="J111" s="11">
        <v>224.35274165567938</v>
      </c>
      <c r="K111" s="11">
        <v>102.31297873409829</v>
      </c>
      <c r="L111" s="11">
        <v>-122.03976292158109</v>
      </c>
      <c r="M111" s="11">
        <v>51.261407655562593</v>
      </c>
      <c r="N111" s="11">
        <v>-70.778355266018508</v>
      </c>
      <c r="P111" s="11"/>
      <c r="Q111" s="11"/>
      <c r="R111" s="11"/>
      <c r="S111" s="11"/>
      <c r="T111" s="11"/>
      <c r="U111" s="11"/>
    </row>
    <row r="112" spans="1:21" x14ac:dyDescent="0.3">
      <c r="A112" t="str">
        <f t="shared" si="68"/>
        <v>62 Leisure, travel and related personal service occupations</v>
      </c>
      <c r="B112" s="11">
        <v>84.310464209281022</v>
      </c>
      <c r="C112" s="11">
        <v>142.07396001167174</v>
      </c>
      <c r="D112" s="11">
        <f t="shared" ref="D112:D113" si="80">C112-B112</f>
        <v>57.763495802390722</v>
      </c>
      <c r="E112" s="11">
        <v>69.911648284494177</v>
      </c>
      <c r="F112" s="11">
        <f t="shared" ref="F112:F113" si="81">SUM(D112:E112)</f>
        <v>127.6751440868849</v>
      </c>
      <c r="G112" s="200">
        <f t="shared" si="71"/>
        <v>4.108057789537134E-2</v>
      </c>
      <c r="I112" s="11" t="str">
        <f t="shared" si="79"/>
        <v>Caring, leisure and other service occupations</v>
      </c>
      <c r="J112" s="11">
        <v>68.562952246115032</v>
      </c>
      <c r="K112" s="11">
        <v>54.407337355199871</v>
      </c>
      <c r="L112" s="11">
        <v>-14.155614890915171</v>
      </c>
      <c r="M112" s="11">
        <v>18.077490461992216</v>
      </c>
      <c r="N112" s="11">
        <v>3.9218755710770461</v>
      </c>
      <c r="P112" s="11"/>
      <c r="Q112" s="11"/>
      <c r="R112" s="11"/>
      <c r="S112" s="11"/>
      <c r="T112" s="11"/>
      <c r="U112" s="11"/>
    </row>
    <row r="113" spans="1:21" x14ac:dyDescent="0.3">
      <c r="A113" t="str">
        <f t="shared" si="68"/>
        <v>63 Community and civil enforcement occupations</v>
      </c>
      <c r="B113" s="11">
        <v>7.1256501258323706</v>
      </c>
      <c r="C113" s="11">
        <v>9.7434341319000524</v>
      </c>
      <c r="D113" s="11">
        <f t="shared" si="80"/>
        <v>2.6177840060676818</v>
      </c>
      <c r="E113" s="11">
        <v>5.4048225563689964</v>
      </c>
      <c r="F113" s="11">
        <f t="shared" si="81"/>
        <v>8.0226065624366782</v>
      </c>
      <c r="G113" s="200">
        <f t="shared" si="71"/>
        <v>3.834784040101602E-2</v>
      </c>
      <c r="I113" s="11" t="str">
        <f t="shared" si="79"/>
        <v>Sales and customer service occupations</v>
      </c>
      <c r="J113" s="11">
        <v>166.63444009335416</v>
      </c>
      <c r="K113" s="11">
        <v>105.61091590668286</v>
      </c>
      <c r="L113" s="11">
        <v>-61.023524186671295</v>
      </c>
      <c r="M113" s="11">
        <v>36.174407683354048</v>
      </c>
      <c r="N113" s="11">
        <v>-24.849116503317248</v>
      </c>
      <c r="P113" s="11"/>
      <c r="Q113" s="11"/>
      <c r="R113" s="11"/>
      <c r="S113" s="11"/>
      <c r="T113" s="11"/>
      <c r="U113" s="11"/>
    </row>
    <row r="114" spans="1:21" x14ac:dyDescent="0.3">
      <c r="A114" t="str">
        <f t="shared" si="68"/>
        <v>71 Sales occupations</v>
      </c>
      <c r="B114" s="11">
        <v>312.26164799732931</v>
      </c>
      <c r="C114" s="11">
        <v>431.25973709471424</v>
      </c>
      <c r="D114" s="11">
        <f t="shared" si="69"/>
        <v>118.99808909738493</v>
      </c>
      <c r="E114" s="11">
        <v>200.60478607248879</v>
      </c>
      <c r="F114" s="11">
        <f t="shared" si="70"/>
        <v>319.60287516987376</v>
      </c>
      <c r="G114" s="200">
        <f t="shared" si="71"/>
        <v>3.3631434761959067E-2</v>
      </c>
      <c r="I114" s="11" t="str">
        <f t="shared" si="79"/>
        <v>Process, plant and machine operatives</v>
      </c>
      <c r="J114" s="11">
        <v>214.75617487974733</v>
      </c>
      <c r="K114" s="11">
        <v>93.665278970246206</v>
      </c>
      <c r="L114" s="11">
        <v>-121.09089590950114</v>
      </c>
      <c r="M114" s="11">
        <v>51.967393937303846</v>
      </c>
      <c r="N114" s="11">
        <v>-69.123501972197289</v>
      </c>
      <c r="P114" s="11"/>
      <c r="Q114" s="11"/>
      <c r="R114" s="11"/>
      <c r="S114" s="11"/>
      <c r="T114" s="11"/>
      <c r="U114" s="11"/>
    </row>
    <row r="115" spans="1:21" x14ac:dyDescent="0.3">
      <c r="A115" t="str">
        <f t="shared" si="68"/>
        <v>72 Customer service occupations</v>
      </c>
      <c r="B115" s="11">
        <v>109.01741715195801</v>
      </c>
      <c r="C115" s="11">
        <v>200.45686406005009</v>
      </c>
      <c r="D115" s="11">
        <f t="shared" si="69"/>
        <v>91.43944690809208</v>
      </c>
      <c r="E115" s="11">
        <v>83.51341388662199</v>
      </c>
      <c r="F115" s="11">
        <f t="shared" si="70"/>
        <v>174.95286079471407</v>
      </c>
      <c r="G115" s="200">
        <f t="shared" si="71"/>
        <v>3.8644581537414346E-2</v>
      </c>
      <c r="I115" s="11" t="str">
        <f t="shared" si="79"/>
        <v>Elementary occupations</v>
      </c>
      <c r="J115" s="11">
        <v>378.47959132477678</v>
      </c>
      <c r="K115" s="11">
        <v>190.69833299305552</v>
      </c>
      <c r="L115" s="11">
        <v>-187.78125833172129</v>
      </c>
      <c r="M115" s="11">
        <v>72.741029940650463</v>
      </c>
      <c r="N115" s="11">
        <v>-115.04022839107083</v>
      </c>
      <c r="P115" s="11"/>
      <c r="Q115" s="11"/>
      <c r="R115" s="11"/>
      <c r="S115" s="11"/>
      <c r="T115" s="11"/>
      <c r="U115" s="11"/>
    </row>
    <row r="116" spans="1:21" x14ac:dyDescent="0.3">
      <c r="A116" t="str">
        <f t="shared" si="68"/>
        <v>81 Process, plant and machine operatives</v>
      </c>
      <c r="B116" s="11">
        <v>30.494253254554017</v>
      </c>
      <c r="C116" s="11">
        <v>83.271978358357572</v>
      </c>
      <c r="D116" s="11">
        <f t="shared" ref="D116:D117" si="82">C116-B116</f>
        <v>52.777725103803554</v>
      </c>
      <c r="E116" s="11">
        <v>30.315300461362362</v>
      </c>
      <c r="F116" s="11">
        <f t="shared" ref="F116:F117" si="83">SUM(D116:E116)</f>
        <v>83.093025565165917</v>
      </c>
      <c r="G116" s="200">
        <f t="shared" si="71"/>
        <v>4.7088976710485175E-2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11"/>
      <c r="T116" s="11"/>
      <c r="U116" s="11"/>
    </row>
    <row r="117" spans="1:21" x14ac:dyDescent="0.3">
      <c r="A117" t="str">
        <f t="shared" si="68"/>
        <v>82 Transport and mobile machine drivers and operatives</v>
      </c>
      <c r="B117" s="11">
        <v>68.451987288756044</v>
      </c>
      <c r="C117" s="11">
        <v>115.89597783668971</v>
      </c>
      <c r="D117" s="11">
        <f t="shared" si="82"/>
        <v>47.443990547933666</v>
      </c>
      <c r="E117" s="11">
        <v>63.356658016854489</v>
      </c>
      <c r="F117" s="11">
        <f t="shared" si="83"/>
        <v>110.80064856478816</v>
      </c>
      <c r="G117" s="200">
        <f t="shared" si="71"/>
        <v>4.4649311487458654E-2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11"/>
      <c r="T117" s="11"/>
      <c r="U117" s="11"/>
    </row>
    <row r="118" spans="1:21" x14ac:dyDescent="0.3">
      <c r="A118" t="str">
        <f t="shared" si="68"/>
        <v>91 Elementary trades and related occupations</v>
      </c>
      <c r="B118" s="11">
        <v>21.582487922270111</v>
      </c>
      <c r="C118" s="11">
        <v>24.666427146407539</v>
      </c>
      <c r="D118" s="11">
        <f t="shared" si="69"/>
        <v>3.0839392241374277</v>
      </c>
      <c r="E118" s="11">
        <v>12.916994341273428</v>
      </c>
      <c r="F118" s="11">
        <f t="shared" si="70"/>
        <v>16.000933565410854</v>
      </c>
      <c r="G118" s="200">
        <f t="shared" si="71"/>
        <v>3.1764873181895803E-2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11"/>
      <c r="T118" s="11"/>
      <c r="U118" s="11"/>
    </row>
    <row r="119" spans="1:21" x14ac:dyDescent="0.3">
      <c r="A119" t="str">
        <f t="shared" si="68"/>
        <v>92 Elementary administration and service occupations</v>
      </c>
      <c r="B119" s="11">
        <v>285.52708682207344</v>
      </c>
      <c r="C119" s="11">
        <v>452.11463979795809</v>
      </c>
      <c r="D119" s="11">
        <f t="shared" ref="D119" si="84">C119-B119</f>
        <v>166.58755297588465</v>
      </c>
      <c r="E119" s="11">
        <v>239.25590482828667</v>
      </c>
      <c r="F119" s="11">
        <f t="shared" ref="F119" si="85">SUM(D119:E119)</f>
        <v>405.84345780417129</v>
      </c>
      <c r="G119" s="200">
        <f t="shared" ref="G119" si="86">IF(B119&gt;0,(1+(E119/B119))^(1/($C$6-$B$6))-1,0)</f>
        <v>4.1411004328707479E-2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11"/>
      <c r="T119" s="11"/>
      <c r="U119" s="11"/>
    </row>
    <row r="120" spans="1:21" x14ac:dyDescent="0.3">
      <c r="A120" t="str">
        <f t="shared" si="68"/>
        <v>All occupations</v>
      </c>
      <c r="B120" s="11">
        <f>SUM(B94:B119)</f>
        <v>7562.4602922181639</v>
      </c>
      <c r="C120" s="11">
        <f t="shared" ref="C120:F120" si="87">SUM(C94:C119)</f>
        <v>9232.4204173538146</v>
      </c>
      <c r="D120" s="11">
        <f t="shared" si="87"/>
        <v>1669.9601251356501</v>
      </c>
      <c r="E120" s="11">
        <f t="shared" si="87"/>
        <v>4583.1847952628978</v>
      </c>
      <c r="F120" s="11">
        <f t="shared" si="87"/>
        <v>6253.1449203985485</v>
      </c>
      <c r="G120" s="200">
        <f t="shared" si="71"/>
        <v>3.2089037776503293E-2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11"/>
      <c r="T120" s="11"/>
      <c r="U120" s="11"/>
    </row>
    <row r="121" spans="1:21" x14ac:dyDescent="0.3">
      <c r="I121" s="11"/>
      <c r="J121" s="11"/>
      <c r="K121" s="11"/>
      <c r="L121" s="11"/>
      <c r="M121" s="11"/>
      <c r="N121" s="11"/>
      <c r="P121" s="11"/>
      <c r="Q121" s="11"/>
      <c r="R121" s="11"/>
      <c r="S121" s="11"/>
      <c r="T121" s="11"/>
      <c r="U121" s="11"/>
    </row>
    <row r="122" spans="1:21" ht="24.9" x14ac:dyDescent="0.3">
      <c r="A122" s="201" t="str">
        <f>CONCATENATE(name!F7," (Constrained)")</f>
        <v>RQF5 Foundation degree;Nursing;Teaching (Constrained)</v>
      </c>
      <c r="B122" s="74">
        <f t="shared" ref="B122:G122" si="88">B35</f>
        <v>2020</v>
      </c>
      <c r="C122" s="74">
        <f t="shared" si="88"/>
        <v>2035</v>
      </c>
      <c r="D122" s="87" t="str">
        <f t="shared" si="88"/>
        <v>Net Change</v>
      </c>
      <c r="E122" s="87" t="str">
        <f t="shared" si="88"/>
        <v>Replacement Demand level</v>
      </c>
      <c r="F122" s="87" t="str">
        <f t="shared" si="88"/>
        <v>Total Requirement</v>
      </c>
      <c r="G122" s="87" t="str">
        <f t="shared" si="88"/>
        <v>Replacement Demand rate</v>
      </c>
      <c r="I122" s="84"/>
      <c r="J122" s="73"/>
      <c r="K122" s="73"/>
      <c r="L122" s="71"/>
      <c r="M122" s="71"/>
      <c r="N122" s="71"/>
      <c r="P122" s="11"/>
      <c r="Q122" s="11"/>
      <c r="R122" s="11"/>
      <c r="S122" s="11"/>
      <c r="T122" s="11"/>
      <c r="U122" s="11"/>
    </row>
    <row r="123" spans="1:21" x14ac:dyDescent="0.3">
      <c r="A123" t="str">
        <f t="shared" ref="A123:A149" si="89">A36</f>
        <v>11 Corporate managers and directors</v>
      </c>
      <c r="B123" s="11">
        <v>146.02380990628563</v>
      </c>
      <c r="C123" s="11">
        <v>145.4514943436607</v>
      </c>
      <c r="D123" s="11">
        <f>C123-B123</f>
        <v>-0.57231556262493655</v>
      </c>
      <c r="E123" s="11">
        <v>73.695776551017204</v>
      </c>
      <c r="F123" s="11">
        <f>SUM(D123:E123)</f>
        <v>73.123460988392267</v>
      </c>
      <c r="G123" s="200">
        <f>IF(B123&gt;0,(1+(E123/B123))^(1/($C$6-$B$6))-1,0)</f>
        <v>2.7613197385205623E-2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11"/>
      <c r="T123" s="11"/>
      <c r="U123" s="11"/>
    </row>
    <row r="124" spans="1:21" x14ac:dyDescent="0.3">
      <c r="A124" t="str">
        <f t="shared" si="89"/>
        <v>12 Other managers and proprietors</v>
      </c>
      <c r="B124" s="11">
        <v>79.37545616924902</v>
      </c>
      <c r="C124" s="11">
        <v>119.64852460869604</v>
      </c>
      <c r="D124" s="11">
        <f t="shared" ref="D124:D139" si="90">C124-B124</f>
        <v>40.273068439447016</v>
      </c>
      <c r="E124" s="11">
        <v>65.396696634886979</v>
      </c>
      <c r="F124" s="11">
        <f t="shared" ref="F124:F131" si="91">SUM(D124:E124)</f>
        <v>105.66976507433399</v>
      </c>
      <c r="G124" s="200">
        <f t="shared" ref="G124:G149" si="92">IF(B124&gt;0,(1+(E124/B124))^(1/($C$6-$B$6))-1,0)</f>
        <v>4.0878216915896548E-2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11"/>
      <c r="T124" s="11"/>
      <c r="U124" s="11"/>
    </row>
    <row r="125" spans="1:21" x14ac:dyDescent="0.3">
      <c r="A125" t="str">
        <f t="shared" si="89"/>
        <v>21 Science, research, engineering and technology professionals</v>
      </c>
      <c r="B125" s="11">
        <v>79.841372074017443</v>
      </c>
      <c r="C125" s="11">
        <v>91.083351944880434</v>
      </c>
      <c r="D125" s="11">
        <f t="shared" si="90"/>
        <v>11.241979870862991</v>
      </c>
      <c r="E125" s="11">
        <v>33.195624945399416</v>
      </c>
      <c r="F125" s="11">
        <f t="shared" si="91"/>
        <v>44.437604816262407</v>
      </c>
      <c r="G125" s="200">
        <f t="shared" si="92"/>
        <v>2.3448926129639114E-2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11"/>
      <c r="T125" s="11"/>
      <c r="U125" s="11"/>
    </row>
    <row r="126" spans="1:21" x14ac:dyDescent="0.3">
      <c r="A126" t="str">
        <f t="shared" si="89"/>
        <v>22 Health professionals</v>
      </c>
      <c r="B126" s="11">
        <v>203.77516065505532</v>
      </c>
      <c r="C126" s="11">
        <v>47.24865389481333</v>
      </c>
      <c r="D126" s="11">
        <f t="shared" si="90"/>
        <v>-156.526506760242</v>
      </c>
      <c r="E126" s="11">
        <v>41.353554228774797</v>
      </c>
      <c r="F126" s="11">
        <f t="shared" si="91"/>
        <v>-115.1729525314672</v>
      </c>
      <c r="G126" s="200">
        <f t="shared" si="92"/>
        <v>1.2393923036863042E-2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11"/>
      <c r="T126" s="11"/>
      <c r="U126" s="11"/>
    </row>
    <row r="127" spans="1:21" x14ac:dyDescent="0.3">
      <c r="A127" t="str">
        <f t="shared" si="89"/>
        <v>23 Teaching and other educational professionals</v>
      </c>
      <c r="B127" s="11">
        <v>39.246094641017578</v>
      </c>
      <c r="C127" s="11">
        <v>29.52821309019842</v>
      </c>
      <c r="D127" s="11">
        <f t="shared" si="90"/>
        <v>-9.7178815508191576</v>
      </c>
      <c r="E127" s="11">
        <v>9.3365370015697291</v>
      </c>
      <c r="F127" s="11">
        <f t="shared" si="91"/>
        <v>-0.38134454924942851</v>
      </c>
      <c r="G127" s="200">
        <f>IF(B127&gt;0,(1+(E127/B127))^(1/($C$6-$B$6))-1,0)</f>
        <v>1.4329304411837107E-2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11"/>
      <c r="T127" s="11"/>
      <c r="U127" s="11"/>
    </row>
    <row r="128" spans="1:21" x14ac:dyDescent="0.3">
      <c r="A128" t="str">
        <f t="shared" si="89"/>
        <v>24 Business, media and public service professionals</v>
      </c>
      <c r="B128" s="11">
        <v>88.003313247754008</v>
      </c>
      <c r="C128" s="11">
        <v>89.037086905676219</v>
      </c>
      <c r="D128" s="11">
        <f t="shared" si="90"/>
        <v>1.033773657922211</v>
      </c>
      <c r="E128" s="11">
        <v>33.070858067525002</v>
      </c>
      <c r="F128" s="11">
        <f t="shared" si="91"/>
        <v>34.104631725447213</v>
      </c>
      <c r="G128" s="200">
        <f t="shared" si="92"/>
        <v>2.1496380520627856E-2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11"/>
      <c r="T128" s="11"/>
      <c r="U128" s="11"/>
    </row>
    <row r="129" spans="1:21" x14ac:dyDescent="0.3">
      <c r="A129" t="str">
        <f t="shared" si="89"/>
        <v>31 Science, engineering and technology associate professionals</v>
      </c>
      <c r="B129" s="11">
        <v>33.800633269241054</v>
      </c>
      <c r="C129" s="11">
        <v>44.699202922497129</v>
      </c>
      <c r="D129" s="11">
        <f t="shared" si="90"/>
        <v>10.898569653256075</v>
      </c>
      <c r="E129" s="11">
        <v>17.902884499590861</v>
      </c>
      <c r="F129" s="11">
        <f t="shared" si="91"/>
        <v>28.801454152846937</v>
      </c>
      <c r="G129" s="200">
        <f t="shared" si="92"/>
        <v>2.8741714338419433E-2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11"/>
      <c r="T129" s="11"/>
      <c r="U129" s="11"/>
    </row>
    <row r="130" spans="1:21" x14ac:dyDescent="0.3">
      <c r="A130" t="str">
        <f t="shared" si="89"/>
        <v>32 Health and social care associate professionals</v>
      </c>
      <c r="B130" s="11">
        <v>107.58005552009256</v>
      </c>
      <c r="C130" s="11">
        <v>46.583632557768475</v>
      </c>
      <c r="D130" s="11">
        <f t="shared" si="90"/>
        <v>-60.996422962324083</v>
      </c>
      <c r="E130" s="11">
        <v>31.513782964269659</v>
      </c>
      <c r="F130" s="11">
        <f t="shared" si="91"/>
        <v>-29.482639998054424</v>
      </c>
      <c r="G130" s="200">
        <f t="shared" si="92"/>
        <v>1.7275086436455034E-2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11"/>
      <c r="T130" s="11"/>
      <c r="U130" s="11"/>
    </row>
    <row r="131" spans="1:21" x14ac:dyDescent="0.3">
      <c r="A131" t="str">
        <f t="shared" si="89"/>
        <v>33 Protective service occupations</v>
      </c>
      <c r="B131" s="11">
        <v>29.349640829556503</v>
      </c>
      <c r="C131" s="11">
        <v>51.525939264179989</v>
      </c>
      <c r="D131" s="11">
        <f t="shared" si="90"/>
        <v>22.176298434623487</v>
      </c>
      <c r="E131" s="11">
        <v>15.581449272811124</v>
      </c>
      <c r="F131" s="11">
        <f t="shared" si="91"/>
        <v>37.757747707434611</v>
      </c>
      <c r="G131" s="200">
        <f t="shared" si="92"/>
        <v>2.8796814757990452E-2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11"/>
      <c r="T131" s="11"/>
      <c r="U131" s="11"/>
    </row>
    <row r="132" spans="1:21" x14ac:dyDescent="0.3">
      <c r="A132" t="str">
        <f t="shared" si="89"/>
        <v>34 Culture, media and sports occupations</v>
      </c>
      <c r="B132" s="11">
        <v>41.520445045370721</v>
      </c>
      <c r="C132" s="11">
        <v>49.423535662346197</v>
      </c>
      <c r="D132" s="11">
        <f t="shared" si="90"/>
        <v>7.9030906169754758</v>
      </c>
      <c r="E132" s="11">
        <v>21.225594729717503</v>
      </c>
      <c r="F132" s="11">
        <f t="shared" ref="F132:F133" si="93">SUM(D132:E132)</f>
        <v>29.128685346692979</v>
      </c>
      <c r="G132" s="200">
        <f t="shared" si="92"/>
        <v>2.7909677155000923E-2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11"/>
      <c r="T132" s="11"/>
      <c r="U132" s="11"/>
    </row>
    <row r="133" spans="1:21" x14ac:dyDescent="0.3">
      <c r="A133" t="str">
        <f t="shared" si="89"/>
        <v>35 Business and public service associate professionals</v>
      </c>
      <c r="B133" s="11">
        <v>173.02372673756076</v>
      </c>
      <c r="C133" s="11">
        <v>183.59484647947809</v>
      </c>
      <c r="D133" s="11">
        <f t="shared" si="90"/>
        <v>10.571119741917329</v>
      </c>
      <c r="E133" s="11">
        <v>84.967587257859066</v>
      </c>
      <c r="F133" s="11">
        <f t="shared" si="93"/>
        <v>95.538706999776394</v>
      </c>
      <c r="G133" s="200">
        <f t="shared" si="92"/>
        <v>2.6990977475486178E-2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11"/>
      <c r="T133" s="11"/>
      <c r="U133" s="11"/>
    </row>
    <row r="134" spans="1:21" x14ac:dyDescent="0.3">
      <c r="A134" t="str">
        <f t="shared" si="89"/>
        <v>41 Administrative occupations</v>
      </c>
      <c r="B134" s="11">
        <v>234.78926862149743</v>
      </c>
      <c r="C134" s="11">
        <v>266.27356474849779</v>
      </c>
      <c r="D134" s="11">
        <f t="shared" si="90"/>
        <v>31.484296127000363</v>
      </c>
      <c r="E134" s="11">
        <v>144.32922239994079</v>
      </c>
      <c r="F134" s="11">
        <f t="shared" ref="F134:F137" si="94">SUM(D134:E134)</f>
        <v>175.81351852694115</v>
      </c>
      <c r="G134" s="200">
        <f t="shared" si="92"/>
        <v>3.2459714499283088E-2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11"/>
      <c r="T134" s="11"/>
      <c r="U134" s="11"/>
    </row>
    <row r="135" spans="1:21" x14ac:dyDescent="0.3">
      <c r="A135" t="str">
        <f t="shared" si="89"/>
        <v>42 Secretarial and related occupations</v>
      </c>
      <c r="B135" s="11">
        <v>53.850500394951304</v>
      </c>
      <c r="C135" s="11">
        <v>79.046997400035181</v>
      </c>
      <c r="D135" s="11">
        <f t="shared" si="90"/>
        <v>25.196497005083877</v>
      </c>
      <c r="E135" s="11">
        <v>43.226797116012122</v>
      </c>
      <c r="F135" s="11">
        <f t="shared" si="94"/>
        <v>68.423294121096006</v>
      </c>
      <c r="G135" s="200">
        <f t="shared" si="92"/>
        <v>4.0068305939917837E-2</v>
      </c>
      <c r="I135" s="11"/>
      <c r="J135" s="11"/>
      <c r="K135" s="11"/>
      <c r="L135" s="11"/>
      <c r="M135" s="11"/>
      <c r="N135" s="11"/>
    </row>
    <row r="136" spans="1:21" x14ac:dyDescent="0.3">
      <c r="A136" t="str">
        <f t="shared" si="89"/>
        <v>51 Skilled agricultural and related trades</v>
      </c>
      <c r="B136" s="11">
        <v>24.755749151580648</v>
      </c>
      <c r="C136" s="11">
        <v>39.627094775778225</v>
      </c>
      <c r="D136" s="11">
        <f t="shared" si="90"/>
        <v>14.871345624197577</v>
      </c>
      <c r="E136" s="11">
        <v>22.71209985941714</v>
      </c>
      <c r="F136" s="11">
        <f t="shared" si="94"/>
        <v>37.583445483614717</v>
      </c>
      <c r="G136" s="200">
        <f t="shared" si="92"/>
        <v>4.4355196222213955E-2</v>
      </c>
      <c r="I136" s="11"/>
      <c r="J136" s="11"/>
      <c r="K136" s="11"/>
      <c r="L136" s="11"/>
      <c r="M136" s="11"/>
      <c r="N136" s="11"/>
      <c r="O136" s="70"/>
    </row>
    <row r="137" spans="1:21" x14ac:dyDescent="0.3">
      <c r="A137" t="str">
        <f t="shared" si="89"/>
        <v>52 Skilled metal, electrical and electronic trades</v>
      </c>
      <c r="B137" s="11">
        <v>24.563235430286749</v>
      </c>
      <c r="C137" s="11">
        <v>34.964396767322853</v>
      </c>
      <c r="D137" s="11">
        <f t="shared" si="90"/>
        <v>10.401161337036104</v>
      </c>
      <c r="E137" s="11">
        <v>13.528413634118547</v>
      </c>
      <c r="F137" s="11">
        <f t="shared" si="94"/>
        <v>23.929574971154651</v>
      </c>
      <c r="G137" s="200">
        <f t="shared" si="92"/>
        <v>2.9681587609811766E-2</v>
      </c>
      <c r="I137" s="11"/>
      <c r="J137" s="11"/>
      <c r="K137" s="11"/>
      <c r="L137" s="11"/>
      <c r="M137" s="11"/>
      <c r="N137" s="11"/>
    </row>
    <row r="138" spans="1:21" x14ac:dyDescent="0.3">
      <c r="A138" t="str">
        <f t="shared" si="89"/>
        <v>53 Skilled construction and building trades</v>
      </c>
      <c r="B138" s="11">
        <v>23.6933972913153</v>
      </c>
      <c r="C138" s="11">
        <v>36.218766749521521</v>
      </c>
      <c r="D138" s="11">
        <f t="shared" si="90"/>
        <v>12.525369458206221</v>
      </c>
      <c r="E138" s="11">
        <v>17.510959245082841</v>
      </c>
      <c r="F138" s="11">
        <f t="shared" ref="F138" si="95">SUM(D138:E138)</f>
        <v>30.036328703289062</v>
      </c>
      <c r="G138" s="200">
        <f t="shared" si="92"/>
        <v>3.7578713343541903E-2</v>
      </c>
      <c r="I138" s="11"/>
      <c r="J138" s="11"/>
      <c r="K138" s="11"/>
      <c r="L138" s="11"/>
      <c r="M138" s="11"/>
      <c r="N138" s="11"/>
      <c r="P138" s="84"/>
      <c r="Q138" s="73"/>
      <c r="R138" s="73"/>
      <c r="S138" s="71"/>
      <c r="T138" s="71"/>
      <c r="U138" s="71"/>
    </row>
    <row r="139" spans="1:21" x14ac:dyDescent="0.3">
      <c r="A139" t="str">
        <f t="shared" si="89"/>
        <v>54 Textiles, printing and other skilled trades</v>
      </c>
      <c r="B139" s="11">
        <v>24.133652889262311</v>
      </c>
      <c r="C139" s="11">
        <v>31.88746139046226</v>
      </c>
      <c r="D139" s="11">
        <f t="shared" si="90"/>
        <v>7.7538085011999485</v>
      </c>
      <c r="E139" s="11">
        <v>15.495530705398577</v>
      </c>
      <c r="F139" s="11">
        <f t="shared" ref="F139" si="96">SUM(D139:E139)</f>
        <v>23.249339206598528</v>
      </c>
      <c r="G139" s="200">
        <f t="shared" si="92"/>
        <v>3.3616588979259454E-2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11"/>
      <c r="T139" s="11"/>
      <c r="U139" s="11"/>
    </row>
    <row r="140" spans="1:21" x14ac:dyDescent="0.3">
      <c r="A140" t="str">
        <f t="shared" si="89"/>
        <v>61 Caring personal service occupations</v>
      </c>
      <c r="B140" s="11">
        <v>254.33456576360231</v>
      </c>
      <c r="C140" s="11">
        <v>288.99626804968818</v>
      </c>
      <c r="D140" s="11">
        <f>C140-B140</f>
        <v>34.66170228608587</v>
      </c>
      <c r="E140" s="11">
        <v>162.13596935696916</v>
      </c>
      <c r="F140" s="11">
        <f>SUM(D140:E140)</f>
        <v>196.79767164305503</v>
      </c>
      <c r="G140" s="200">
        <f t="shared" si="92"/>
        <v>3.3424118025466409E-2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11"/>
      <c r="T140" s="11"/>
      <c r="U140" s="11"/>
    </row>
    <row r="141" spans="1:21" x14ac:dyDescent="0.3">
      <c r="A141" t="str">
        <f t="shared" si="89"/>
        <v>62 Leisure, travel and related personal service occupations</v>
      </c>
      <c r="B141" s="11">
        <v>52.511940412023229</v>
      </c>
      <c r="C141" s="11">
        <v>81.19274159897445</v>
      </c>
      <c r="D141" s="11">
        <f t="shared" ref="D141:D147" si="97">C141-B141</f>
        <v>28.680801186951221</v>
      </c>
      <c r="E141" s="11">
        <v>41.307696546457841</v>
      </c>
      <c r="F141" s="11">
        <f t="shared" ref="F141:F142" si="98">SUM(D141:E141)</f>
        <v>69.988497733409062</v>
      </c>
      <c r="G141" s="200">
        <f t="shared" si="92"/>
        <v>3.9447068513780659E-2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11"/>
      <c r="T141" s="11"/>
      <c r="U141" s="11"/>
    </row>
    <row r="142" spans="1:21" x14ac:dyDescent="0.3">
      <c r="A142" t="str">
        <f t="shared" si="89"/>
        <v>63 Community and civil enforcement occupations</v>
      </c>
      <c r="B142" s="11">
        <v>2.1860480622409861</v>
      </c>
      <c r="C142" s="11">
        <v>2.4229858036908025</v>
      </c>
      <c r="D142" s="11">
        <f t="shared" si="97"/>
        <v>0.23693774144981639</v>
      </c>
      <c r="E142" s="11">
        <v>1.2676765784390602</v>
      </c>
      <c r="F142" s="11">
        <f t="shared" si="98"/>
        <v>1.5046143198888766</v>
      </c>
      <c r="G142" s="200">
        <f t="shared" si="92"/>
        <v>3.0960121915347916E-2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11"/>
      <c r="T142" s="11"/>
      <c r="U142" s="11"/>
    </row>
    <row r="143" spans="1:21" x14ac:dyDescent="0.3">
      <c r="A143" t="str">
        <f t="shared" si="89"/>
        <v>71 Sales occupations</v>
      </c>
      <c r="B143" s="11">
        <v>102.28538888241627</v>
      </c>
      <c r="C143" s="11">
        <v>130.29619702020523</v>
      </c>
      <c r="D143" s="11">
        <f t="shared" si="97"/>
        <v>28.010808137788956</v>
      </c>
      <c r="E143" s="11">
        <v>62.892249704064085</v>
      </c>
      <c r="F143" s="11">
        <f t="shared" ref="F143:F144" si="99">SUM(D143:E143)</f>
        <v>90.903057841853041</v>
      </c>
      <c r="G143" s="200">
        <f t="shared" si="92"/>
        <v>3.2466201177000498E-2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11"/>
      <c r="T143" s="11"/>
      <c r="U143" s="11"/>
    </row>
    <row r="144" spans="1:21" x14ac:dyDescent="0.3">
      <c r="A144" t="str">
        <f t="shared" si="89"/>
        <v>72 Customer service occupations</v>
      </c>
      <c r="B144" s="11">
        <v>34.879594135966769</v>
      </c>
      <c r="C144" s="11">
        <v>64.519015706247458</v>
      </c>
      <c r="D144" s="11">
        <f t="shared" si="97"/>
        <v>29.639421570280689</v>
      </c>
      <c r="E144" s="11">
        <v>28.465119841513378</v>
      </c>
      <c r="F144" s="11">
        <f t="shared" si="99"/>
        <v>58.104541411794067</v>
      </c>
      <c r="G144" s="200">
        <f t="shared" si="92"/>
        <v>4.0581092515324935E-2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11"/>
      <c r="T144" s="11"/>
      <c r="U144" s="11"/>
    </row>
    <row r="145" spans="1:21" x14ac:dyDescent="0.3">
      <c r="A145" t="str">
        <f t="shared" si="89"/>
        <v>81 Process, plant and machine operatives</v>
      </c>
      <c r="B145" s="11">
        <v>14.468314384576399</v>
      </c>
      <c r="C145" s="11">
        <v>33.220421752838512</v>
      </c>
      <c r="D145" s="11">
        <f t="shared" si="97"/>
        <v>18.752107368262113</v>
      </c>
      <c r="E145" s="11">
        <v>12.051763970067396</v>
      </c>
      <c r="F145" s="11">
        <f t="shared" ref="F145:F146" si="100">SUM(D145:E145)</f>
        <v>30.803871338329508</v>
      </c>
      <c r="G145" s="200">
        <f t="shared" si="92"/>
        <v>4.1223091592931027E-2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11"/>
      <c r="T145" s="11"/>
      <c r="U145" s="11"/>
    </row>
    <row r="146" spans="1:21" x14ac:dyDescent="0.3">
      <c r="A146" t="str">
        <f t="shared" si="89"/>
        <v>82 Transport and mobile machine drivers and operatives</v>
      </c>
      <c r="B146" s="11">
        <v>32.486209972780486</v>
      </c>
      <c r="C146" s="11">
        <v>52.787217303127584</v>
      </c>
      <c r="D146" s="11">
        <f t="shared" si="97"/>
        <v>20.301007330347097</v>
      </c>
      <c r="E146" s="11">
        <v>29.064898513095049</v>
      </c>
      <c r="F146" s="11">
        <f t="shared" si="100"/>
        <v>49.36590584344215</v>
      </c>
      <c r="G146" s="200">
        <f t="shared" si="92"/>
        <v>4.35240326520967E-2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11"/>
      <c r="T146" s="11"/>
      <c r="U146" s="11"/>
    </row>
    <row r="147" spans="1:21" x14ac:dyDescent="0.3">
      <c r="A147" t="str">
        <f t="shared" si="89"/>
        <v>91 Elementary trades and related occupations</v>
      </c>
      <c r="B147" s="11">
        <v>14.676446945221587</v>
      </c>
      <c r="C147" s="11">
        <v>18.893018603774419</v>
      </c>
      <c r="D147" s="11">
        <f t="shared" si="97"/>
        <v>4.2165716585528319</v>
      </c>
      <c r="E147" s="11">
        <v>9.4713849619045085</v>
      </c>
      <c r="F147" s="11">
        <f t="shared" ref="F147" si="101">SUM(D147:E147)</f>
        <v>13.68795662045734</v>
      </c>
      <c r="G147" s="200">
        <f t="shared" si="92"/>
        <v>3.3753868261304776E-2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11"/>
      <c r="T147" s="11"/>
      <c r="U147" s="11"/>
    </row>
    <row r="148" spans="1:21" x14ac:dyDescent="0.3">
      <c r="A148" t="str">
        <f t="shared" si="89"/>
        <v>92 Elementary administration and service occupations</v>
      </c>
      <c r="B148" s="11">
        <v>139.42121140341655</v>
      </c>
      <c r="C148" s="11">
        <v>221.65476637576134</v>
      </c>
      <c r="D148" s="11">
        <f t="shared" ref="D148" si="102">C148-B148</f>
        <v>82.233554972344791</v>
      </c>
      <c r="E148" s="11">
        <v>110.89881562799471</v>
      </c>
      <c r="F148" s="11">
        <f t="shared" ref="F148" si="103">SUM(D148:E148)</f>
        <v>193.1323706003395</v>
      </c>
      <c r="G148" s="200">
        <f t="shared" ref="G148" si="104">IF(B148&gt;0,(1+(E148/B148))^(1/($C$6-$B$6))-1,0)</f>
        <v>3.9787158822207846E-2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11"/>
      <c r="T148" s="11"/>
      <c r="U148" s="11"/>
    </row>
    <row r="149" spans="1:21" x14ac:dyDescent="0.3">
      <c r="A149" t="str">
        <f t="shared" si="89"/>
        <v>All occupations</v>
      </c>
      <c r="B149" s="11">
        <f>SUM(B123:B148)</f>
        <v>2054.5752318363388</v>
      </c>
      <c r="C149" s="11">
        <f t="shared" ref="C149:F149" si="105">SUM(C123:C148)</f>
        <v>2279.8253957201214</v>
      </c>
      <c r="D149" s="11">
        <f t="shared" si="105"/>
        <v>225.25016388378185</v>
      </c>
      <c r="E149" s="11">
        <f t="shared" si="105"/>
        <v>1141.5989442138964</v>
      </c>
      <c r="F149" s="11">
        <f t="shared" si="105"/>
        <v>1366.8491080976785</v>
      </c>
      <c r="G149" s="200">
        <f t="shared" si="92"/>
        <v>2.9897236134313721E-2</v>
      </c>
      <c r="P149" s="11"/>
      <c r="Q149" s="11"/>
      <c r="R149" s="11"/>
      <c r="S149" s="11"/>
      <c r="T149" s="11"/>
      <c r="U149" s="11"/>
    </row>
    <row r="150" spans="1:21" x14ac:dyDescent="0.3">
      <c r="B150" s="11"/>
      <c r="C150" s="11"/>
      <c r="D150" s="11"/>
      <c r="E150" s="11"/>
      <c r="F150" s="11"/>
      <c r="G150" s="11"/>
      <c r="P150" s="11"/>
      <c r="Q150" s="11"/>
      <c r="R150" s="11"/>
      <c r="S150" s="11"/>
      <c r="T150" s="11"/>
      <c r="U150" s="11"/>
    </row>
    <row r="151" spans="1:21" ht="24.9" x14ac:dyDescent="0.3">
      <c r="A151" s="201" t="str">
        <f>CONCATENATE(name!F8," (Constrained)")</f>
        <v>RQF4 HE below degree level (Constrained)</v>
      </c>
      <c r="B151" s="74">
        <f t="shared" ref="B151:G151" si="106">B64</f>
        <v>2020</v>
      </c>
      <c r="C151" s="74">
        <f t="shared" si="106"/>
        <v>2035</v>
      </c>
      <c r="D151" s="87" t="str">
        <f t="shared" si="106"/>
        <v>Net Change</v>
      </c>
      <c r="E151" s="87" t="str">
        <f t="shared" si="106"/>
        <v>Replacement Demand level</v>
      </c>
      <c r="F151" s="87" t="str">
        <f t="shared" si="106"/>
        <v>Total Requirement</v>
      </c>
      <c r="G151" s="87" t="str">
        <f t="shared" si="106"/>
        <v>Replacement Demand rate</v>
      </c>
      <c r="P151" s="11"/>
      <c r="Q151" s="11"/>
      <c r="R151" s="11"/>
      <c r="S151" s="11"/>
      <c r="T151" s="11"/>
      <c r="U151" s="11"/>
    </row>
    <row r="152" spans="1:21" x14ac:dyDescent="0.3">
      <c r="A152" t="str">
        <f t="shared" ref="A152:A178" si="107">A65</f>
        <v>11 Corporate managers and directors</v>
      </c>
      <c r="B152" s="11">
        <v>211.99833621270926</v>
      </c>
      <c r="C152" s="11">
        <v>208.71008300915722</v>
      </c>
      <c r="D152" s="11">
        <f>C152-B152</f>
        <v>-3.2882532035520455</v>
      </c>
      <c r="E152" s="11">
        <v>106.25061261143848</v>
      </c>
      <c r="F152" s="11">
        <f>SUM(D152:E152)</f>
        <v>102.96235940788644</v>
      </c>
      <c r="G152" s="200">
        <f>IF(B152&gt;0,(1+(E152/B152))^(1/($C$6-$B$6))-1,0)</f>
        <v>2.7453797585527129E-2</v>
      </c>
      <c r="I152" s="84"/>
      <c r="J152" s="73"/>
      <c r="K152" s="73"/>
      <c r="L152" s="71"/>
      <c r="M152" s="71"/>
      <c r="N152" s="71"/>
      <c r="P152" s="11"/>
      <c r="Q152" s="11"/>
      <c r="R152" s="11"/>
      <c r="S152" s="11"/>
      <c r="T152" s="11"/>
      <c r="U152" s="11"/>
    </row>
    <row r="153" spans="1:21" x14ac:dyDescent="0.3">
      <c r="A153" t="str">
        <f t="shared" si="107"/>
        <v>12 Other managers and proprietors</v>
      </c>
      <c r="B153" s="11">
        <v>87.640574351380366</v>
      </c>
      <c r="C153" s="11">
        <v>130.10435534148689</v>
      </c>
      <c r="D153" s="11">
        <f t="shared" ref="D153:D168" si="108">C153-B153</f>
        <v>42.463780990106528</v>
      </c>
      <c r="E153" s="11">
        <v>69.214602124610721</v>
      </c>
      <c r="F153" s="11">
        <f t="shared" ref="F153:F160" si="109">SUM(D153:E153)</f>
        <v>111.67838311471725</v>
      </c>
      <c r="G153" s="200">
        <f t="shared" ref="G153:G155" si="110">IF(B153&gt;0,(1+(E153/B153))^(1/($C$6-$B$6))-1,0)</f>
        <v>3.9568016282751417E-2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11"/>
      <c r="T153" s="11"/>
      <c r="U153" s="11"/>
    </row>
    <row r="154" spans="1:21" x14ac:dyDescent="0.3">
      <c r="A154" t="str">
        <f t="shared" si="107"/>
        <v>21 Science, research, engineering and technology professionals</v>
      </c>
      <c r="B154" s="11">
        <v>188.96999281039101</v>
      </c>
      <c r="C154" s="11">
        <v>179.2044324131229</v>
      </c>
      <c r="D154" s="11">
        <f t="shared" si="108"/>
        <v>-9.7655603972681035</v>
      </c>
      <c r="E154" s="11">
        <v>66.188354209173141</v>
      </c>
      <c r="F154" s="11">
        <f t="shared" si="109"/>
        <v>56.422793811905038</v>
      </c>
      <c r="G154" s="200">
        <f t="shared" si="110"/>
        <v>2.0221478108010338E-2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11"/>
      <c r="T154" s="11"/>
      <c r="U154" s="11"/>
    </row>
    <row r="155" spans="1:21" x14ac:dyDescent="0.3">
      <c r="A155" t="str">
        <f t="shared" si="107"/>
        <v>22 Health professionals</v>
      </c>
      <c r="B155" s="11">
        <v>45.957141866235567</v>
      </c>
      <c r="C155" s="11">
        <v>54.842635574685389</v>
      </c>
      <c r="D155" s="11">
        <f t="shared" si="108"/>
        <v>8.8854937084498218</v>
      </c>
      <c r="E155" s="11">
        <v>25.91552206910135</v>
      </c>
      <c r="F155" s="11">
        <f t="shared" si="109"/>
        <v>34.801015777551171</v>
      </c>
      <c r="G155" s="200">
        <f t="shared" si="110"/>
        <v>3.0261289173217687E-2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11"/>
      <c r="T155" s="11"/>
      <c r="U155" s="11"/>
    </row>
    <row r="156" spans="1:21" x14ac:dyDescent="0.3">
      <c r="A156" t="str">
        <f t="shared" si="107"/>
        <v>23 Teaching and other educational professionals</v>
      </c>
      <c r="B156" s="11">
        <v>21.041277502438806</v>
      </c>
      <c r="C156" s="11">
        <v>17.797534354874699</v>
      </c>
      <c r="D156" s="11">
        <f t="shared" si="108"/>
        <v>-3.243743147564107</v>
      </c>
      <c r="E156" s="11">
        <v>9.4487054074796504</v>
      </c>
      <c r="F156" s="11">
        <f t="shared" si="109"/>
        <v>6.2049622599155434</v>
      </c>
      <c r="G156" s="200">
        <f>IF(B156&gt;0,(1+(E156/B156))^(1/($C$6-$B$6))-1,0)</f>
        <v>2.5035732656327303E-2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11"/>
      <c r="T156" s="11"/>
      <c r="U156" s="11"/>
    </row>
    <row r="157" spans="1:21" x14ac:dyDescent="0.3">
      <c r="A157" t="str">
        <f t="shared" si="107"/>
        <v>24 Business, media and public service professionals</v>
      </c>
      <c r="B157" s="11">
        <v>149.19842394789072</v>
      </c>
      <c r="C157" s="11">
        <v>172.92972730120707</v>
      </c>
      <c r="D157" s="11">
        <f t="shared" si="108"/>
        <v>23.731303353316349</v>
      </c>
      <c r="E157" s="11">
        <v>79.792137736533093</v>
      </c>
      <c r="F157" s="11">
        <f t="shared" si="109"/>
        <v>103.52344108984944</v>
      </c>
      <c r="G157" s="200">
        <f t="shared" ref="G157:G178" si="111">IF(B157&gt;0,(1+(E157/B157))^(1/($C$6-$B$6))-1,0)</f>
        <v>2.8971998561567958E-2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11"/>
      <c r="T157" s="11"/>
      <c r="U157" s="11"/>
    </row>
    <row r="158" spans="1:21" x14ac:dyDescent="0.3">
      <c r="A158" t="str">
        <f t="shared" si="107"/>
        <v>31 Science, engineering and technology associate professionals</v>
      </c>
      <c r="B158" s="11">
        <v>74.501540508382689</v>
      </c>
      <c r="C158" s="11">
        <v>61.2256187968216</v>
      </c>
      <c r="D158" s="11">
        <f t="shared" si="108"/>
        <v>-13.275921711561089</v>
      </c>
      <c r="E158" s="11">
        <v>24.223467126405048</v>
      </c>
      <c r="F158" s="11">
        <f t="shared" si="109"/>
        <v>10.947545414843958</v>
      </c>
      <c r="G158" s="200">
        <f t="shared" si="111"/>
        <v>1.8945122740976927E-2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11"/>
      <c r="T158" s="11"/>
      <c r="U158" s="11"/>
    </row>
    <row r="159" spans="1:21" x14ac:dyDescent="0.3">
      <c r="A159" t="str">
        <f t="shared" si="107"/>
        <v>32 Health and social care associate professionals</v>
      </c>
      <c r="B159" s="11">
        <v>34.025233873412326</v>
      </c>
      <c r="C159" s="11">
        <v>36.989304798848991</v>
      </c>
      <c r="D159" s="11">
        <f t="shared" si="108"/>
        <v>2.9640709254366655</v>
      </c>
      <c r="E159" s="11">
        <v>19.848291596079736</v>
      </c>
      <c r="F159" s="11">
        <f t="shared" si="109"/>
        <v>22.812362521516402</v>
      </c>
      <c r="G159" s="200">
        <f t="shared" si="111"/>
        <v>3.1109888527216745E-2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11"/>
      <c r="T159" s="11"/>
      <c r="U159" s="11"/>
    </row>
    <row r="160" spans="1:21" x14ac:dyDescent="0.3">
      <c r="A160" t="str">
        <f t="shared" si="107"/>
        <v>33 Protective service occupations</v>
      </c>
      <c r="B160" s="11">
        <v>22.647405543847277</v>
      </c>
      <c r="C160" s="11">
        <v>28.146055221497043</v>
      </c>
      <c r="D160" s="11">
        <f t="shared" si="108"/>
        <v>5.498649677649766</v>
      </c>
      <c r="E160" s="11">
        <v>9.466016155943402</v>
      </c>
      <c r="F160" s="11">
        <f t="shared" si="109"/>
        <v>14.964665833593168</v>
      </c>
      <c r="G160" s="200">
        <f t="shared" si="111"/>
        <v>2.3555057088239906E-2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11"/>
      <c r="T160" s="11"/>
      <c r="U160" s="11"/>
    </row>
    <row r="161" spans="1:21" x14ac:dyDescent="0.3">
      <c r="A161" t="str">
        <f t="shared" si="107"/>
        <v>34 Culture, media and sports occupations</v>
      </c>
      <c r="B161" s="11">
        <v>43.944924844073213</v>
      </c>
      <c r="C161" s="11">
        <v>39.343477010461257</v>
      </c>
      <c r="D161" s="11">
        <f t="shared" si="108"/>
        <v>-4.6014478336119566</v>
      </c>
      <c r="E161" s="11">
        <v>18.712638906933158</v>
      </c>
      <c r="F161" s="11">
        <f t="shared" ref="F161:F162" si="112">SUM(D161:E161)</f>
        <v>14.111191073321201</v>
      </c>
      <c r="G161" s="200">
        <f t="shared" si="111"/>
        <v>2.3931692144327998E-2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11"/>
      <c r="T161" s="11"/>
      <c r="U161" s="11"/>
    </row>
    <row r="162" spans="1:21" x14ac:dyDescent="0.3">
      <c r="A162" t="str">
        <f t="shared" si="107"/>
        <v>35 Business and public service associate professionals</v>
      </c>
      <c r="B162" s="11">
        <v>150.8955035688771</v>
      </c>
      <c r="C162" s="11">
        <v>153.7131026755961</v>
      </c>
      <c r="D162" s="11">
        <f t="shared" si="108"/>
        <v>2.8175991067190012</v>
      </c>
      <c r="E162" s="11">
        <v>70.837460991339142</v>
      </c>
      <c r="F162" s="11">
        <f t="shared" si="112"/>
        <v>73.655060098058144</v>
      </c>
      <c r="G162" s="200">
        <f t="shared" si="111"/>
        <v>2.5991109842619542E-2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11"/>
      <c r="T162" s="11"/>
      <c r="U162" s="11"/>
    </row>
    <row r="163" spans="1:21" x14ac:dyDescent="0.3">
      <c r="A163" t="str">
        <f t="shared" si="107"/>
        <v>41 Administrative occupations</v>
      </c>
      <c r="B163" s="11">
        <v>223.87796310261598</v>
      </c>
      <c r="C163" s="11">
        <v>247.36387282098613</v>
      </c>
      <c r="D163" s="11">
        <f t="shared" si="108"/>
        <v>23.485909718370152</v>
      </c>
      <c r="E163" s="11">
        <v>126.17418410452014</v>
      </c>
      <c r="F163" s="11">
        <f t="shared" ref="F163:F166" si="113">SUM(D163:E163)</f>
        <v>149.6600938228903</v>
      </c>
      <c r="G163" s="200">
        <f t="shared" si="111"/>
        <v>3.0247161393032629E-2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11"/>
      <c r="T163" s="11"/>
      <c r="U163" s="11"/>
    </row>
    <row r="164" spans="1:21" x14ac:dyDescent="0.3">
      <c r="A164" t="str">
        <f t="shared" si="107"/>
        <v>42 Secretarial and related occupations</v>
      </c>
      <c r="B164" s="11">
        <v>39.81905363504417</v>
      </c>
      <c r="C164" s="11">
        <v>47.652300117580161</v>
      </c>
      <c r="D164" s="11">
        <f t="shared" si="108"/>
        <v>7.8332464825359907</v>
      </c>
      <c r="E164" s="11">
        <v>26.884840894517048</v>
      </c>
      <c r="F164" s="11">
        <f t="shared" si="113"/>
        <v>34.718087377053038</v>
      </c>
      <c r="G164" s="200">
        <f t="shared" si="111"/>
        <v>3.4992852102415206E-2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11"/>
      <c r="T164" s="11"/>
      <c r="U164" s="11"/>
    </row>
    <row r="165" spans="1:21" x14ac:dyDescent="0.3">
      <c r="A165" t="str">
        <f t="shared" si="107"/>
        <v>51 Skilled agricultural and related trades</v>
      </c>
      <c r="B165" s="11">
        <v>36.523093651073005</v>
      </c>
      <c r="C165" s="11">
        <v>57.098997164560075</v>
      </c>
      <c r="D165" s="11">
        <f t="shared" si="108"/>
        <v>20.57590351348707</v>
      </c>
      <c r="E165" s="11">
        <v>28.884625898320834</v>
      </c>
      <c r="F165" s="11">
        <f t="shared" si="113"/>
        <v>49.460529411807904</v>
      </c>
      <c r="G165" s="200">
        <f t="shared" si="111"/>
        <v>3.9610754187938912E-2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11"/>
      <c r="T165" s="11"/>
      <c r="U165" s="11"/>
    </row>
    <row r="166" spans="1:21" x14ac:dyDescent="0.3">
      <c r="A166" t="str">
        <f t="shared" si="107"/>
        <v>52 Skilled metal, electrical and electronic trades</v>
      </c>
      <c r="B166" s="11">
        <v>96.000830028150475</v>
      </c>
      <c r="C166" s="11">
        <v>127.44906014663545</v>
      </c>
      <c r="D166" s="11">
        <f t="shared" si="108"/>
        <v>31.448230118484972</v>
      </c>
      <c r="E166" s="11">
        <v>50.08344102010912</v>
      </c>
      <c r="F166" s="11">
        <f t="shared" si="113"/>
        <v>81.531671138594092</v>
      </c>
      <c r="G166" s="200">
        <f t="shared" si="111"/>
        <v>2.8383811085665789E-2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11"/>
      <c r="T166" s="11"/>
      <c r="U166" s="11"/>
    </row>
    <row r="167" spans="1:21" x14ac:dyDescent="0.3">
      <c r="A167" t="str">
        <f t="shared" si="107"/>
        <v>53 Skilled construction and building trades</v>
      </c>
      <c r="B167" s="11">
        <v>34.022522976831048</v>
      </c>
      <c r="C167" s="11">
        <v>51.440589915805269</v>
      </c>
      <c r="D167" s="11">
        <f t="shared" si="108"/>
        <v>17.418066938974221</v>
      </c>
      <c r="E167" s="11">
        <v>25.194303548951297</v>
      </c>
      <c r="F167" s="11">
        <f t="shared" ref="F167" si="114">SUM(D167:E167)</f>
        <v>42.612370487925517</v>
      </c>
      <c r="G167" s="200">
        <f t="shared" si="111"/>
        <v>3.7636501837198688E-2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11"/>
      <c r="T167" s="11"/>
      <c r="U167" s="11"/>
    </row>
    <row r="168" spans="1:21" x14ac:dyDescent="0.3">
      <c r="A168" t="str">
        <f t="shared" si="107"/>
        <v>54 Textiles, printing and other skilled trades</v>
      </c>
      <c r="B168" s="11">
        <v>27.912249990147107</v>
      </c>
      <c r="C168" s="11">
        <v>39.437639578436297</v>
      </c>
      <c r="D168" s="11">
        <f t="shared" si="108"/>
        <v>11.52538958828919</v>
      </c>
      <c r="E168" s="11">
        <v>18.364486512148481</v>
      </c>
      <c r="F168" s="11">
        <f t="shared" ref="F168" si="115">SUM(D168:E168)</f>
        <v>29.889876100437672</v>
      </c>
      <c r="G168" s="200">
        <f t="shared" si="111"/>
        <v>3.4279361247958162E-2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11"/>
      <c r="T168" s="11"/>
      <c r="U168" s="11"/>
    </row>
    <row r="169" spans="1:21" x14ac:dyDescent="0.3">
      <c r="A169" t="str">
        <f t="shared" si="107"/>
        <v>61 Caring personal service occupations</v>
      </c>
      <c r="B169" s="11">
        <v>148.80865170172794</v>
      </c>
      <c r="C169" s="11">
        <v>184.9974611962555</v>
      </c>
      <c r="D169" s="11">
        <f>C169-B169</f>
        <v>36.188809494527561</v>
      </c>
      <c r="E169" s="11">
        <v>101.65000029732497</v>
      </c>
      <c r="F169" s="11">
        <f>SUM(D169:E169)</f>
        <v>137.83880979185253</v>
      </c>
      <c r="G169" s="200">
        <f t="shared" si="111"/>
        <v>3.5318220357143604E-2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11"/>
      <c r="T169" s="11"/>
      <c r="U169" s="11"/>
    </row>
    <row r="170" spans="1:21" x14ac:dyDescent="0.3">
      <c r="A170" t="str">
        <f t="shared" si="107"/>
        <v>62 Leisure, travel and related personal service occupations</v>
      </c>
      <c r="B170" s="11">
        <v>68.411709234274639</v>
      </c>
      <c r="C170" s="11">
        <v>113.93337145346973</v>
      </c>
      <c r="D170" s="11">
        <f t="shared" ref="D170:D176" si="116">C170-B170</f>
        <v>45.521662219195093</v>
      </c>
      <c r="E170" s="11">
        <v>56.311114796196946</v>
      </c>
      <c r="F170" s="11">
        <f t="shared" ref="F170:F171" si="117">SUM(D170:E170)</f>
        <v>101.83277701539204</v>
      </c>
      <c r="G170" s="200">
        <f t="shared" si="111"/>
        <v>4.0848928922258887E-2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11"/>
      <c r="T170" s="11"/>
      <c r="U170" s="11"/>
    </row>
    <row r="171" spans="1:21" x14ac:dyDescent="0.3">
      <c r="A171" t="str">
        <f t="shared" si="107"/>
        <v>63 Community and civil enforcement occupations</v>
      </c>
      <c r="B171" s="11">
        <v>1.9083351311241423</v>
      </c>
      <c r="C171" s="11">
        <v>1.6835764806578899</v>
      </c>
      <c r="D171" s="11">
        <f t="shared" si="116"/>
        <v>-0.22475865046625243</v>
      </c>
      <c r="E171" s="11">
        <v>0.98166445201466535</v>
      </c>
      <c r="F171" s="11">
        <f t="shared" si="117"/>
        <v>0.75690580154841292</v>
      </c>
      <c r="G171" s="200">
        <f t="shared" si="111"/>
        <v>2.8054667035406933E-2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11"/>
      <c r="T171" s="11"/>
      <c r="U171" s="11"/>
    </row>
    <row r="172" spans="1:21" x14ac:dyDescent="0.3">
      <c r="A172" t="str">
        <f t="shared" si="107"/>
        <v>71 Sales occupations</v>
      </c>
      <c r="B172" s="11">
        <v>81.947763896247594</v>
      </c>
      <c r="C172" s="11">
        <v>96.850886576098873</v>
      </c>
      <c r="D172" s="11">
        <f t="shared" si="116"/>
        <v>14.903122679851279</v>
      </c>
      <c r="E172" s="11">
        <v>41.297086484963103</v>
      </c>
      <c r="F172" s="11">
        <f t="shared" ref="F172:F173" si="118">SUM(D172:E172)</f>
        <v>56.200209164814382</v>
      </c>
      <c r="G172" s="200">
        <f t="shared" si="111"/>
        <v>2.7579531626304554E-2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11"/>
      <c r="T172" s="11"/>
      <c r="U172" s="11"/>
    </row>
    <row r="173" spans="1:21" x14ac:dyDescent="0.3">
      <c r="A173" t="str">
        <f t="shared" si="107"/>
        <v>72 Customer service occupations</v>
      </c>
      <c r="B173" s="11">
        <v>43.682996337843797</v>
      </c>
      <c r="C173" s="11">
        <v>70.328619257264975</v>
      </c>
      <c r="D173" s="11">
        <f t="shared" si="116"/>
        <v>26.645622919421179</v>
      </c>
      <c r="E173" s="11">
        <v>29.001194919381525</v>
      </c>
      <c r="F173" s="11">
        <f t="shared" si="118"/>
        <v>55.646817838802704</v>
      </c>
      <c r="G173" s="200">
        <f t="shared" si="111"/>
        <v>3.4527015252761917E-2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11"/>
      <c r="T173" s="11"/>
      <c r="U173" s="11"/>
    </row>
    <row r="174" spans="1:21" x14ac:dyDescent="0.3">
      <c r="A174" t="str">
        <f t="shared" si="107"/>
        <v>81 Process, plant and machine operatives</v>
      </c>
      <c r="B174" s="11">
        <v>31.56350665714438</v>
      </c>
      <c r="C174" s="11">
        <v>64.969689642022601</v>
      </c>
      <c r="D174" s="11">
        <f t="shared" si="116"/>
        <v>33.406182984878221</v>
      </c>
      <c r="E174" s="11">
        <v>24.523127802645611</v>
      </c>
      <c r="F174" s="11">
        <f t="shared" ref="F174:F175" si="119">SUM(D174:E174)</f>
        <v>57.929310787523832</v>
      </c>
      <c r="G174" s="200">
        <f t="shared" si="111"/>
        <v>3.9070325837688769E-2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11"/>
      <c r="T174" s="11"/>
      <c r="U174" s="11"/>
    </row>
    <row r="175" spans="1:21" x14ac:dyDescent="0.3">
      <c r="A175" t="str">
        <f t="shared" si="107"/>
        <v>82 Transport and mobile machine drivers and operatives</v>
      </c>
      <c r="B175" s="11">
        <v>52.298796913088893</v>
      </c>
      <c r="C175" s="11">
        <v>80.538462560826389</v>
      </c>
      <c r="D175" s="11">
        <f t="shared" si="116"/>
        <v>28.239665647737496</v>
      </c>
      <c r="E175" s="11">
        <v>46.002891863889111</v>
      </c>
      <c r="F175" s="11">
        <f t="shared" si="119"/>
        <v>74.242557511626615</v>
      </c>
      <c r="G175" s="200">
        <f t="shared" si="111"/>
        <v>4.2968724328340757E-2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11"/>
      <c r="T175" s="11"/>
      <c r="U175" s="11"/>
    </row>
    <row r="176" spans="1:21" x14ac:dyDescent="0.3">
      <c r="A176" t="str">
        <f t="shared" si="107"/>
        <v>91 Elementary trades and related occupations</v>
      </c>
      <c r="B176" s="11">
        <v>17.982728640719927</v>
      </c>
      <c r="C176" s="11">
        <v>20.504637303966579</v>
      </c>
      <c r="D176" s="11">
        <f t="shared" si="116"/>
        <v>2.5219086632466521</v>
      </c>
      <c r="E176" s="11">
        <v>9.4821753871258192</v>
      </c>
      <c r="F176" s="11">
        <f t="shared" ref="F176" si="120">SUM(D176:E176)</f>
        <v>12.004084050372471</v>
      </c>
      <c r="G176" s="200">
        <f t="shared" si="111"/>
        <v>2.8635479066763558E-2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11"/>
      <c r="T176" s="11"/>
      <c r="U176" s="11"/>
    </row>
    <row r="177" spans="1:21" x14ac:dyDescent="0.3">
      <c r="A177" t="str">
        <f t="shared" si="107"/>
        <v>92 Elementary administration and service occupations</v>
      </c>
      <c r="B177" s="11">
        <v>123.02871154173455</v>
      </c>
      <c r="C177" s="11">
        <v>188.13644265760442</v>
      </c>
      <c r="D177" s="11">
        <f t="shared" ref="D177" si="121">C177-B177</f>
        <v>65.107731115869868</v>
      </c>
      <c r="E177" s="11">
        <v>93.973495660865808</v>
      </c>
      <c r="F177" s="11">
        <f t="shared" ref="F177" si="122">SUM(D177:E177)</f>
        <v>159.08122677673566</v>
      </c>
      <c r="G177" s="200">
        <f t="shared" ref="G177" si="123">IF(B177&gt;0,(1+(E177/B177))^(1/($C$6-$B$6))-1,0)</f>
        <v>3.8557417110228531E-2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11"/>
      <c r="T177" s="11"/>
      <c r="U177" s="11"/>
    </row>
    <row r="178" spans="1:21" x14ac:dyDescent="0.3">
      <c r="A178" t="str">
        <f t="shared" si="107"/>
        <v>All occupations</v>
      </c>
      <c r="B178" s="11">
        <f>SUM(B152:B177)</f>
        <v>2058.6092684674059</v>
      </c>
      <c r="C178" s="11">
        <f t="shared" ref="C178:F178" si="124">SUM(C152:C177)</f>
        <v>2475.3919333699296</v>
      </c>
      <c r="D178" s="11">
        <f t="shared" si="124"/>
        <v>416.78266490252355</v>
      </c>
      <c r="E178" s="11">
        <f t="shared" si="124"/>
        <v>1178.7064425780115</v>
      </c>
      <c r="F178" s="11">
        <f t="shared" si="124"/>
        <v>1595.489107480535</v>
      </c>
      <c r="G178" s="200">
        <f t="shared" si="111"/>
        <v>3.0640984759348289E-2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11"/>
      <c r="T178" s="11"/>
      <c r="U178" s="11"/>
    </row>
    <row r="179" spans="1:21" x14ac:dyDescent="0.3">
      <c r="I179" s="11"/>
      <c r="J179" s="11"/>
      <c r="K179" s="11"/>
      <c r="L179" s="11"/>
      <c r="M179" s="11"/>
      <c r="N179" s="11"/>
      <c r="P179" s="11"/>
      <c r="Q179" s="11"/>
      <c r="R179" s="11"/>
      <c r="S179" s="11"/>
      <c r="T179" s="11"/>
      <c r="U179" s="11"/>
    </row>
    <row r="180" spans="1:21" ht="24.9" x14ac:dyDescent="0.3">
      <c r="A180" s="201" t="str">
        <f>CONCATENATE(name!F9," (Constrained)")</f>
        <v>RQF3 A level &amp; equivalent (Constrained)</v>
      </c>
      <c r="B180" s="74">
        <f t="shared" ref="B180:G180" si="125">B93</f>
        <v>2020</v>
      </c>
      <c r="C180" s="74">
        <f t="shared" si="125"/>
        <v>2035</v>
      </c>
      <c r="D180" s="87" t="str">
        <f t="shared" si="125"/>
        <v>Net Change</v>
      </c>
      <c r="E180" s="87" t="str">
        <f t="shared" si="125"/>
        <v>Replacement Demand level</v>
      </c>
      <c r="F180" s="87" t="str">
        <f t="shared" si="125"/>
        <v>Total Requirement</v>
      </c>
      <c r="G180" s="87" t="str">
        <f t="shared" si="125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11"/>
      <c r="T180" s="11"/>
      <c r="U180" s="11"/>
    </row>
    <row r="181" spans="1:21" x14ac:dyDescent="0.3">
      <c r="A181" t="str">
        <f t="shared" ref="A181:A207" si="126">A94</f>
        <v>11 Corporate managers and directors</v>
      </c>
      <c r="B181" s="11">
        <v>443.68100619806694</v>
      </c>
      <c r="C181" s="11">
        <v>381.05234169538846</v>
      </c>
      <c r="D181" s="11">
        <f>C181-B181</f>
        <v>-62.628664502678475</v>
      </c>
      <c r="E181" s="11">
        <v>167.90401563587614</v>
      </c>
      <c r="F181" s="11">
        <f>SUM(D181:E181)</f>
        <v>105.27535113319766</v>
      </c>
      <c r="G181" s="200">
        <f>IF(B181&gt;0,(1+(E181/B181))^(1/($C$6-$B$6))-1,0)</f>
        <v>2.1627089640536168E-2</v>
      </c>
      <c r="I181" s="11"/>
      <c r="J181" s="11"/>
      <c r="K181" s="11"/>
      <c r="L181" s="11"/>
      <c r="M181" s="11"/>
      <c r="N181" s="11"/>
      <c r="P181" s="81"/>
      <c r="Q181" s="72"/>
    </row>
    <row r="182" spans="1:21" x14ac:dyDescent="0.3">
      <c r="A182" t="str">
        <f t="shared" si="126"/>
        <v>12 Other managers and proprietors</v>
      </c>
      <c r="B182" s="11">
        <v>191.64126303091484</v>
      </c>
      <c r="C182" s="11">
        <v>221.50372569768521</v>
      </c>
      <c r="D182" s="11">
        <f t="shared" ref="D182:D197" si="127">C182-B182</f>
        <v>29.862462666770369</v>
      </c>
      <c r="E182" s="11">
        <v>100.25840988598652</v>
      </c>
      <c r="F182" s="11">
        <f t="shared" ref="F182:F189" si="128">SUM(D182:E182)</f>
        <v>130.12087255275691</v>
      </c>
      <c r="G182" s="200">
        <f t="shared" ref="G182:G184" si="129">IF(B182&gt;0,(1+(E182/B182))^(1/($C$6-$B$6))-1,0)</f>
        <v>2.8449502097369184E-2</v>
      </c>
      <c r="I182" s="11"/>
      <c r="J182" s="11"/>
      <c r="K182" s="11"/>
      <c r="L182" s="11"/>
      <c r="M182" s="11"/>
      <c r="N182" s="11"/>
    </row>
    <row r="183" spans="1:21" x14ac:dyDescent="0.3">
      <c r="A183" t="str">
        <f t="shared" si="126"/>
        <v>21 Science, research, engineering and technology professionals</v>
      </c>
      <c r="B183" s="11">
        <v>254.7767162962684</v>
      </c>
      <c r="C183" s="11">
        <v>211.00539584120762</v>
      </c>
      <c r="D183" s="11">
        <f t="shared" si="127"/>
        <v>-43.771320455060788</v>
      </c>
      <c r="E183" s="11">
        <v>65.852010908234462</v>
      </c>
      <c r="F183" s="11">
        <f t="shared" si="128"/>
        <v>22.080690453173673</v>
      </c>
      <c r="G183" s="200">
        <f t="shared" si="129"/>
        <v>1.5444472006957977E-2</v>
      </c>
      <c r="I183" s="11"/>
      <c r="J183" s="11"/>
      <c r="K183" s="11"/>
      <c r="L183" s="11"/>
      <c r="M183" s="11"/>
      <c r="N183" s="11"/>
    </row>
    <row r="184" spans="1:21" x14ac:dyDescent="0.3">
      <c r="A184" t="str">
        <f t="shared" si="126"/>
        <v>22 Health professionals</v>
      </c>
      <c r="B184" s="11">
        <v>159.81336498863058</v>
      </c>
      <c r="C184" s="11">
        <v>186.60243569989041</v>
      </c>
      <c r="D184" s="11">
        <f t="shared" si="127"/>
        <v>26.789070711259825</v>
      </c>
      <c r="E184" s="11">
        <v>97.745649589024495</v>
      </c>
      <c r="F184" s="11">
        <f t="shared" si="128"/>
        <v>124.53472030028432</v>
      </c>
      <c r="G184" s="200">
        <f t="shared" si="129"/>
        <v>3.2327691734377995E-2</v>
      </c>
      <c r="I184" s="11"/>
      <c r="J184" s="11"/>
      <c r="K184" s="11"/>
      <c r="L184" s="11"/>
      <c r="M184" s="11"/>
      <c r="N184" s="11"/>
    </row>
    <row r="185" spans="1:21" x14ac:dyDescent="0.3">
      <c r="A185" t="str">
        <f t="shared" si="126"/>
        <v>23 Teaching and other educational professionals</v>
      </c>
      <c r="B185" s="11">
        <v>76.208042156895388</v>
      </c>
      <c r="C185" s="11">
        <v>84.909681604589764</v>
      </c>
      <c r="D185" s="11">
        <f t="shared" si="127"/>
        <v>8.7016394476943759</v>
      </c>
      <c r="E185" s="11">
        <v>33.792067323140145</v>
      </c>
      <c r="F185" s="11">
        <f t="shared" si="128"/>
        <v>42.493706770834521</v>
      </c>
      <c r="G185" s="200">
        <f>IF(B185&gt;0,(1+(E185/B185))^(1/($C$6-$B$6))-1,0)</f>
        <v>2.4769412896893828E-2</v>
      </c>
      <c r="I185" s="11"/>
      <c r="J185" s="11"/>
      <c r="K185" s="11"/>
      <c r="L185" s="11"/>
      <c r="M185" s="11"/>
      <c r="N185" s="11"/>
    </row>
    <row r="186" spans="1:21" x14ac:dyDescent="0.3">
      <c r="A186" t="str">
        <f t="shared" si="126"/>
        <v>24 Business, media and public service professionals</v>
      </c>
      <c r="B186" s="11">
        <v>296.36346384786555</v>
      </c>
      <c r="C186" s="11">
        <v>307.09588448592893</v>
      </c>
      <c r="D186" s="11">
        <f t="shared" si="127"/>
        <v>10.732420638063388</v>
      </c>
      <c r="E186" s="11">
        <v>124.72390107469778</v>
      </c>
      <c r="F186" s="11">
        <f t="shared" si="128"/>
        <v>135.45632171276117</v>
      </c>
      <c r="G186" s="200">
        <f t="shared" ref="G186:G207" si="130">IF(B186&gt;0,(1+(E186/B186))^(1/($C$6-$B$6))-1,0)</f>
        <v>2.3693242658912483E-2</v>
      </c>
      <c r="I186" s="11"/>
      <c r="J186" s="11"/>
      <c r="K186" s="11"/>
      <c r="L186" s="11"/>
      <c r="M186" s="11"/>
      <c r="N186" s="11"/>
    </row>
    <row r="187" spans="1:21" x14ac:dyDescent="0.3">
      <c r="A187" t="str">
        <f t="shared" si="126"/>
        <v>31 Science, engineering and technology associate professionals</v>
      </c>
      <c r="B187" s="11">
        <v>115.73831431100692</v>
      </c>
      <c r="C187" s="11">
        <v>67.744135410413747</v>
      </c>
      <c r="D187" s="11">
        <f t="shared" si="127"/>
        <v>-47.99417890059317</v>
      </c>
      <c r="E187" s="11">
        <v>28.37735852489277</v>
      </c>
      <c r="F187" s="11">
        <f t="shared" si="128"/>
        <v>-19.616820375700399</v>
      </c>
      <c r="G187" s="200">
        <f t="shared" si="130"/>
        <v>1.4726348350889484E-2</v>
      </c>
      <c r="I187" s="11"/>
      <c r="J187" s="11"/>
      <c r="K187" s="11"/>
      <c r="L187" s="11"/>
      <c r="M187" s="11"/>
      <c r="N187" s="11"/>
    </row>
    <row r="188" spans="1:21" x14ac:dyDescent="0.3">
      <c r="A188" t="str">
        <f t="shared" si="126"/>
        <v>32 Health and social care associate professionals</v>
      </c>
      <c r="B188" s="11">
        <v>120.87190538692816</v>
      </c>
      <c r="C188" s="11">
        <v>139.42981090700675</v>
      </c>
      <c r="D188" s="11">
        <f t="shared" si="127"/>
        <v>18.557905520078592</v>
      </c>
      <c r="E188" s="11">
        <v>73.852320765565096</v>
      </c>
      <c r="F188" s="11">
        <f t="shared" si="128"/>
        <v>92.410226285643688</v>
      </c>
      <c r="G188" s="200">
        <f t="shared" si="130"/>
        <v>3.2300904551264331E-2</v>
      </c>
      <c r="I188" s="11"/>
      <c r="J188" s="11"/>
      <c r="K188" s="11"/>
      <c r="L188" s="11"/>
      <c r="M188" s="11"/>
      <c r="N188" s="11"/>
    </row>
    <row r="189" spans="1:21" x14ac:dyDescent="0.3">
      <c r="A189" t="str">
        <f t="shared" si="126"/>
        <v>33 Protective service occupations</v>
      </c>
      <c r="B189" s="11">
        <v>73.040410392538305</v>
      </c>
      <c r="C189" s="11">
        <v>71.144894338774307</v>
      </c>
      <c r="D189" s="11">
        <f t="shared" si="127"/>
        <v>-1.8955160537639983</v>
      </c>
      <c r="E189" s="11">
        <v>18.809960836820871</v>
      </c>
      <c r="F189" s="11">
        <f t="shared" si="128"/>
        <v>16.914444783056872</v>
      </c>
      <c r="G189" s="200">
        <f t="shared" si="130"/>
        <v>1.539381591936384E-2</v>
      </c>
      <c r="I189" s="11"/>
      <c r="J189" s="11"/>
      <c r="K189" s="11"/>
      <c r="L189" s="11"/>
      <c r="M189" s="11"/>
      <c r="N189" s="11"/>
    </row>
    <row r="190" spans="1:21" x14ac:dyDescent="0.3">
      <c r="A190" t="str">
        <f t="shared" si="126"/>
        <v>34 Culture, media and sports occupations</v>
      </c>
      <c r="B190" s="11">
        <v>97.111336990024967</v>
      </c>
      <c r="C190" s="11">
        <v>80.718461131293552</v>
      </c>
      <c r="D190" s="11">
        <f t="shared" si="127"/>
        <v>-16.392875858731415</v>
      </c>
      <c r="E190" s="11">
        <v>31.563997141512449</v>
      </c>
      <c r="F190" s="11">
        <f t="shared" ref="F190:F191" si="131">SUM(D190:E190)</f>
        <v>15.171121282781034</v>
      </c>
      <c r="G190" s="200">
        <f t="shared" si="130"/>
        <v>1.8939405562830025E-2</v>
      </c>
      <c r="I190" s="11"/>
      <c r="J190" s="11"/>
      <c r="K190" s="11"/>
      <c r="L190" s="11"/>
      <c r="M190" s="11"/>
      <c r="N190" s="11"/>
    </row>
    <row r="191" spans="1:21" x14ac:dyDescent="0.3">
      <c r="A191" t="str">
        <f t="shared" si="126"/>
        <v>35 Business and public service associate professionals</v>
      </c>
      <c r="B191" s="11">
        <v>385.07591821267147</v>
      </c>
      <c r="C191" s="11">
        <v>314.89271619194915</v>
      </c>
      <c r="D191" s="11">
        <f t="shared" si="127"/>
        <v>-70.18320202072232</v>
      </c>
      <c r="E191" s="11">
        <v>140.64518860560779</v>
      </c>
      <c r="F191" s="11">
        <f t="shared" si="131"/>
        <v>70.461986584885466</v>
      </c>
      <c r="G191" s="200">
        <f t="shared" si="130"/>
        <v>2.0972247160442992E-2</v>
      </c>
      <c r="I191" s="11"/>
      <c r="J191" s="11"/>
      <c r="K191" s="11"/>
      <c r="L191" s="11"/>
      <c r="M191" s="11"/>
      <c r="N191" s="11"/>
    </row>
    <row r="192" spans="1:21" x14ac:dyDescent="0.3">
      <c r="A192" t="str">
        <f t="shared" si="126"/>
        <v>41 Administrative occupations</v>
      </c>
      <c r="B192" s="11">
        <v>631.24736003065959</v>
      </c>
      <c r="C192" s="11">
        <v>450.13716147211949</v>
      </c>
      <c r="D192" s="11">
        <f t="shared" si="127"/>
        <v>-181.11019855854011</v>
      </c>
      <c r="E192" s="11">
        <v>244.22905276819165</v>
      </c>
      <c r="F192" s="11">
        <f t="shared" ref="F192:F195" si="132">SUM(D192:E192)</f>
        <v>63.118854209651545</v>
      </c>
      <c r="G192" s="200">
        <f t="shared" si="130"/>
        <v>2.2044153723639104E-2</v>
      </c>
      <c r="I192" s="11"/>
      <c r="J192" s="11"/>
      <c r="K192" s="11"/>
      <c r="L192" s="11"/>
      <c r="M192" s="11"/>
      <c r="N192" s="11"/>
    </row>
    <row r="193" spans="1:14" x14ac:dyDescent="0.3">
      <c r="A193" t="str">
        <f t="shared" si="126"/>
        <v>42 Secretarial and related occupations</v>
      </c>
      <c r="B193" s="11">
        <v>126.59107156399101</v>
      </c>
      <c r="C193" s="11">
        <v>53.15740925014169</v>
      </c>
      <c r="D193" s="11">
        <f t="shared" si="127"/>
        <v>-73.433662313849311</v>
      </c>
      <c r="E193" s="11">
        <v>51.176003328916913</v>
      </c>
      <c r="F193" s="11">
        <f t="shared" si="132"/>
        <v>-22.257658984932398</v>
      </c>
      <c r="G193" s="200">
        <f t="shared" si="130"/>
        <v>2.2892238652093999E-2</v>
      </c>
      <c r="I193" s="11"/>
      <c r="J193" s="11"/>
      <c r="K193" s="11"/>
      <c r="L193" s="11"/>
      <c r="M193" s="11"/>
      <c r="N193" s="11"/>
    </row>
    <row r="194" spans="1:14" x14ac:dyDescent="0.3">
      <c r="A194" t="str">
        <f t="shared" si="126"/>
        <v>51 Skilled agricultural and related trades</v>
      </c>
      <c r="B194" s="11">
        <v>54.914722462399567</v>
      </c>
      <c r="C194" s="11">
        <v>52.294916573186981</v>
      </c>
      <c r="D194" s="11">
        <f t="shared" si="127"/>
        <v>-2.6198058892125857</v>
      </c>
      <c r="E194" s="11">
        <v>27.014204113405402</v>
      </c>
      <c r="F194" s="11">
        <f t="shared" si="132"/>
        <v>24.394398224192816</v>
      </c>
      <c r="G194" s="200">
        <f t="shared" si="130"/>
        <v>2.7030240588216348E-2</v>
      </c>
      <c r="I194" s="11"/>
      <c r="J194" s="11"/>
      <c r="K194" s="11"/>
      <c r="L194" s="11"/>
      <c r="M194" s="11"/>
      <c r="N194" s="11"/>
    </row>
    <row r="195" spans="1:14" x14ac:dyDescent="0.3">
      <c r="A195" t="str">
        <f t="shared" si="126"/>
        <v>52 Skilled metal, electrical and electronic trades</v>
      </c>
      <c r="B195" s="11">
        <v>455.51296583001016</v>
      </c>
      <c r="C195" s="11">
        <v>401.77320435381222</v>
      </c>
      <c r="D195" s="11">
        <f t="shared" si="127"/>
        <v>-53.739761476197941</v>
      </c>
      <c r="E195" s="11">
        <v>147.21238642477047</v>
      </c>
      <c r="F195" s="11">
        <f t="shared" si="132"/>
        <v>93.47262494857253</v>
      </c>
      <c r="G195" s="200">
        <f t="shared" si="130"/>
        <v>1.8844521234149703E-2</v>
      </c>
      <c r="I195" s="81"/>
      <c r="J195" s="72"/>
    </row>
    <row r="196" spans="1:14" x14ac:dyDescent="0.3">
      <c r="A196" t="str">
        <f t="shared" si="126"/>
        <v>53 Skilled construction and building trades</v>
      </c>
      <c r="B196" s="11">
        <v>307.28729715413556</v>
      </c>
      <c r="C196" s="11">
        <v>269.99563139447753</v>
      </c>
      <c r="D196" s="11">
        <f t="shared" si="127"/>
        <v>-37.291665759658031</v>
      </c>
      <c r="E196" s="11">
        <v>110.09588351339828</v>
      </c>
      <c r="F196" s="11">
        <f t="shared" ref="F196" si="133">SUM(D196:E196)</f>
        <v>72.804217753740247</v>
      </c>
      <c r="G196" s="200">
        <f t="shared" si="130"/>
        <v>2.0624577861836135E-2</v>
      </c>
    </row>
    <row r="197" spans="1:14" x14ac:dyDescent="0.3">
      <c r="A197" t="str">
        <f t="shared" si="126"/>
        <v>54 Textiles, printing and other skilled trades</v>
      </c>
      <c r="B197" s="11">
        <v>158.24189560615918</v>
      </c>
      <c r="C197" s="11">
        <v>166.39754241966955</v>
      </c>
      <c r="D197" s="11">
        <f t="shared" si="127"/>
        <v>8.1556468135103728</v>
      </c>
      <c r="E197" s="11">
        <v>67.136531662570974</v>
      </c>
      <c r="F197" s="11">
        <f t="shared" ref="F197" si="134">SUM(D197:E197)</f>
        <v>75.292178476081347</v>
      </c>
      <c r="G197" s="200">
        <f t="shared" si="130"/>
        <v>2.3857205783936575E-2</v>
      </c>
    </row>
    <row r="198" spans="1:14" x14ac:dyDescent="0.3">
      <c r="A198" t="str">
        <f t="shared" si="126"/>
        <v>61 Caring personal service occupations</v>
      </c>
      <c r="B198" s="11">
        <v>841.74418338678629</v>
      </c>
      <c r="C198" s="11">
        <v>1078.7589347620749</v>
      </c>
      <c r="D198" s="11">
        <f>C198-B198</f>
        <v>237.0147513752886</v>
      </c>
      <c r="E198" s="11">
        <v>543.8357619815489</v>
      </c>
      <c r="F198" s="11">
        <f>SUM(D198:E198)</f>
        <v>780.8505133568375</v>
      </c>
      <c r="G198" s="200">
        <f t="shared" si="130"/>
        <v>3.3784693637721075E-2</v>
      </c>
    </row>
    <row r="199" spans="1:14" x14ac:dyDescent="0.3">
      <c r="A199" t="str">
        <f t="shared" si="126"/>
        <v>62 Leisure, travel and related personal service occupations</v>
      </c>
      <c r="B199" s="11">
        <v>177.47407626127284</v>
      </c>
      <c r="C199" s="11">
        <v>159.41041876496561</v>
      </c>
      <c r="D199" s="11">
        <f t="shared" ref="D199:D205" si="135">C199-B199</f>
        <v>-18.063657496307229</v>
      </c>
      <c r="E199" s="11">
        <v>75.836430942240241</v>
      </c>
      <c r="F199" s="11">
        <f t="shared" ref="F199:F200" si="136">SUM(D199:E199)</f>
        <v>57.772773445933012</v>
      </c>
      <c r="G199" s="200">
        <f t="shared" si="130"/>
        <v>2.4002975689067396E-2</v>
      </c>
    </row>
    <row r="200" spans="1:14" x14ac:dyDescent="0.3">
      <c r="A200" t="str">
        <f t="shared" si="126"/>
        <v>63 Community and civil enforcement occupations</v>
      </c>
      <c r="B200" s="11">
        <v>6.1924812283933264</v>
      </c>
      <c r="C200" s="11">
        <v>3.9759299764468121</v>
      </c>
      <c r="D200" s="11">
        <f t="shared" si="135"/>
        <v>-2.2165512519465143</v>
      </c>
      <c r="E200" s="11">
        <v>1.5114105307217813</v>
      </c>
      <c r="F200" s="11">
        <f t="shared" si="136"/>
        <v>-0.70514072122473292</v>
      </c>
      <c r="G200" s="200">
        <f t="shared" si="130"/>
        <v>1.4665821343939678E-2</v>
      </c>
    </row>
    <row r="201" spans="1:14" x14ac:dyDescent="0.3">
      <c r="A201" t="str">
        <f t="shared" si="126"/>
        <v>71 Sales occupations</v>
      </c>
      <c r="B201" s="11">
        <v>574.44706606312695</v>
      </c>
      <c r="C201" s="11">
        <v>549.42487934563746</v>
      </c>
      <c r="D201" s="11">
        <f t="shared" si="135"/>
        <v>-25.02218671748949</v>
      </c>
      <c r="E201" s="11">
        <v>249.26356318929413</v>
      </c>
      <c r="F201" s="11">
        <f t="shared" ref="F201:F202" si="137">SUM(D201:E201)</f>
        <v>224.24137647180464</v>
      </c>
      <c r="G201" s="200">
        <f t="shared" si="130"/>
        <v>2.4318406790830638E-2</v>
      </c>
    </row>
    <row r="202" spans="1:14" x14ac:dyDescent="0.3">
      <c r="A202" t="str">
        <f t="shared" si="126"/>
        <v>72 Customer service occupations</v>
      </c>
      <c r="B202" s="11">
        <v>146.12673565538</v>
      </c>
      <c r="C202" s="11">
        <v>199.39251337513056</v>
      </c>
      <c r="D202" s="11">
        <f t="shared" si="135"/>
        <v>53.26577771975056</v>
      </c>
      <c r="E202" s="11">
        <v>78.504074040067252</v>
      </c>
      <c r="F202" s="11">
        <f t="shared" si="137"/>
        <v>131.76985175981781</v>
      </c>
      <c r="G202" s="200">
        <f t="shared" si="130"/>
        <v>2.9080406345027177E-2</v>
      </c>
    </row>
    <row r="203" spans="1:14" x14ac:dyDescent="0.3">
      <c r="A203" t="str">
        <f t="shared" si="126"/>
        <v>81 Process, plant and machine operatives</v>
      </c>
      <c r="B203" s="11">
        <v>186.56744062341284</v>
      </c>
      <c r="C203" s="11">
        <v>274.20808753736151</v>
      </c>
      <c r="D203" s="11">
        <f t="shared" si="135"/>
        <v>87.640646913948672</v>
      </c>
      <c r="E203" s="11">
        <v>90.996492998409423</v>
      </c>
      <c r="F203" s="11">
        <f t="shared" ref="F203:F204" si="138">SUM(D203:E203)</f>
        <v>178.63713991235809</v>
      </c>
      <c r="G203" s="200">
        <f t="shared" si="130"/>
        <v>2.6837715893019753E-2</v>
      </c>
    </row>
    <row r="204" spans="1:14" x14ac:dyDescent="0.3">
      <c r="A204" t="str">
        <f t="shared" si="126"/>
        <v>82 Transport and mobile machine drivers and operatives</v>
      </c>
      <c r="B204" s="11">
        <v>241.0745869455327</v>
      </c>
      <c r="C204" s="11">
        <v>290.77016014650451</v>
      </c>
      <c r="D204" s="11">
        <f t="shared" si="135"/>
        <v>49.695573200971808</v>
      </c>
      <c r="E204" s="11">
        <v>136.99086787957953</v>
      </c>
      <c r="F204" s="11">
        <f t="shared" si="138"/>
        <v>186.68644108055133</v>
      </c>
      <c r="G204" s="200">
        <f t="shared" si="130"/>
        <v>3.0451852476117036E-2</v>
      </c>
    </row>
    <row r="205" spans="1:14" x14ac:dyDescent="0.3">
      <c r="A205" t="str">
        <f t="shared" si="126"/>
        <v>91 Elementary trades and related occupations</v>
      </c>
      <c r="B205" s="11">
        <v>73.189875524773967</v>
      </c>
      <c r="C205" s="11">
        <v>76.413337410285862</v>
      </c>
      <c r="D205" s="11">
        <f t="shared" si="135"/>
        <v>3.2234618855118953</v>
      </c>
      <c r="E205" s="11">
        <v>25.273926232443699</v>
      </c>
      <c r="F205" s="11">
        <f t="shared" ref="F205" si="139">SUM(D205:E205)</f>
        <v>28.497388117955595</v>
      </c>
      <c r="G205" s="200">
        <f t="shared" si="130"/>
        <v>1.9972288842615038E-2</v>
      </c>
    </row>
    <row r="206" spans="1:14" x14ac:dyDescent="0.3">
      <c r="A206" t="str">
        <f t="shared" si="126"/>
        <v>92 Elementary administration and service occupations</v>
      </c>
      <c r="B206" s="11">
        <v>548.22518940471411</v>
      </c>
      <c r="C206" s="11">
        <v>526.78442597397327</v>
      </c>
      <c r="D206" s="11">
        <f t="shared" ref="D206" si="140">C206-B206</f>
        <v>-21.440763430740844</v>
      </c>
      <c r="E206" s="11">
        <v>262.90582157979003</v>
      </c>
      <c r="F206" s="11">
        <f t="shared" ref="F206" si="141">SUM(D206:E206)</f>
        <v>241.46505814904918</v>
      </c>
      <c r="G206" s="200">
        <f t="shared" ref="G206" si="142">IF(B206&gt;0,(1+(E206/B206))^(1/($C$6-$B$6))-1,0)</f>
        <v>2.6460247116031121E-2</v>
      </c>
    </row>
    <row r="207" spans="1:14" x14ac:dyDescent="0.3">
      <c r="A207" t="str">
        <f t="shared" si="126"/>
        <v>All occupations</v>
      </c>
      <c r="B207" s="11">
        <f>SUM(B181:B206)</f>
        <v>6743.1586895525579</v>
      </c>
      <c r="C207" s="11">
        <f t="shared" ref="C207:F207" si="143">SUM(C181:C206)</f>
        <v>6618.9940357599153</v>
      </c>
      <c r="D207" s="11">
        <f t="shared" si="143"/>
        <v>-124.16465379264379</v>
      </c>
      <c r="E207" s="11">
        <f t="shared" si="143"/>
        <v>2995.507291476707</v>
      </c>
      <c r="F207" s="11">
        <f t="shared" si="143"/>
        <v>2871.3426376840639</v>
      </c>
      <c r="G207" s="200">
        <f t="shared" si="130"/>
        <v>2.4807761720475385E-2</v>
      </c>
    </row>
    <row r="209" spans="1:7" ht="24.9" x14ac:dyDescent="0.3">
      <c r="A209" s="201" t="str">
        <f>CONCATENATE(name!F10," (Constrained)")</f>
        <v>RQF2 GCSE(A-C) &amp; equivalent (Constrained)</v>
      </c>
      <c r="B209" s="74">
        <f t="shared" ref="B209:G209" si="144">B122</f>
        <v>2020</v>
      </c>
      <c r="C209" s="74">
        <f t="shared" si="144"/>
        <v>2035</v>
      </c>
      <c r="D209" s="87" t="str">
        <f t="shared" si="144"/>
        <v>Net Change</v>
      </c>
      <c r="E209" s="87" t="str">
        <f t="shared" si="144"/>
        <v>Replacement Demand level</v>
      </c>
      <c r="F209" s="87" t="str">
        <f t="shared" si="144"/>
        <v>Total Requirement</v>
      </c>
      <c r="G209" s="87" t="str">
        <f t="shared" si="144"/>
        <v>Replacement Demand rate</v>
      </c>
    </row>
    <row r="210" spans="1:7" x14ac:dyDescent="0.3">
      <c r="A210" t="str">
        <f t="shared" ref="A210:A236" si="145">A123</f>
        <v>11 Corporate managers and directors</v>
      </c>
      <c r="B210" s="11">
        <v>328.68418195709381</v>
      </c>
      <c r="C210" s="11">
        <v>205.40561553034919</v>
      </c>
      <c r="D210" s="11">
        <f>C210-B210</f>
        <v>-123.27856642674462</v>
      </c>
      <c r="E210" s="11">
        <v>113.91277093476374</v>
      </c>
      <c r="F210" s="11">
        <f>SUM(D210:E210)</f>
        <v>-9.3657954919808759</v>
      </c>
      <c r="G210" s="200">
        <f>IF(B210&gt;0,(1+(E210/B210))^(1/($C$6-$B$6))-1,0)</f>
        <v>2.0035549463163882E-2</v>
      </c>
    </row>
    <row r="211" spans="1:7" x14ac:dyDescent="0.3">
      <c r="A211" t="str">
        <f t="shared" si="145"/>
        <v>12 Other managers and proprietors</v>
      </c>
      <c r="B211" s="11">
        <v>190.88542933797575</v>
      </c>
      <c r="C211" s="11">
        <v>196.99008293081164</v>
      </c>
      <c r="D211" s="11">
        <f t="shared" ref="D211:D226" si="146">C211-B211</f>
        <v>6.1046535928358878</v>
      </c>
      <c r="E211" s="11">
        <v>111.2991673813565</v>
      </c>
      <c r="F211" s="11">
        <f t="shared" ref="F211:F218" si="147">SUM(D211:E211)</f>
        <v>117.40382097419239</v>
      </c>
      <c r="G211" s="200">
        <f t="shared" ref="G211:G213" si="148">IF(B211&gt;0,(1+(E211/B211))^(1/($C$6-$B$6))-1,0)</f>
        <v>3.1098059695655156E-2</v>
      </c>
    </row>
    <row r="212" spans="1:7" x14ac:dyDescent="0.3">
      <c r="A212" t="str">
        <f t="shared" si="145"/>
        <v>21 Science, research, engineering and technology professionals</v>
      </c>
      <c r="B212" s="11">
        <v>180.79173700826033</v>
      </c>
      <c r="C212" s="11">
        <v>139.53008202386772</v>
      </c>
      <c r="D212" s="11">
        <f t="shared" si="146"/>
        <v>-41.261654984392607</v>
      </c>
      <c r="E212" s="11">
        <v>53.273162095998529</v>
      </c>
      <c r="F212" s="11">
        <f t="shared" si="147"/>
        <v>12.011507111605923</v>
      </c>
      <c r="G212" s="200">
        <f t="shared" si="148"/>
        <v>1.7365909388165512E-2</v>
      </c>
    </row>
    <row r="213" spans="1:7" x14ac:dyDescent="0.3">
      <c r="A213" t="str">
        <f t="shared" si="145"/>
        <v>22 Health professionals</v>
      </c>
      <c r="B213" s="11">
        <v>109.87875362127042</v>
      </c>
      <c r="C213" s="11">
        <v>84.321993718361782</v>
      </c>
      <c r="D213" s="11">
        <f t="shared" si="146"/>
        <v>-25.556759902908638</v>
      </c>
      <c r="E213" s="11">
        <v>48.254466324043285</v>
      </c>
      <c r="F213" s="11">
        <f t="shared" si="147"/>
        <v>22.697706421134647</v>
      </c>
      <c r="G213" s="200">
        <f t="shared" si="148"/>
        <v>2.4567618783985168E-2</v>
      </c>
    </row>
    <row r="214" spans="1:7" x14ac:dyDescent="0.3">
      <c r="A214" t="str">
        <f t="shared" si="145"/>
        <v>23 Teaching and other educational professionals</v>
      </c>
      <c r="B214" s="11">
        <v>53.391490821091018</v>
      </c>
      <c r="C214" s="11">
        <v>43.616129676309377</v>
      </c>
      <c r="D214" s="11">
        <f t="shared" si="146"/>
        <v>-9.7753611447816411</v>
      </c>
      <c r="E214" s="11">
        <v>22.549671570573281</v>
      </c>
      <c r="F214" s="11">
        <f t="shared" si="147"/>
        <v>12.77431042579164</v>
      </c>
      <c r="G214" s="200">
        <f>IF(B214&gt;0,(1+(E214/B214))^(1/($C$6-$B$6))-1,0)</f>
        <v>2.3765160708036692E-2</v>
      </c>
    </row>
    <row r="215" spans="1:7" x14ac:dyDescent="0.3">
      <c r="A215" t="str">
        <f t="shared" si="145"/>
        <v>24 Business, media and public service professionals</v>
      </c>
      <c r="B215" s="11">
        <v>192.88112889641317</v>
      </c>
      <c r="C215" s="11">
        <v>147.4681800635324</v>
      </c>
      <c r="D215" s="11">
        <f t="shared" si="146"/>
        <v>-45.412948832880772</v>
      </c>
      <c r="E215" s="11">
        <v>69.438119056737577</v>
      </c>
      <c r="F215" s="11">
        <f t="shared" si="147"/>
        <v>24.025170223856804</v>
      </c>
      <c r="G215" s="200">
        <f t="shared" ref="G215:G236" si="149">IF(B215&gt;0,(1+(E215/B215))^(1/($C$6-$B$6))-1,0)</f>
        <v>2.0710763849776548E-2</v>
      </c>
    </row>
    <row r="216" spans="1:7" x14ac:dyDescent="0.3">
      <c r="A216" t="str">
        <f t="shared" si="145"/>
        <v>31 Science, engineering and technology associate professionals</v>
      </c>
      <c r="B216" s="11">
        <v>88.300927671721411</v>
      </c>
      <c r="C216" s="11">
        <v>63.013767018728792</v>
      </c>
      <c r="D216" s="11">
        <f t="shared" si="146"/>
        <v>-25.287160652992618</v>
      </c>
      <c r="E216" s="11">
        <v>26.002353908368285</v>
      </c>
      <c r="F216" s="11">
        <f t="shared" si="147"/>
        <v>0.71519325537566658</v>
      </c>
      <c r="G216" s="200">
        <f t="shared" si="149"/>
        <v>1.7355870626009962E-2</v>
      </c>
    </row>
    <row r="217" spans="1:7" x14ac:dyDescent="0.3">
      <c r="A217" t="str">
        <f t="shared" si="145"/>
        <v>32 Health and social care associate professionals</v>
      </c>
      <c r="B217" s="11">
        <v>85.784254614830402</v>
      </c>
      <c r="C217" s="11">
        <v>62.425282441744741</v>
      </c>
      <c r="D217" s="11">
        <f t="shared" si="146"/>
        <v>-23.358972173085661</v>
      </c>
      <c r="E217" s="11">
        <v>38.577285428231939</v>
      </c>
      <c r="F217" s="11">
        <f t="shared" si="147"/>
        <v>15.218313255146278</v>
      </c>
      <c r="G217" s="200">
        <f t="shared" si="149"/>
        <v>2.5066169507508063E-2</v>
      </c>
    </row>
    <row r="218" spans="1:7" x14ac:dyDescent="0.3">
      <c r="A218" t="str">
        <f t="shared" si="145"/>
        <v>33 Protective service occupations</v>
      </c>
      <c r="B218" s="11">
        <v>81.193211948670751</v>
      </c>
      <c r="C218" s="11">
        <v>67.676100070013064</v>
      </c>
      <c r="D218" s="11">
        <f t="shared" si="146"/>
        <v>-13.517111878657687</v>
      </c>
      <c r="E218" s="11">
        <v>22.973852845792461</v>
      </c>
      <c r="F218" s="11">
        <f t="shared" si="147"/>
        <v>9.456740967134774</v>
      </c>
      <c r="G218" s="200">
        <f t="shared" si="149"/>
        <v>1.6749686059367663E-2</v>
      </c>
    </row>
    <row r="219" spans="1:7" x14ac:dyDescent="0.3">
      <c r="A219" t="str">
        <f t="shared" si="145"/>
        <v>34 Culture, media and sports occupations</v>
      </c>
      <c r="B219" s="11">
        <v>44.516962261696804</v>
      </c>
      <c r="C219" s="11">
        <v>19.849799337936261</v>
      </c>
      <c r="D219" s="11">
        <f t="shared" si="146"/>
        <v>-24.667162923760543</v>
      </c>
      <c r="E219" s="11">
        <v>10.8456922878293</v>
      </c>
      <c r="F219" s="11">
        <f t="shared" ref="F219:F220" si="150">SUM(D219:E219)</f>
        <v>-13.821470635931243</v>
      </c>
      <c r="G219" s="200">
        <f t="shared" si="149"/>
        <v>1.4641821159914414E-2</v>
      </c>
    </row>
    <row r="220" spans="1:7" x14ac:dyDescent="0.3">
      <c r="A220" t="str">
        <f t="shared" si="145"/>
        <v>35 Business and public service associate professionals</v>
      </c>
      <c r="B220" s="11">
        <v>297.14599551779679</v>
      </c>
      <c r="C220" s="11">
        <v>193.29384335643269</v>
      </c>
      <c r="D220" s="11">
        <f t="shared" si="146"/>
        <v>-103.8521521613641</v>
      </c>
      <c r="E220" s="11">
        <v>92.115690550370203</v>
      </c>
      <c r="F220" s="11">
        <f t="shared" si="150"/>
        <v>-11.736461610993899</v>
      </c>
      <c r="G220" s="200">
        <f t="shared" si="149"/>
        <v>1.8164893718222164E-2</v>
      </c>
    </row>
    <row r="221" spans="1:7" x14ac:dyDescent="0.3">
      <c r="A221" t="str">
        <f t="shared" si="145"/>
        <v>41 Administrative occupations</v>
      </c>
      <c r="B221" s="11">
        <v>666.75065850594444</v>
      </c>
      <c r="C221" s="11">
        <v>363.70515106407976</v>
      </c>
      <c r="D221" s="11">
        <f t="shared" si="146"/>
        <v>-303.04550744186469</v>
      </c>
      <c r="E221" s="11">
        <v>211.65806744884398</v>
      </c>
      <c r="F221" s="11">
        <f t="shared" ref="F221:F224" si="151">SUM(D221:E221)</f>
        <v>-91.387439993020706</v>
      </c>
      <c r="G221" s="200">
        <f t="shared" si="149"/>
        <v>1.8549670309458755E-2</v>
      </c>
    </row>
    <row r="222" spans="1:7" x14ac:dyDescent="0.3">
      <c r="A222" t="str">
        <f t="shared" si="145"/>
        <v>42 Secretarial and related occupations</v>
      </c>
      <c r="B222" s="11">
        <v>140.72583909365238</v>
      </c>
      <c r="C222" s="11">
        <v>30.333315298205704</v>
      </c>
      <c r="D222" s="11">
        <f t="shared" si="146"/>
        <v>-110.39252379544668</v>
      </c>
      <c r="E222" s="11">
        <v>39.301982528386006</v>
      </c>
      <c r="F222" s="11">
        <f t="shared" si="151"/>
        <v>-71.090541267060672</v>
      </c>
      <c r="G222" s="200">
        <f t="shared" si="149"/>
        <v>1.6555400640303253E-2</v>
      </c>
    </row>
    <row r="223" spans="1:7" x14ac:dyDescent="0.3">
      <c r="A223" t="str">
        <f t="shared" si="145"/>
        <v>51 Skilled agricultural and related trades</v>
      </c>
      <c r="B223" s="11">
        <v>83.126834163824014</v>
      </c>
      <c r="C223" s="11">
        <v>76.425618986209813</v>
      </c>
      <c r="D223" s="11">
        <f t="shared" si="146"/>
        <v>-6.7012151776142019</v>
      </c>
      <c r="E223" s="11">
        <v>41.963562351497742</v>
      </c>
      <c r="F223" s="11">
        <f t="shared" si="151"/>
        <v>35.262347173883541</v>
      </c>
      <c r="G223" s="200">
        <f t="shared" si="149"/>
        <v>2.7619133432238652E-2</v>
      </c>
    </row>
    <row r="224" spans="1:7" x14ac:dyDescent="0.3">
      <c r="A224" t="str">
        <f t="shared" si="145"/>
        <v>52 Skilled metal, electrical and electronic trades</v>
      </c>
      <c r="B224" s="11">
        <v>261.16143278544183</v>
      </c>
      <c r="C224" s="11">
        <v>192.81148865232365</v>
      </c>
      <c r="D224" s="11">
        <f t="shared" si="146"/>
        <v>-68.349944133118186</v>
      </c>
      <c r="E224" s="11">
        <v>81.917736224362358</v>
      </c>
      <c r="F224" s="11">
        <f t="shared" si="151"/>
        <v>13.567792091244172</v>
      </c>
      <c r="G224" s="200">
        <f t="shared" si="149"/>
        <v>1.8354578846474956E-2</v>
      </c>
    </row>
    <row r="225" spans="1:7" x14ac:dyDescent="0.3">
      <c r="A225" t="str">
        <f t="shared" si="145"/>
        <v>53 Skilled construction and building trades</v>
      </c>
      <c r="B225" s="11">
        <v>288.22181670821118</v>
      </c>
      <c r="C225" s="11">
        <v>306.55420753890178</v>
      </c>
      <c r="D225" s="11">
        <f t="shared" si="146"/>
        <v>18.332390830690599</v>
      </c>
      <c r="E225" s="11">
        <v>135.42023529461051</v>
      </c>
      <c r="F225" s="11">
        <f t="shared" ref="F225" si="152">SUM(D225:E225)</f>
        <v>153.75262612530111</v>
      </c>
      <c r="G225" s="200">
        <f t="shared" si="149"/>
        <v>2.6009733358435927E-2</v>
      </c>
    </row>
    <row r="226" spans="1:7" x14ac:dyDescent="0.3">
      <c r="A226" t="str">
        <f t="shared" si="145"/>
        <v>54 Textiles, printing and other skilled trades</v>
      </c>
      <c r="B226" s="11">
        <v>153.74958919618791</v>
      </c>
      <c r="C226" s="11">
        <v>111.67401458780267</v>
      </c>
      <c r="D226" s="11">
        <f t="shared" si="146"/>
        <v>-42.075574608385239</v>
      </c>
      <c r="E226" s="11">
        <v>49.202659459103891</v>
      </c>
      <c r="F226" s="11">
        <f t="shared" ref="F226" si="153">SUM(D226:E226)</f>
        <v>7.1270848507186528</v>
      </c>
      <c r="G226" s="200">
        <f t="shared" si="149"/>
        <v>1.8682065542027448E-2</v>
      </c>
    </row>
    <row r="227" spans="1:7" x14ac:dyDescent="0.3">
      <c r="A227" t="str">
        <f t="shared" si="145"/>
        <v>61 Caring personal service occupations</v>
      </c>
      <c r="B227" s="11">
        <v>573.12976595102077</v>
      </c>
      <c r="C227" s="11">
        <v>456.09331987574831</v>
      </c>
      <c r="D227" s="11">
        <f>C227-B227</f>
        <v>-117.03644607527247</v>
      </c>
      <c r="E227" s="11">
        <v>262.25816125903259</v>
      </c>
      <c r="F227" s="11">
        <f>SUM(D227:E227)</f>
        <v>145.22171518376013</v>
      </c>
      <c r="G227" s="200">
        <f t="shared" si="149"/>
        <v>2.54370747752799E-2</v>
      </c>
    </row>
    <row r="228" spans="1:7" x14ac:dyDescent="0.3">
      <c r="A228" t="str">
        <f t="shared" si="145"/>
        <v>62 Leisure, travel and related personal service occupations</v>
      </c>
      <c r="B228" s="11">
        <v>172.42305690095881</v>
      </c>
      <c r="C228" s="11">
        <v>120.37998625794948</v>
      </c>
      <c r="D228" s="11">
        <f t="shared" ref="D228:D234" si="154">C228-B228</f>
        <v>-52.04307064300933</v>
      </c>
      <c r="E228" s="11">
        <v>67.265220646497667</v>
      </c>
      <c r="F228" s="11">
        <f t="shared" ref="F228:F229" si="155">SUM(D228:E228)</f>
        <v>15.222150003488338</v>
      </c>
      <c r="G228" s="200">
        <f t="shared" si="149"/>
        <v>2.2202087693582895E-2</v>
      </c>
    </row>
    <row r="229" spans="1:7" x14ac:dyDescent="0.3">
      <c r="A229" t="str">
        <f t="shared" si="145"/>
        <v>63 Community and civil enforcement occupations</v>
      </c>
      <c r="B229" s="11">
        <v>9.1376746765425096</v>
      </c>
      <c r="C229" s="11">
        <v>6.248117385242967</v>
      </c>
      <c r="D229" s="11">
        <f t="shared" si="154"/>
        <v>-2.8895572912995426</v>
      </c>
      <c r="E229" s="11">
        <v>2.8038036339602104</v>
      </c>
      <c r="F229" s="11">
        <f t="shared" si="155"/>
        <v>-8.5753657339332268E-2</v>
      </c>
      <c r="G229" s="200">
        <f t="shared" si="149"/>
        <v>1.8000895747708467E-2</v>
      </c>
    </row>
    <row r="230" spans="1:7" x14ac:dyDescent="0.3">
      <c r="A230" t="str">
        <f t="shared" si="145"/>
        <v>71 Sales occupations</v>
      </c>
      <c r="B230" s="11">
        <v>528.54992747328993</v>
      </c>
      <c r="C230" s="11">
        <v>353.45267709019294</v>
      </c>
      <c r="D230" s="11">
        <f t="shared" si="154"/>
        <v>-175.09725038309699</v>
      </c>
      <c r="E230" s="11">
        <v>198.58187613631156</v>
      </c>
      <c r="F230" s="11">
        <f t="shared" ref="F230:F231" si="156">SUM(D230:E230)</f>
        <v>23.484625753214573</v>
      </c>
      <c r="G230" s="200">
        <f t="shared" si="149"/>
        <v>2.1492404080793781E-2</v>
      </c>
    </row>
    <row r="231" spans="1:7" x14ac:dyDescent="0.3">
      <c r="A231" t="str">
        <f t="shared" si="145"/>
        <v>72 Customer service occupations</v>
      </c>
      <c r="B231" s="11">
        <v>145.03077250591303</v>
      </c>
      <c r="C231" s="11">
        <v>161.25763417821315</v>
      </c>
      <c r="D231" s="11">
        <f t="shared" si="154"/>
        <v>16.226861672300117</v>
      </c>
      <c r="E231" s="11">
        <v>77.425833508602281</v>
      </c>
      <c r="F231" s="11">
        <f t="shared" si="156"/>
        <v>93.652695180902398</v>
      </c>
      <c r="G231" s="200">
        <f t="shared" si="149"/>
        <v>2.8929636406959336E-2</v>
      </c>
    </row>
    <row r="232" spans="1:7" x14ac:dyDescent="0.3">
      <c r="A232" t="str">
        <f t="shared" si="145"/>
        <v>81 Process, plant and machine operatives</v>
      </c>
      <c r="B232" s="11">
        <v>235.04556940926216</v>
      </c>
      <c r="C232" s="11">
        <v>285.24856569821628</v>
      </c>
      <c r="D232" s="11">
        <f t="shared" si="154"/>
        <v>50.202996288954125</v>
      </c>
      <c r="E232" s="11">
        <v>113.09989561308682</v>
      </c>
      <c r="F232" s="11">
        <f t="shared" ref="F232:F233" si="157">SUM(D232:E232)</f>
        <v>163.30289190204093</v>
      </c>
      <c r="G232" s="200">
        <f t="shared" si="149"/>
        <v>2.6535355013559858E-2</v>
      </c>
    </row>
    <row r="233" spans="1:7" x14ac:dyDescent="0.3">
      <c r="A233" t="str">
        <f t="shared" si="145"/>
        <v>82 Transport and mobile machine drivers and operatives</v>
      </c>
      <c r="B233" s="11">
        <v>345.84926207895973</v>
      </c>
      <c r="C233" s="11">
        <v>373.30137231375301</v>
      </c>
      <c r="D233" s="11">
        <f t="shared" si="154"/>
        <v>27.452110234793281</v>
      </c>
      <c r="E233" s="11">
        <v>200.42090758168391</v>
      </c>
      <c r="F233" s="11">
        <f t="shared" si="157"/>
        <v>227.87301781647719</v>
      </c>
      <c r="G233" s="200">
        <f t="shared" si="149"/>
        <v>3.0943129730073737E-2</v>
      </c>
    </row>
    <row r="234" spans="1:7" x14ac:dyDescent="0.3">
      <c r="A234" t="str">
        <f t="shared" si="145"/>
        <v>91 Elementary trades and related occupations</v>
      </c>
      <c r="B234" s="11">
        <v>118.71429608159103</v>
      </c>
      <c r="C234" s="11">
        <v>91.150911735598029</v>
      </c>
      <c r="D234" s="11">
        <f t="shared" si="154"/>
        <v>-27.563384345993001</v>
      </c>
      <c r="E234" s="11">
        <v>36.374662022323555</v>
      </c>
      <c r="F234" s="11">
        <f t="shared" ref="F234" si="158">SUM(D234:E234)</f>
        <v>8.8112776763305547</v>
      </c>
      <c r="G234" s="200">
        <f t="shared" si="149"/>
        <v>1.7978308041319169E-2</v>
      </c>
    </row>
    <row r="235" spans="1:7" x14ac:dyDescent="0.3">
      <c r="A235" t="str">
        <f t="shared" si="145"/>
        <v>92 Elementary administration and service occupations</v>
      </c>
      <c r="B235" s="11">
        <v>873.67415160818553</v>
      </c>
      <c r="C235" s="11">
        <v>777.13707301421641</v>
      </c>
      <c r="D235" s="11">
        <f t="shared" ref="D235" si="159">C235-B235</f>
        <v>-96.537078593969113</v>
      </c>
      <c r="E235" s="11">
        <v>403.32628740257837</v>
      </c>
      <c r="F235" s="11">
        <f t="shared" ref="F235" si="160">SUM(D235:E235)</f>
        <v>306.78920880860926</v>
      </c>
      <c r="G235" s="200">
        <f t="shared" ref="G235" si="161">IF(B235&gt;0,(1+(E235/B235))^(1/($C$6-$B$6))-1,0)</f>
        <v>2.5626981166836593E-2</v>
      </c>
    </row>
    <row r="236" spans="1:7" x14ac:dyDescent="0.3">
      <c r="A236" t="str">
        <f t="shared" si="145"/>
        <v>All occupations</v>
      </c>
      <c r="B236" s="11">
        <f>SUM(B210:B235)</f>
        <v>6248.7447207958057</v>
      </c>
      <c r="C236" s="11">
        <f t="shared" ref="C236:F236" si="162">SUM(C210:C235)</f>
        <v>4929.3643298447405</v>
      </c>
      <c r="D236" s="11">
        <f t="shared" si="162"/>
        <v>-1319.3803909510643</v>
      </c>
      <c r="E236" s="11">
        <f t="shared" si="162"/>
        <v>2530.2631234949467</v>
      </c>
      <c r="F236" s="11">
        <f t="shared" si="162"/>
        <v>1210.882732543882</v>
      </c>
      <c r="G236" s="200">
        <f t="shared" si="149"/>
        <v>2.2924334627419496E-2</v>
      </c>
    </row>
    <row r="238" spans="1:7" ht="24.9" x14ac:dyDescent="0.3">
      <c r="A238" s="201" t="str">
        <f>CONCATENATE(name!F11," (Constrained)")</f>
        <v>RQF1 GCSE(below grade C) &amp; equivalent (Constrained)</v>
      </c>
      <c r="B238" s="74">
        <f t="shared" ref="B238:G238" si="163">B151</f>
        <v>2020</v>
      </c>
      <c r="C238" s="74">
        <f t="shared" si="163"/>
        <v>2035</v>
      </c>
      <c r="D238" s="87" t="str">
        <f t="shared" si="163"/>
        <v>Net Change</v>
      </c>
      <c r="E238" s="87" t="str">
        <f t="shared" si="163"/>
        <v>Replacement Demand level</v>
      </c>
      <c r="F238" s="87" t="str">
        <f t="shared" si="163"/>
        <v>Total Requirement</v>
      </c>
      <c r="G238" s="87" t="str">
        <f t="shared" si="163"/>
        <v>Replacement Demand rate</v>
      </c>
    </row>
    <row r="239" spans="1:7" x14ac:dyDescent="0.3">
      <c r="A239" t="str">
        <f t="shared" ref="A239:A265" si="164">A152</f>
        <v>11 Corporate managers and directors</v>
      </c>
      <c r="B239" s="11">
        <v>230.56296247997116</v>
      </c>
      <c r="C239" s="11">
        <v>151.65976484484369</v>
      </c>
      <c r="D239" s="11">
        <f>C239-B239</f>
        <v>-78.903197635127469</v>
      </c>
      <c r="E239" s="11">
        <v>80.580207599836925</v>
      </c>
      <c r="F239" s="11">
        <f>SUM(D239:E239)</f>
        <v>1.6770099647094554</v>
      </c>
      <c r="G239" s="200">
        <f>IF(B239&gt;0,(1+(E239/B239))^(1/($C$6-$B$6))-1,0)</f>
        <v>2.0182920727957798E-2</v>
      </c>
    </row>
    <row r="240" spans="1:7" x14ac:dyDescent="0.3">
      <c r="A240" t="str">
        <f t="shared" si="164"/>
        <v>12 Other managers and proprietors</v>
      </c>
      <c r="B240" s="11">
        <v>123.23442880946008</v>
      </c>
      <c r="C240" s="11">
        <v>99.493510343916498</v>
      </c>
      <c r="D240" s="11">
        <f t="shared" ref="D240:D255" si="165">C240-B240</f>
        <v>-23.740918465543587</v>
      </c>
      <c r="E240" s="11">
        <v>55.207090386822799</v>
      </c>
      <c r="F240" s="11">
        <f t="shared" ref="F240:F247" si="166">SUM(D240:E240)</f>
        <v>31.466171921279212</v>
      </c>
      <c r="G240" s="200">
        <f t="shared" ref="G240:G242" si="167">IF(B240&gt;0,(1+(E240/B240))^(1/($C$6-$B$6))-1,0)</f>
        <v>2.4985190117884359E-2</v>
      </c>
    </row>
    <row r="241" spans="1:7" x14ac:dyDescent="0.3">
      <c r="A241" t="str">
        <f t="shared" si="164"/>
        <v>21 Science, research, engineering and technology professionals</v>
      </c>
      <c r="B241" s="11">
        <v>107.48401557761045</v>
      </c>
      <c r="C241" s="11">
        <v>67.802661658583304</v>
      </c>
      <c r="D241" s="11">
        <f t="shared" si="165"/>
        <v>-39.681353919027146</v>
      </c>
      <c r="E241" s="11">
        <v>26.929721371197864</v>
      </c>
      <c r="F241" s="11">
        <f t="shared" si="166"/>
        <v>-12.751632547829281</v>
      </c>
      <c r="G241" s="200">
        <f t="shared" si="167"/>
        <v>1.5017004822445168E-2</v>
      </c>
    </row>
    <row r="242" spans="1:7" x14ac:dyDescent="0.3">
      <c r="A242" t="str">
        <f t="shared" si="164"/>
        <v>22 Health professionals</v>
      </c>
      <c r="B242" s="11">
        <v>58.433703801385057</v>
      </c>
      <c r="C242" s="11">
        <v>34.018811672170656</v>
      </c>
      <c r="D242" s="11">
        <f t="shared" si="165"/>
        <v>-24.414892129214401</v>
      </c>
      <c r="E242" s="11">
        <v>20.575524599177641</v>
      </c>
      <c r="F242" s="11">
        <f t="shared" si="166"/>
        <v>-3.8393675300367605</v>
      </c>
      <c r="G242" s="200">
        <f t="shared" si="167"/>
        <v>2.0315052399915157E-2</v>
      </c>
    </row>
    <row r="243" spans="1:7" x14ac:dyDescent="0.3">
      <c r="A243" t="str">
        <f t="shared" si="164"/>
        <v>23 Teaching and other educational professionals</v>
      </c>
      <c r="B243" s="11">
        <v>38.380498402110035</v>
      </c>
      <c r="C243" s="11">
        <v>28.738437623026467</v>
      </c>
      <c r="D243" s="11">
        <f t="shared" si="165"/>
        <v>-9.6420607790835682</v>
      </c>
      <c r="E243" s="11">
        <v>14.767093899847161</v>
      </c>
      <c r="F243" s="11">
        <f t="shared" si="166"/>
        <v>5.1250331207635931</v>
      </c>
      <c r="G243" s="200">
        <f>IF(B243&gt;0,(1+(E243/B243))^(1/($C$6-$B$6))-1,0)</f>
        <v>2.1938746596518843E-2</v>
      </c>
    </row>
    <row r="244" spans="1:7" x14ac:dyDescent="0.3">
      <c r="A244" t="str">
        <f t="shared" si="164"/>
        <v>24 Business, media and public service professionals</v>
      </c>
      <c r="B244" s="11">
        <v>120.20194174560416</v>
      </c>
      <c r="C244" s="11">
        <v>74.346286657347477</v>
      </c>
      <c r="D244" s="11">
        <f t="shared" si="165"/>
        <v>-45.855655088256682</v>
      </c>
      <c r="E244" s="11">
        <v>38.113680693958287</v>
      </c>
      <c r="F244" s="11">
        <f t="shared" si="166"/>
        <v>-7.7419743942983956</v>
      </c>
      <c r="G244" s="200">
        <f t="shared" ref="G244:G265" si="168">IF(B244&gt;0,(1+(E244/B244))^(1/($C$6-$B$6))-1,0)</f>
        <v>1.8530767604852283E-2</v>
      </c>
    </row>
    <row r="245" spans="1:7" x14ac:dyDescent="0.3">
      <c r="A245" t="str">
        <f t="shared" si="164"/>
        <v>31 Science, engineering and technology associate professionals</v>
      </c>
      <c r="B245" s="11">
        <v>69.843026829072997</v>
      </c>
      <c r="C245" s="11">
        <v>44.455134900929231</v>
      </c>
      <c r="D245" s="11">
        <f t="shared" si="165"/>
        <v>-25.387891928143766</v>
      </c>
      <c r="E245" s="11">
        <v>18.714516860410452</v>
      </c>
      <c r="F245" s="11">
        <f t="shared" si="166"/>
        <v>-6.6733750677333141</v>
      </c>
      <c r="G245" s="200">
        <f>IF(B245&gt;0,(1+(E245/B245))^(1/($C$6-$B$6))-1,0)</f>
        <v>1.5952727600910599E-2</v>
      </c>
    </row>
    <row r="246" spans="1:7" x14ac:dyDescent="0.3">
      <c r="A246" t="str">
        <f t="shared" si="164"/>
        <v>32 Health and social care associate professionals</v>
      </c>
      <c r="B246" s="11">
        <v>27.082918238438118</v>
      </c>
      <c r="C246" s="11">
        <v>13.969021315781205</v>
      </c>
      <c r="D246" s="11">
        <f t="shared" si="165"/>
        <v>-13.113896922656913</v>
      </c>
      <c r="E246" s="11">
        <v>8.6097451965799969</v>
      </c>
      <c r="F246" s="11">
        <f t="shared" si="166"/>
        <v>-4.5041517260769162</v>
      </c>
      <c r="G246" s="200">
        <f t="shared" si="168"/>
        <v>1.8573172043812036E-2</v>
      </c>
    </row>
    <row r="247" spans="1:7" x14ac:dyDescent="0.3">
      <c r="A247" t="str">
        <f t="shared" si="164"/>
        <v>33 Protective service occupations</v>
      </c>
      <c r="B247" s="11">
        <v>44.709830997588298</v>
      </c>
      <c r="C247" s="11">
        <v>36.940589375716144</v>
      </c>
      <c r="D247" s="11">
        <f t="shared" si="165"/>
        <v>-7.7692416218721547</v>
      </c>
      <c r="E247" s="11">
        <v>15.498443791105133</v>
      </c>
      <c r="F247" s="11">
        <f t="shared" si="166"/>
        <v>7.7292021692329786</v>
      </c>
      <c r="G247" s="200">
        <f t="shared" si="168"/>
        <v>2.0039235266608779E-2</v>
      </c>
    </row>
    <row r="248" spans="1:7" x14ac:dyDescent="0.3">
      <c r="A248" t="str">
        <f t="shared" si="164"/>
        <v>34 Culture, media and sports occupations</v>
      </c>
      <c r="B248" s="11">
        <v>39.055880832125581</v>
      </c>
      <c r="C248" s="11">
        <v>20.475950246266894</v>
      </c>
      <c r="D248" s="11">
        <f t="shared" si="165"/>
        <v>-18.579930585858687</v>
      </c>
      <c r="E248" s="11">
        <v>10.086230439144709</v>
      </c>
      <c r="F248" s="11">
        <f t="shared" ref="F248:F249" si="169">SUM(D248:E248)</f>
        <v>-8.4937001467139783</v>
      </c>
      <c r="G248" s="200">
        <f t="shared" si="168"/>
        <v>1.5432731281473488E-2</v>
      </c>
    </row>
    <row r="249" spans="1:7" x14ac:dyDescent="0.3">
      <c r="A249" t="str">
        <f t="shared" si="164"/>
        <v>35 Business and public service associate professionals</v>
      </c>
      <c r="B249" s="11">
        <v>175.0410589962629</v>
      </c>
      <c r="C249" s="11">
        <v>86.855661538382009</v>
      </c>
      <c r="D249" s="11">
        <f t="shared" si="165"/>
        <v>-88.185397457880896</v>
      </c>
      <c r="E249" s="11">
        <v>44.176988369402721</v>
      </c>
      <c r="F249" s="11">
        <f t="shared" si="169"/>
        <v>-44.008409088478174</v>
      </c>
      <c r="G249" s="200">
        <f t="shared" si="168"/>
        <v>1.5116198972823014E-2</v>
      </c>
    </row>
    <row r="250" spans="1:7" x14ac:dyDescent="0.3">
      <c r="A250" t="str">
        <f t="shared" si="164"/>
        <v>41 Administrative occupations</v>
      </c>
      <c r="B250" s="11">
        <v>315.71861880024454</v>
      </c>
      <c r="C250" s="11">
        <v>78.12796093638886</v>
      </c>
      <c r="D250" s="11">
        <f t="shared" si="165"/>
        <v>-237.59065786385568</v>
      </c>
      <c r="E250" s="11">
        <v>64.072635362304254</v>
      </c>
      <c r="F250" s="11">
        <f t="shared" ref="F250:F253" si="170">SUM(D250:E250)</f>
        <v>-173.51802250155143</v>
      </c>
      <c r="G250" s="200">
        <f t="shared" si="168"/>
        <v>1.2394206066914215E-2</v>
      </c>
    </row>
    <row r="251" spans="1:7" x14ac:dyDescent="0.3">
      <c r="A251" t="str">
        <f t="shared" si="164"/>
        <v>42 Secretarial and related occupations</v>
      </c>
      <c r="B251" s="11">
        <v>126.90681639093997</v>
      </c>
      <c r="C251" s="11">
        <v>17.21154132350086</v>
      </c>
      <c r="D251" s="11">
        <f t="shared" si="165"/>
        <v>-109.6952750674391</v>
      </c>
      <c r="E251" s="11">
        <v>25.582393549452583</v>
      </c>
      <c r="F251" s="11">
        <f t="shared" si="170"/>
        <v>-84.112881517986523</v>
      </c>
      <c r="G251" s="200">
        <f t="shared" si="168"/>
        <v>1.2317965567246514E-2</v>
      </c>
    </row>
    <row r="252" spans="1:7" x14ac:dyDescent="0.3">
      <c r="A252" t="str">
        <f t="shared" si="164"/>
        <v>51 Skilled agricultural and related trades</v>
      </c>
      <c r="B252" s="11">
        <v>64.216283725149282</v>
      </c>
      <c r="C252" s="11">
        <v>64.778375510827104</v>
      </c>
      <c r="D252" s="11">
        <f t="shared" si="165"/>
        <v>0.56209178567782203</v>
      </c>
      <c r="E252" s="11">
        <v>28.543247392924908</v>
      </c>
      <c r="F252" s="11">
        <f t="shared" si="170"/>
        <v>29.10533917860273</v>
      </c>
      <c r="G252" s="200">
        <f t="shared" si="168"/>
        <v>2.4819919878171337E-2</v>
      </c>
    </row>
    <row r="253" spans="1:7" x14ac:dyDescent="0.3">
      <c r="A253" t="str">
        <f t="shared" si="164"/>
        <v>52 Skilled metal, electrical and electronic trades</v>
      </c>
      <c r="B253" s="11">
        <v>121.95932290551265</v>
      </c>
      <c r="C253" s="11">
        <v>64.954496558827543</v>
      </c>
      <c r="D253" s="11">
        <f t="shared" si="165"/>
        <v>-57.004826346685107</v>
      </c>
      <c r="E253" s="11">
        <v>35.007907526331302</v>
      </c>
      <c r="F253" s="11">
        <f t="shared" si="170"/>
        <v>-21.996918820353805</v>
      </c>
      <c r="G253" s="200">
        <f t="shared" si="168"/>
        <v>1.6965607938095539E-2</v>
      </c>
    </row>
    <row r="254" spans="1:7" x14ac:dyDescent="0.3">
      <c r="A254" t="str">
        <f t="shared" si="164"/>
        <v>53 Skilled construction and building trades</v>
      </c>
      <c r="B254" s="11">
        <v>134.3542801704605</v>
      </c>
      <c r="C254" s="11">
        <v>127.51180289444085</v>
      </c>
      <c r="D254" s="11">
        <f t="shared" si="165"/>
        <v>-6.8424772760196504</v>
      </c>
      <c r="E254" s="11">
        <v>52.86577673996284</v>
      </c>
      <c r="F254" s="11">
        <f t="shared" ref="F254" si="171">SUM(D254:E254)</f>
        <v>46.023299463943189</v>
      </c>
      <c r="G254" s="200">
        <f t="shared" si="168"/>
        <v>2.2366768272606974E-2</v>
      </c>
    </row>
    <row r="255" spans="1:7" x14ac:dyDescent="0.3">
      <c r="A255" t="str">
        <f t="shared" si="164"/>
        <v>54 Textiles, printing and other skilled trades</v>
      </c>
      <c r="B255" s="11">
        <v>134.82055838004297</v>
      </c>
      <c r="C255" s="11">
        <v>101.8655232038081</v>
      </c>
      <c r="D255" s="11">
        <f t="shared" si="165"/>
        <v>-32.955035176234873</v>
      </c>
      <c r="E255" s="11">
        <v>43.285419590199979</v>
      </c>
      <c r="F255" s="11">
        <f t="shared" ref="F255" si="172">SUM(D255:E255)</f>
        <v>10.330384413965106</v>
      </c>
      <c r="G255" s="200">
        <f t="shared" si="168"/>
        <v>1.8735620397454023E-2</v>
      </c>
    </row>
    <row r="256" spans="1:7" x14ac:dyDescent="0.3">
      <c r="A256" t="str">
        <f t="shared" si="164"/>
        <v>61 Caring personal service occupations</v>
      </c>
      <c r="B256" s="11">
        <v>94.272349039190743</v>
      </c>
      <c r="C256" s="11">
        <v>59.023395833360119</v>
      </c>
      <c r="D256" s="11">
        <f>C256-B256</f>
        <v>-35.248953205830624</v>
      </c>
      <c r="E256" s="11">
        <v>22.434522864108974</v>
      </c>
      <c r="F256" s="11">
        <f>SUM(D256:E256)</f>
        <v>-12.81443034172165</v>
      </c>
      <c r="G256" s="200">
        <f t="shared" si="168"/>
        <v>1.4333587982374496E-2</v>
      </c>
    </row>
    <row r="257" spans="1:7" x14ac:dyDescent="0.3">
      <c r="A257" t="str">
        <f t="shared" si="164"/>
        <v>62 Leisure, travel and related personal service occupations</v>
      </c>
      <c r="B257" s="11">
        <v>112.57130260505053</v>
      </c>
      <c r="C257" s="11">
        <v>83.495686742344958</v>
      </c>
      <c r="D257" s="11">
        <f t="shared" ref="D257:D263" si="173">C257-B257</f>
        <v>-29.075615862705575</v>
      </c>
      <c r="E257" s="11">
        <v>41.569074010047018</v>
      </c>
      <c r="F257" s="11">
        <f t="shared" ref="F257:F258" si="174">SUM(D257:E257)</f>
        <v>12.493458147341443</v>
      </c>
      <c r="G257" s="200">
        <f t="shared" si="168"/>
        <v>2.1172823240173111E-2</v>
      </c>
    </row>
    <row r="258" spans="1:7" x14ac:dyDescent="0.3">
      <c r="A258" t="str">
        <f t="shared" si="164"/>
        <v>63 Community and civil enforcement occupations</v>
      </c>
      <c r="B258" s="11">
        <v>7.639926281830232</v>
      </c>
      <c r="C258" s="11">
        <v>5.1820059391955455</v>
      </c>
      <c r="D258" s="11">
        <f t="shared" si="173"/>
        <v>-2.4579203426346865</v>
      </c>
      <c r="E258" s="11">
        <v>2.3475351148501624</v>
      </c>
      <c r="F258" s="11">
        <f t="shared" si="174"/>
        <v>-0.11038522778452409</v>
      </c>
      <c r="G258" s="200">
        <f t="shared" si="168"/>
        <v>1.8023327387060695E-2</v>
      </c>
    </row>
    <row r="259" spans="1:7" x14ac:dyDescent="0.3">
      <c r="A259" t="str">
        <f t="shared" si="164"/>
        <v>71 Sales occupations</v>
      </c>
      <c r="B259" s="11">
        <v>350.14521210766372</v>
      </c>
      <c r="C259" s="11">
        <v>109.99767625053394</v>
      </c>
      <c r="D259" s="11">
        <f t="shared" si="173"/>
        <v>-240.14753585712978</v>
      </c>
      <c r="E259" s="11">
        <v>82.860547104294952</v>
      </c>
      <c r="F259" s="11">
        <f t="shared" ref="F259:F260" si="175">SUM(D259:E259)</f>
        <v>-157.28698875283482</v>
      </c>
      <c r="G259" s="200">
        <f t="shared" si="168"/>
        <v>1.4260935154235321E-2</v>
      </c>
    </row>
    <row r="260" spans="1:7" x14ac:dyDescent="0.3">
      <c r="A260" t="str">
        <f t="shared" si="164"/>
        <v>72 Customer service occupations</v>
      </c>
      <c r="B260" s="11">
        <v>67.872178374636846</v>
      </c>
      <c r="C260" s="11">
        <v>63.895792363965263</v>
      </c>
      <c r="D260" s="11">
        <f t="shared" si="173"/>
        <v>-3.9763860106715825</v>
      </c>
      <c r="E260" s="11">
        <v>23.005992060048968</v>
      </c>
      <c r="F260" s="11">
        <f t="shared" si="175"/>
        <v>19.029606049377385</v>
      </c>
      <c r="G260" s="200">
        <f t="shared" si="168"/>
        <v>1.9650146101176658E-2</v>
      </c>
    </row>
    <row r="261" spans="1:7" x14ac:dyDescent="0.3">
      <c r="A261" t="str">
        <f t="shared" si="164"/>
        <v>81 Process, plant and machine operatives</v>
      </c>
      <c r="B261" s="11">
        <v>175.8743151423312</v>
      </c>
      <c r="C261" s="11">
        <v>96.310477063030461</v>
      </c>
      <c r="D261" s="11">
        <f t="shared" si="173"/>
        <v>-79.563838079300737</v>
      </c>
      <c r="E261" s="11">
        <v>56.604751333630368</v>
      </c>
      <c r="F261" s="11">
        <f t="shared" ref="F261:F262" si="176">SUM(D261:E261)</f>
        <v>-22.959086745670369</v>
      </c>
      <c r="G261" s="200">
        <f t="shared" si="168"/>
        <v>1.8776133262146777E-2</v>
      </c>
    </row>
    <row r="262" spans="1:7" x14ac:dyDescent="0.3">
      <c r="A262" t="str">
        <f t="shared" si="164"/>
        <v>82 Transport and mobile machine drivers and operatives</v>
      </c>
      <c r="B262" s="11">
        <v>285.53894769238241</v>
      </c>
      <c r="C262" s="11">
        <v>213.07279476739791</v>
      </c>
      <c r="D262" s="11">
        <f t="shared" si="173"/>
        <v>-72.466152924984499</v>
      </c>
      <c r="E262" s="11">
        <v>116.98458180455309</v>
      </c>
      <c r="F262" s="11">
        <f t="shared" si="176"/>
        <v>44.518428879568589</v>
      </c>
      <c r="G262" s="200">
        <f t="shared" si="168"/>
        <v>2.3155699486413051E-2</v>
      </c>
    </row>
    <row r="263" spans="1:7" x14ac:dyDescent="0.3">
      <c r="A263" t="str">
        <f t="shared" si="164"/>
        <v>91 Elementary trades and related occupations</v>
      </c>
      <c r="B263" s="11">
        <v>139.29122457194501</v>
      </c>
      <c r="C263" s="11">
        <v>84.737031887555574</v>
      </c>
      <c r="D263" s="11">
        <f t="shared" si="173"/>
        <v>-54.554192684389434</v>
      </c>
      <c r="E263" s="11">
        <v>39.276383891510001</v>
      </c>
      <c r="F263" s="11">
        <f t="shared" ref="F263" si="177">SUM(D263:E263)</f>
        <v>-15.277808792879433</v>
      </c>
      <c r="G263" s="200">
        <f t="shared" si="168"/>
        <v>1.6697904362057425E-2</v>
      </c>
    </row>
    <row r="264" spans="1:7" x14ac:dyDescent="0.3">
      <c r="A264" t="str">
        <f t="shared" si="164"/>
        <v>92 Elementary administration and service occupations</v>
      </c>
      <c r="B264" s="11">
        <v>764.17366438553677</v>
      </c>
      <c r="C264" s="11">
        <v>514.71210703512099</v>
      </c>
      <c r="D264" s="11">
        <f t="shared" ref="D264" si="178">C264-B264</f>
        <v>-249.46155735041577</v>
      </c>
      <c r="E264" s="11">
        <v>268.29476171882249</v>
      </c>
      <c r="F264" s="11">
        <f t="shared" ref="F264" si="179">SUM(D264:E264)</f>
        <v>18.833204368406712</v>
      </c>
      <c r="G264" s="200">
        <f t="shared" ref="G264" si="180">IF(B264&gt;0,(1+(E264/B264))^(1/($C$6-$B$6))-1,0)</f>
        <v>2.0263415833335685E-2</v>
      </c>
    </row>
    <row r="265" spans="1:7" x14ac:dyDescent="0.3">
      <c r="A265" t="str">
        <f t="shared" si="164"/>
        <v>All occupations</v>
      </c>
      <c r="B265" s="11">
        <f>SUM(B239:B264)</f>
        <v>3929.385267282546</v>
      </c>
      <c r="C265" s="11">
        <f t="shared" ref="C265:F265" si="181">SUM(C239:C264)</f>
        <v>2343.6324984872617</v>
      </c>
      <c r="D265" s="11">
        <f t="shared" si="181"/>
        <v>-1585.7527687952843</v>
      </c>
      <c r="E265" s="11">
        <f t="shared" si="181"/>
        <v>1235.9947732705255</v>
      </c>
      <c r="F265" s="11">
        <f t="shared" si="181"/>
        <v>-349.757995524759</v>
      </c>
      <c r="G265" s="200">
        <f t="shared" si="168"/>
        <v>1.8400282627288211E-2</v>
      </c>
    </row>
    <row r="267" spans="1:7" ht="24.9" x14ac:dyDescent="0.3">
      <c r="A267" s="201" t="str">
        <f>CONCATENATE(name!F12," (Constrained)")</f>
        <v>No Qualification (Constrained)</v>
      </c>
      <c r="B267" s="74">
        <f t="shared" ref="B267:G267" si="182">B180</f>
        <v>2020</v>
      </c>
      <c r="C267" s="74">
        <f t="shared" si="182"/>
        <v>2035</v>
      </c>
      <c r="D267" s="87" t="str">
        <f t="shared" si="182"/>
        <v>Net Change</v>
      </c>
      <c r="E267" s="87" t="str">
        <f t="shared" si="182"/>
        <v>Replacement Demand level</v>
      </c>
      <c r="F267" s="87" t="str">
        <f t="shared" si="182"/>
        <v>Total Requirement</v>
      </c>
      <c r="G267" s="87" t="str">
        <f t="shared" si="182"/>
        <v>Replacement Demand rate</v>
      </c>
    </row>
    <row r="268" spans="1:7" x14ac:dyDescent="0.3">
      <c r="A268" t="str">
        <f t="shared" ref="A268:A294" si="183">A181</f>
        <v>11 Corporate managers and directors</v>
      </c>
      <c r="B268" s="11">
        <v>47.804401192343256</v>
      </c>
      <c r="C268" s="11">
        <v>40.574520286207886</v>
      </c>
      <c r="D268" s="11">
        <f>C268-B268</f>
        <v>-7.2298809061353708</v>
      </c>
      <c r="E268" s="11">
        <v>13.469181061201402</v>
      </c>
      <c r="F268" s="11">
        <f>SUM(D268:E268)</f>
        <v>6.2393001550660312</v>
      </c>
      <c r="G268" s="200">
        <f>IF(B268&gt;0,(1+(E268/B268))^(1/($C$6-$B$6))-1,0)</f>
        <v>1.6686427607337073E-2</v>
      </c>
    </row>
    <row r="269" spans="1:7" x14ac:dyDescent="0.3">
      <c r="A269" t="str">
        <f t="shared" si="183"/>
        <v>12 Other managers and proprietors</v>
      </c>
      <c r="B269" s="11">
        <v>41.939450221507428</v>
      </c>
      <c r="C269" s="11">
        <v>52.35446973000407</v>
      </c>
      <c r="D269" s="11">
        <f t="shared" ref="D269:D284" si="184">C269-B269</f>
        <v>10.415019508496641</v>
      </c>
      <c r="E269" s="11">
        <v>18.30784052502543</v>
      </c>
      <c r="F269" s="11">
        <f t="shared" ref="F269:F276" si="185">SUM(D269:E269)</f>
        <v>28.722860033522071</v>
      </c>
      <c r="G269" s="200">
        <f t="shared" ref="G269:G271" si="186">IF(B269&gt;0,(1+(E269/B269))^(1/($C$6-$B$6))-1,0)</f>
        <v>2.4442654011880727E-2</v>
      </c>
    </row>
    <row r="270" spans="1:7" x14ac:dyDescent="0.3">
      <c r="A270" t="str">
        <f t="shared" si="183"/>
        <v>21 Science, research, engineering and technology professionals</v>
      </c>
      <c r="B270" s="11">
        <v>27.409116718438028</v>
      </c>
      <c r="C270" s="11">
        <v>35.489926153271497</v>
      </c>
      <c r="D270" s="11">
        <f t="shared" si="184"/>
        <v>8.0808094348334691</v>
      </c>
      <c r="E270" s="11">
        <v>9.7989596373622465</v>
      </c>
      <c r="F270" s="11">
        <f t="shared" si="185"/>
        <v>17.879769072195714</v>
      </c>
      <c r="G270" s="200">
        <f t="shared" si="186"/>
        <v>2.0585699067525276E-2</v>
      </c>
    </row>
    <row r="271" spans="1:7" x14ac:dyDescent="0.3">
      <c r="A271" t="str">
        <f t="shared" si="183"/>
        <v>22 Health professionals</v>
      </c>
      <c r="B271" s="11">
        <v>10.273910629174058</v>
      </c>
      <c r="C271" s="11">
        <v>17.730145702248397</v>
      </c>
      <c r="D271" s="11">
        <f t="shared" si="184"/>
        <v>7.456235073074339</v>
      </c>
      <c r="E271" s="11">
        <v>5.7897722728039094</v>
      </c>
      <c r="F271" s="11">
        <f t="shared" si="185"/>
        <v>13.246007345878247</v>
      </c>
      <c r="G271" s="200">
        <f t="shared" si="186"/>
        <v>3.0245254117937215E-2</v>
      </c>
    </row>
    <row r="272" spans="1:7" x14ac:dyDescent="0.3">
      <c r="A272" t="str">
        <f t="shared" si="183"/>
        <v>23 Teaching and other educational professionals</v>
      </c>
      <c r="B272" s="11">
        <v>10.227288487539926</v>
      </c>
      <c r="C272" s="11">
        <v>11.948385661785833</v>
      </c>
      <c r="D272" s="11">
        <f t="shared" si="184"/>
        <v>1.7210971742459069</v>
      </c>
      <c r="E272" s="11">
        <v>4.618292437277665</v>
      </c>
      <c r="F272" s="11">
        <f t="shared" si="185"/>
        <v>6.3393896115235719</v>
      </c>
      <c r="G272" s="200">
        <f>IF(B272&gt;0,(1+(E272/B272))^(1/($C$6-$B$6))-1,0)</f>
        <v>2.5154004933292562E-2</v>
      </c>
    </row>
    <row r="273" spans="1:7" x14ac:dyDescent="0.3">
      <c r="A273" t="str">
        <f t="shared" si="183"/>
        <v>24 Business, media and public service professionals</v>
      </c>
      <c r="B273" s="11">
        <v>30.401982846778346</v>
      </c>
      <c r="C273" s="11">
        <v>33.678442998980707</v>
      </c>
      <c r="D273" s="11">
        <f t="shared" si="184"/>
        <v>3.2764601522023611</v>
      </c>
      <c r="E273" s="11">
        <v>11.356523833374641</v>
      </c>
      <c r="F273" s="11">
        <f t="shared" si="185"/>
        <v>14.632983985577003</v>
      </c>
      <c r="G273" s="200">
        <f t="shared" ref="G273" si="187">IF(B273&gt;0,(1+(E273/B273))^(1/($C$6-$B$6))-1,0)</f>
        <v>2.1385143734796053E-2</v>
      </c>
    </row>
    <row r="274" spans="1:7" x14ac:dyDescent="0.3">
      <c r="A274" t="str">
        <f t="shared" si="183"/>
        <v>31 Science, engineering and technology associate professionals</v>
      </c>
      <c r="B274" s="11">
        <v>17.151068765830342</v>
      </c>
      <c r="C274" s="11">
        <v>24.77970857778104</v>
      </c>
      <c r="D274" s="11">
        <f t="shared" si="184"/>
        <v>7.6286398119506984</v>
      </c>
      <c r="E274" s="11">
        <v>7.6647970835712531</v>
      </c>
      <c r="F274" s="11">
        <f t="shared" si="185"/>
        <v>15.293436895521952</v>
      </c>
      <c r="G274" s="200">
        <f>IF(B274&gt;0,(1+(E274/B274))^(1/($C$6-$B$6))-1,0)</f>
        <v>2.4933959421594043E-2</v>
      </c>
    </row>
    <row r="275" spans="1:7" x14ac:dyDescent="0.3">
      <c r="A275" t="str">
        <f t="shared" si="183"/>
        <v>32 Health and social care associate professionals</v>
      </c>
      <c r="B275" s="11">
        <v>5.6437190512339823</v>
      </c>
      <c r="C275" s="11">
        <v>8.4059346654791032</v>
      </c>
      <c r="D275" s="11">
        <f t="shared" si="184"/>
        <v>2.7622156142451209</v>
      </c>
      <c r="E275" s="11">
        <v>2.865365608326667</v>
      </c>
      <c r="F275" s="11">
        <f t="shared" si="185"/>
        <v>5.6275812225717878</v>
      </c>
      <c r="G275" s="200">
        <f t="shared" ref="G275:G292" si="188">IF(B275&gt;0,(1+(E275/B275))^(1/($C$6-$B$6))-1,0)</f>
        <v>2.7750816708675741E-2</v>
      </c>
    </row>
    <row r="276" spans="1:7" x14ac:dyDescent="0.3">
      <c r="A276" t="str">
        <f t="shared" si="183"/>
        <v>33 Protective service occupations</v>
      </c>
      <c r="B276" s="11">
        <v>6.8665563791098965</v>
      </c>
      <c r="C276" s="11">
        <v>5.2863524382172633</v>
      </c>
      <c r="D276" s="11">
        <f t="shared" si="184"/>
        <v>-1.5802039408926332</v>
      </c>
      <c r="E276" s="11">
        <v>1.3067051090598121</v>
      </c>
      <c r="F276" s="11">
        <f t="shared" si="185"/>
        <v>-0.27349883183282109</v>
      </c>
      <c r="G276" s="200">
        <f t="shared" si="188"/>
        <v>1.1681387792800813E-2</v>
      </c>
    </row>
    <row r="277" spans="1:7" x14ac:dyDescent="0.3">
      <c r="A277" t="str">
        <f t="shared" si="183"/>
        <v>34 Culture, media and sports occupations</v>
      </c>
      <c r="B277" s="11">
        <v>14.266652012506963</v>
      </c>
      <c r="C277" s="11">
        <v>13.247788798091577</v>
      </c>
      <c r="D277" s="11">
        <f t="shared" si="184"/>
        <v>-1.0188632144153864</v>
      </c>
      <c r="E277" s="11">
        <v>4.654335127964627</v>
      </c>
      <c r="F277" s="11">
        <f t="shared" ref="F277:F278" si="189">SUM(D277:E277)</f>
        <v>3.6354719135492406</v>
      </c>
      <c r="G277" s="200">
        <f t="shared" si="188"/>
        <v>1.9001401896261649E-2</v>
      </c>
    </row>
    <row r="278" spans="1:7" x14ac:dyDescent="0.3">
      <c r="A278" t="str">
        <f t="shared" si="183"/>
        <v>35 Business and public service associate professionals</v>
      </c>
      <c r="B278" s="11">
        <v>41.059779643016689</v>
      </c>
      <c r="C278" s="11">
        <v>39.874705264993764</v>
      </c>
      <c r="D278" s="11">
        <f t="shared" si="184"/>
        <v>-1.1850743780229251</v>
      </c>
      <c r="E278" s="11">
        <v>12.211609737840302</v>
      </c>
      <c r="F278" s="11">
        <f t="shared" si="189"/>
        <v>11.026535359817377</v>
      </c>
      <c r="G278" s="200">
        <f t="shared" si="188"/>
        <v>1.750954979536079E-2</v>
      </c>
    </row>
    <row r="279" spans="1:7" x14ac:dyDescent="0.3">
      <c r="A279" t="str">
        <f t="shared" si="183"/>
        <v>41 Administrative occupations</v>
      </c>
      <c r="B279" s="11">
        <v>87.287085840792969</v>
      </c>
      <c r="C279" s="11">
        <v>57.300210115315366</v>
      </c>
      <c r="D279" s="11">
        <f t="shared" si="184"/>
        <v>-29.986875725477603</v>
      </c>
      <c r="E279" s="11">
        <v>20.984227270738479</v>
      </c>
      <c r="F279" s="11">
        <f t="shared" ref="F279:F282" si="190">SUM(D279:E279)</f>
        <v>-9.0026484547391235</v>
      </c>
      <c r="G279" s="200">
        <f t="shared" si="188"/>
        <v>1.446615060373313E-2</v>
      </c>
    </row>
    <row r="280" spans="1:7" x14ac:dyDescent="0.3">
      <c r="A280" t="str">
        <f t="shared" si="183"/>
        <v>42 Secretarial and related occupations</v>
      </c>
      <c r="B280" s="11">
        <v>36.790482455309359</v>
      </c>
      <c r="C280" s="11">
        <v>36.034574994899472</v>
      </c>
      <c r="D280" s="11">
        <f t="shared" si="184"/>
        <v>-0.75590746040988677</v>
      </c>
      <c r="E280" s="11">
        <v>15.260968905506294</v>
      </c>
      <c r="F280" s="11">
        <f t="shared" si="190"/>
        <v>14.505061445096407</v>
      </c>
      <c r="G280" s="200">
        <f t="shared" si="188"/>
        <v>2.3402540424448892E-2</v>
      </c>
    </row>
    <row r="281" spans="1:7" x14ac:dyDescent="0.3">
      <c r="A281" t="str">
        <f t="shared" si="183"/>
        <v>51 Skilled agricultural and related trades</v>
      </c>
      <c r="B281" s="11">
        <v>47.904867903668112</v>
      </c>
      <c r="C281" s="11">
        <v>24.03563332833895</v>
      </c>
      <c r="D281" s="11">
        <f t="shared" si="184"/>
        <v>-23.869234575329163</v>
      </c>
      <c r="E281" s="11">
        <v>13.429987749846413</v>
      </c>
      <c r="F281" s="11">
        <f t="shared" si="190"/>
        <v>-10.43924682548275</v>
      </c>
      <c r="G281" s="200">
        <f t="shared" si="188"/>
        <v>1.6611878903226796E-2</v>
      </c>
    </row>
    <row r="282" spans="1:7" x14ac:dyDescent="0.3">
      <c r="A282" t="str">
        <f t="shared" si="183"/>
        <v>52 Skilled metal, electrical and electronic trades</v>
      </c>
      <c r="B282" s="11">
        <v>50.044415724353144</v>
      </c>
      <c r="C282" s="11">
        <v>32.758724860771366</v>
      </c>
      <c r="D282" s="11">
        <f t="shared" si="184"/>
        <v>-17.285690863581777</v>
      </c>
      <c r="E282" s="11">
        <v>14.221965327539223</v>
      </c>
      <c r="F282" s="11">
        <f t="shared" si="190"/>
        <v>-3.0637255360425542</v>
      </c>
      <c r="G282" s="200">
        <f t="shared" si="188"/>
        <v>1.6814852864750485E-2</v>
      </c>
    </row>
    <row r="283" spans="1:7" x14ac:dyDescent="0.3">
      <c r="A283" t="str">
        <f t="shared" si="183"/>
        <v>53 Skilled construction and building trades</v>
      </c>
      <c r="B283" s="11">
        <v>68.099903955622565</v>
      </c>
      <c r="C283" s="11">
        <v>15.245263481004041</v>
      </c>
      <c r="D283" s="11">
        <f t="shared" si="184"/>
        <v>-52.85464047461852</v>
      </c>
      <c r="E283" s="11">
        <v>11.508285713056146</v>
      </c>
      <c r="F283" s="11">
        <f t="shared" ref="F283" si="191">SUM(D283:E283)</f>
        <v>-41.346354761562374</v>
      </c>
      <c r="G283" s="200">
        <f t="shared" si="188"/>
        <v>1.0463777734610824E-2</v>
      </c>
    </row>
    <row r="284" spans="1:7" x14ac:dyDescent="0.3">
      <c r="A284" t="str">
        <f t="shared" si="183"/>
        <v>54 Textiles, printing and other skilled trades</v>
      </c>
      <c r="B284" s="11">
        <v>58.303554072035574</v>
      </c>
      <c r="C284" s="11">
        <v>30.273357063983937</v>
      </c>
      <c r="D284" s="11">
        <f t="shared" si="184"/>
        <v>-28.030197008051637</v>
      </c>
      <c r="E284" s="11">
        <v>12.101168865120812</v>
      </c>
      <c r="F284" s="11">
        <f t="shared" ref="F284" si="192">SUM(D284:E284)</f>
        <v>-15.929028142930825</v>
      </c>
      <c r="G284" s="200">
        <f t="shared" si="188"/>
        <v>1.2652527388434809E-2</v>
      </c>
    </row>
    <row r="285" spans="1:7" x14ac:dyDescent="0.3">
      <c r="A285" t="str">
        <f t="shared" si="183"/>
        <v>61 Caring personal service occupations</v>
      </c>
      <c r="B285" s="11">
        <v>25.285961020129925</v>
      </c>
      <c r="C285" s="11">
        <v>28.418725038236428</v>
      </c>
      <c r="D285" s="11">
        <f>C285-B285</f>
        <v>3.1327640181065028</v>
      </c>
      <c r="E285" s="11">
        <v>7.7922317201036382</v>
      </c>
      <c r="F285" s="11">
        <f>SUM(D285:E285)</f>
        <v>10.924995738210141</v>
      </c>
      <c r="G285" s="200">
        <f t="shared" si="188"/>
        <v>1.8069641889236543E-2</v>
      </c>
    </row>
    <row r="286" spans="1:7" x14ac:dyDescent="0.3">
      <c r="A286" t="str">
        <f t="shared" si="183"/>
        <v>62 Leisure, travel and related personal service occupations</v>
      </c>
      <c r="B286" s="11">
        <v>40.986745382030335</v>
      </c>
      <c r="C286" s="11">
        <v>25.069013290355542</v>
      </c>
      <c r="D286" s="11">
        <f t="shared" ref="D286:D292" si="193">C286-B286</f>
        <v>-15.917732091674793</v>
      </c>
      <c r="E286" s="11">
        <v>9.9761196356641388</v>
      </c>
      <c r="F286" s="11">
        <f t="shared" ref="F286:F287" si="194">SUM(D286:E286)</f>
        <v>-5.9416124560106542</v>
      </c>
      <c r="G286" s="200">
        <f t="shared" si="188"/>
        <v>1.4629207863963378E-2</v>
      </c>
    </row>
    <row r="287" spans="1:7" x14ac:dyDescent="0.3">
      <c r="A287" t="str">
        <f t="shared" si="183"/>
        <v>63 Community and civil enforcement occupations</v>
      </c>
      <c r="B287" s="11">
        <v>2.2902458439547777</v>
      </c>
      <c r="C287" s="11">
        <v>0.91959902660789605</v>
      </c>
      <c r="D287" s="11">
        <f t="shared" si="193"/>
        <v>-1.3706468173468815</v>
      </c>
      <c r="E287" s="11">
        <v>0.30913910622444057</v>
      </c>
      <c r="F287" s="11">
        <f t="shared" si="194"/>
        <v>-1.0615077111224409</v>
      </c>
      <c r="G287" s="200">
        <f t="shared" si="188"/>
        <v>8.4767722262402145E-3</v>
      </c>
    </row>
    <row r="288" spans="1:7" x14ac:dyDescent="0.3">
      <c r="A288" t="str">
        <f t="shared" si="183"/>
        <v>71 Sales occupations</v>
      </c>
      <c r="B288" s="11">
        <v>140.78287427144474</v>
      </c>
      <c r="C288" s="11">
        <v>63.461734350615956</v>
      </c>
      <c r="D288" s="11">
        <f t="shared" si="193"/>
        <v>-77.321139920828784</v>
      </c>
      <c r="E288" s="11">
        <v>23.931501443868044</v>
      </c>
      <c r="F288" s="11">
        <f t="shared" ref="F288:F289" si="195">SUM(D288:E288)</f>
        <v>-53.389638476960741</v>
      </c>
      <c r="G288" s="200">
        <f t="shared" si="188"/>
        <v>1.0521237225711744E-2</v>
      </c>
    </row>
    <row r="289" spans="1:7" x14ac:dyDescent="0.3">
      <c r="A289" t="str">
        <f t="shared" si="183"/>
        <v>72 Customer service occupations</v>
      </c>
      <c r="B289" s="11">
        <v>25.851565821909411</v>
      </c>
      <c r="C289" s="11">
        <v>42.1491815560669</v>
      </c>
      <c r="D289" s="11">
        <f t="shared" si="193"/>
        <v>16.297615734157489</v>
      </c>
      <c r="E289" s="11">
        <v>12.242906239486002</v>
      </c>
      <c r="F289" s="11">
        <f t="shared" si="195"/>
        <v>28.540521973643493</v>
      </c>
      <c r="G289" s="200">
        <f t="shared" si="188"/>
        <v>2.6183452040424715E-2</v>
      </c>
    </row>
    <row r="290" spans="1:7" x14ac:dyDescent="0.3">
      <c r="A290" t="str">
        <f t="shared" si="183"/>
        <v>81 Process, plant and machine operatives</v>
      </c>
      <c r="B290" s="11">
        <v>76.979869869549916</v>
      </c>
      <c r="C290" s="11">
        <v>23.50470450297945</v>
      </c>
      <c r="D290" s="11">
        <f t="shared" si="193"/>
        <v>-53.475165366570465</v>
      </c>
      <c r="E290" s="11">
        <v>10.868761948239964</v>
      </c>
      <c r="F290" s="11">
        <f t="shared" ref="F290:F291" si="196">SUM(D290:E290)</f>
        <v>-42.606403418330501</v>
      </c>
      <c r="G290" s="200">
        <f t="shared" si="188"/>
        <v>8.8436280463459749E-3</v>
      </c>
    </row>
    <row r="291" spans="1:7" x14ac:dyDescent="0.3">
      <c r="A291" t="str">
        <f t="shared" si="183"/>
        <v>82 Transport and mobile machine drivers and operatives</v>
      </c>
      <c r="B291" s="11">
        <v>137.77630501019743</v>
      </c>
      <c r="C291" s="11">
        <v>70.160574467266756</v>
      </c>
      <c r="D291" s="11">
        <f t="shared" si="193"/>
        <v>-67.615730542930677</v>
      </c>
      <c r="E291" s="11">
        <v>41.098631989063882</v>
      </c>
      <c r="F291" s="11">
        <f t="shared" si="196"/>
        <v>-26.517098553866795</v>
      </c>
      <c r="G291" s="200">
        <f t="shared" si="188"/>
        <v>1.7556026373687361E-2</v>
      </c>
    </row>
    <row r="292" spans="1:7" x14ac:dyDescent="0.3">
      <c r="A292" t="str">
        <f t="shared" si="183"/>
        <v>91 Elementary trades and related occupations</v>
      </c>
      <c r="B292" s="11">
        <v>73.161157892648717</v>
      </c>
      <c r="C292" s="11">
        <v>39.143253971522221</v>
      </c>
      <c r="D292" s="11">
        <f t="shared" si="193"/>
        <v>-34.017903921126496</v>
      </c>
      <c r="E292" s="11">
        <v>15.446513577137978</v>
      </c>
      <c r="F292" s="11">
        <f t="shared" ref="F292" si="197">SUM(D292:E292)</f>
        <v>-18.571390343988519</v>
      </c>
      <c r="G292" s="200">
        <f t="shared" si="188"/>
        <v>1.2852140484080232E-2</v>
      </c>
    </row>
    <row r="293" spans="1:7" x14ac:dyDescent="0.3">
      <c r="A293" t="str">
        <f t="shared" si="183"/>
        <v>92 Elementary administration and service occupations</v>
      </c>
      <c r="B293" s="11">
        <v>305.31843343212807</v>
      </c>
      <c r="C293" s="11">
        <v>151.55507902153329</v>
      </c>
      <c r="D293" s="11">
        <f t="shared" ref="D293" si="198">C293-B293</f>
        <v>-153.76335441059479</v>
      </c>
      <c r="E293" s="11">
        <v>57.294516363512493</v>
      </c>
      <c r="F293" s="11">
        <f t="shared" ref="F293" si="199">SUM(D293:E293)</f>
        <v>-96.468838047082301</v>
      </c>
      <c r="G293" s="200">
        <f>IF(B293&gt;0,(1+(E293/B293))^(1/($C$6-$B$6))-1,0)</f>
        <v>1.1531361774482551E-2</v>
      </c>
    </row>
    <row r="294" spans="1:7" x14ac:dyDescent="0.3">
      <c r="A294" s="23" t="str">
        <f t="shared" si="183"/>
        <v>All occupations</v>
      </c>
      <c r="B294" s="33">
        <f>SUM(B268:B293)</f>
        <v>1429.9073944432539</v>
      </c>
      <c r="C294" s="33">
        <f>SUM(C268:C293)</f>
        <v>923.4000093465587</v>
      </c>
      <c r="D294" s="33">
        <f>SUM(D268:D293)</f>
        <v>-506.50738509669532</v>
      </c>
      <c r="E294" s="33">
        <f>SUM(E268:E293)</f>
        <v>358.51030828891601</v>
      </c>
      <c r="F294" s="33">
        <f>SUM(F268:F293)</f>
        <v>-147.99707680777937</v>
      </c>
      <c r="G294" s="234">
        <f>IF(B294&gt;0,(1+(E294/B294))^(1/($C$6-$B$6))-1,0)</f>
        <v>1.5026552308859742E-2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6" manualBreakCount="6">
    <brk id="44" min="23" max="29" man="1"/>
    <brk id="61" min="8" max="13" man="1"/>
    <brk id="62" max="6" man="1"/>
    <brk id="120" max="6" man="1"/>
    <brk id="178" max="6" man="1"/>
    <brk id="236" max="6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0"/>
  <dimension ref="A1:Q65"/>
  <sheetViews>
    <sheetView zoomScale="85" zoomScaleNormal="85" workbookViewId="0"/>
  </sheetViews>
  <sheetFormatPr defaultRowHeight="12.45" x14ac:dyDescent="0.3"/>
  <cols>
    <col min="1" max="14" width="9.15234375" style="80"/>
    <col min="15" max="15" width="44.15234375" customWidth="1"/>
    <col min="16" max="17" width="16.84375" customWidth="1"/>
  </cols>
  <sheetData>
    <row r="1" spans="1:17" ht="15.45" x14ac:dyDescent="0.4">
      <c r="A1" s="79" t="str">
        <f>CONCATENATE("Replacement Demand Figure 1  Replacement Demand by Occupation Group (SOC 2020), ",P4,", ",Info!B5)</f>
        <v>Replacement Demand Figure 1  Replacement Demand by Occupation Group (SOC 2020), 2020-2035, United Kingdom</v>
      </c>
    </row>
    <row r="2" spans="1:17" x14ac:dyDescent="0.3">
      <c r="A2" s="362" t="s">
        <v>536</v>
      </c>
    </row>
    <row r="3" spans="1:17" x14ac:dyDescent="0.3">
      <c r="O3" s="45" t="s">
        <v>426</v>
      </c>
    </row>
    <row r="4" spans="1:17" x14ac:dyDescent="0.3">
      <c r="P4" s="15" t="str">
        <f>'Occ T1'!H4</f>
        <v>2020-2035</v>
      </c>
    </row>
    <row r="5" spans="1:17" x14ac:dyDescent="0.3">
      <c r="P5" s="15" t="str">
        <f>CONCATENATE('Occ T1'!H5," ",'Occ T1'!H6)</f>
        <v>Net Change</v>
      </c>
      <c r="Q5" s="15" t="str">
        <f>CONCATENATE('Occ T1'!J5," ",'Occ T1'!J6)</f>
        <v>Total Requirement</v>
      </c>
    </row>
    <row r="6" spans="1:17" x14ac:dyDescent="0.3">
      <c r="P6" s="11"/>
      <c r="Q6" s="11"/>
    </row>
    <row r="7" spans="1:17" x14ac:dyDescent="0.3">
      <c r="O7" t="str">
        <f>name!E12</f>
        <v>Elementary occupations</v>
      </c>
      <c r="P7" s="11">
        <f>'Occ T1'!H16</f>
        <v>-144.49778867492932</v>
      </c>
      <c r="Q7" s="11">
        <f>'Occ T1'!J16</f>
        <v>1543.8549251461131</v>
      </c>
    </row>
    <row r="8" spans="1:17" x14ac:dyDescent="0.3">
      <c r="O8" t="str">
        <f>name!E11</f>
        <v>Process, plant and machine operatives</v>
      </c>
      <c r="P8" s="11">
        <f>'Occ T1'!H15</f>
        <v>221.63932212713098</v>
      </c>
      <c r="Q8" s="11">
        <f>'Occ T1'!J15</f>
        <v>1243.0471891243296</v>
      </c>
    </row>
    <row r="9" spans="1:17" x14ac:dyDescent="0.3">
      <c r="O9" t="str">
        <f>name!E10</f>
        <v>Sales and customer service occupations</v>
      </c>
      <c r="P9" s="11">
        <f>'Occ T1'!H14</f>
        <v>29.339606000979074</v>
      </c>
      <c r="Q9" s="11">
        <f>'Occ T1'!J14</f>
        <v>1318.6825093327125</v>
      </c>
    </row>
    <row r="10" spans="1:17" x14ac:dyDescent="0.3">
      <c r="O10" t="str">
        <f>name!E9</f>
        <v>Caring, leisure and other service occupations</v>
      </c>
      <c r="P10" s="11">
        <f>'Occ T1'!H13</f>
        <v>501.75865540353971</v>
      </c>
      <c r="Q10" s="11">
        <f>'Occ T1'!J13</f>
        <v>2371.6580847395353</v>
      </c>
    </row>
    <row r="11" spans="1:17" x14ac:dyDescent="0.3">
      <c r="O11" t="str">
        <f>name!E8</f>
        <v>Skilled trades occupations</v>
      </c>
      <c r="P11" s="11">
        <f>'Occ T1'!H12</f>
        <v>-38.875410759858369</v>
      </c>
      <c r="Q11" s="11">
        <f>'Occ T1'!J12</f>
        <v>1253.8720120092567</v>
      </c>
    </row>
    <row r="12" spans="1:17" x14ac:dyDescent="0.3">
      <c r="O12" t="str">
        <f>name!E7</f>
        <v>Administrative and secretarial occupations</v>
      </c>
      <c r="P12" s="11">
        <f>'Occ T1'!H11</f>
        <v>-486.78047203525784</v>
      </c>
      <c r="Q12" s="11">
        <f>'Occ T1'!J11</f>
        <v>1251.9622486300664</v>
      </c>
    </row>
    <row r="13" spans="1:17" x14ac:dyDescent="0.3">
      <c r="O13" t="str">
        <f>name!E6</f>
        <v>Associate professional occupations</v>
      </c>
      <c r="P13" s="11">
        <f>'Occ T1'!H10</f>
        <v>296.39304938618352</v>
      </c>
      <c r="Q13" s="11">
        <f>'Occ T1'!J10</f>
        <v>2525.763708761403</v>
      </c>
    </row>
    <row r="14" spans="1:17" x14ac:dyDescent="0.3">
      <c r="O14" t="str">
        <f>name!E5</f>
        <v>Professional occupations</v>
      </c>
      <c r="P14" s="11">
        <f>'Occ T1'!H9</f>
        <v>1642.2373702534169</v>
      </c>
      <c r="Q14" s="11">
        <f>'Occ T1'!J9</f>
        <v>5922.4302201540722</v>
      </c>
    </row>
    <row r="15" spans="1:17" x14ac:dyDescent="0.3">
      <c r="O15" t="str">
        <f>name!E4</f>
        <v>Managers, directors and senior officials</v>
      </c>
      <c r="P15" s="11">
        <f>'Occ T1'!H8</f>
        <v>571.68966829905185</v>
      </c>
      <c r="Q15" s="11">
        <f>'Occ T1'!J8</f>
        <v>2695.9887657051995</v>
      </c>
    </row>
    <row r="34" spans="1:17" ht="15.45" x14ac:dyDescent="0.4">
      <c r="A34" s="79" t="str">
        <f>CONCATENATE("Replacement Demand Figure 1.1  Replacement Demand by Occupation (SOC 2020), ",P35,", ",Info!B5)</f>
        <v>Replacement Demand Figure 1.1  Replacement Demand by Occupation (SOC 2020), 2020-2035, United Kingdom</v>
      </c>
      <c r="O34" s="45" t="s">
        <v>426</v>
      </c>
    </row>
    <row r="35" spans="1:17" x14ac:dyDescent="0.3">
      <c r="P35" s="15" t="str">
        <f>'Occ T1'!H4</f>
        <v>2020-2035</v>
      </c>
    </row>
    <row r="36" spans="1:17" x14ac:dyDescent="0.3">
      <c r="P36" s="15" t="str">
        <f>CONCATENATE('Occ T1'!H5," ",'Occ T1'!H6)</f>
        <v>Net Change</v>
      </c>
      <c r="Q36" s="15" t="str">
        <f>CONCATENATE('Occ T1'!J5," ",'Occ T1'!J6)</f>
        <v>Total Requirement</v>
      </c>
    </row>
    <row r="37" spans="1:17" x14ac:dyDescent="0.3">
      <c r="O37" s="10" t="str">
        <f>name!D4</f>
        <v>11 Corporate managers and directors</v>
      </c>
      <c r="P37" s="11">
        <f>'Occ T2'!H8</f>
        <v>77.662571129064418</v>
      </c>
      <c r="Q37" s="11">
        <f>'Occ T2'!J8</f>
        <v>1377.7523682700655</v>
      </c>
    </row>
    <row r="38" spans="1:17" x14ac:dyDescent="0.3">
      <c r="O38" s="10" t="str">
        <f>name!D5</f>
        <v>12 Other managers and proprietors</v>
      </c>
      <c r="P38" s="11">
        <f>'Occ T2'!H9</f>
        <v>494.02709716998766</v>
      </c>
      <c r="Q38" s="11">
        <f>'Occ T2'!J9</f>
        <v>1318.236397435134</v>
      </c>
    </row>
    <row r="39" spans="1:17" x14ac:dyDescent="0.3">
      <c r="O39" s="10" t="str">
        <f>name!D6</f>
        <v>21 Science, research, engineering and technology professionals</v>
      </c>
      <c r="P39" s="11">
        <f>'Occ T2'!H10</f>
        <v>394.49342473640354</v>
      </c>
      <c r="Q39" s="11">
        <f>'Occ T2'!J10</f>
        <v>1288.4068659662071</v>
      </c>
    </row>
    <row r="40" spans="1:17" x14ac:dyDescent="0.3">
      <c r="O40" s="10" t="str">
        <f>name!D7</f>
        <v>22 Health professionals</v>
      </c>
      <c r="P40" s="11">
        <f>'Occ T2'!H11</f>
        <v>310.08849002296597</v>
      </c>
      <c r="Q40" s="11">
        <f>'Occ T2'!J11</f>
        <v>1283.7450082781718</v>
      </c>
    </row>
    <row r="41" spans="1:17" x14ac:dyDescent="0.3">
      <c r="O41" s="10" t="str">
        <f>name!D8</f>
        <v>23 Teaching and other educational professionals</v>
      </c>
      <c r="P41" s="11">
        <f>'Occ T2'!H12</f>
        <v>267.63048611281374</v>
      </c>
      <c r="Q41" s="11">
        <f>'Occ T2'!J12</f>
        <v>1261.3926032558293</v>
      </c>
    </row>
    <row r="42" spans="1:17" x14ac:dyDescent="0.3">
      <c r="O42" s="10" t="str">
        <f>name!D9</f>
        <v>24 Business, media and public service professionals</v>
      </c>
      <c r="P42" s="11">
        <f>'Occ T2'!H13</f>
        <v>670.02496938123477</v>
      </c>
      <c r="Q42" s="11">
        <f>'Occ T2'!J13</f>
        <v>2088.8857426538648</v>
      </c>
    </row>
    <row r="43" spans="1:17" x14ac:dyDescent="0.3">
      <c r="O43" s="10" t="str">
        <f>name!D10</f>
        <v>31 Science, engineering and technology associate professionals</v>
      </c>
      <c r="P43" s="11">
        <f>'Occ T2'!H14</f>
        <v>-34.005507283322231</v>
      </c>
      <c r="Q43" s="11">
        <f>'Occ T2'!J14</f>
        <v>227.7051658366355</v>
      </c>
    </row>
    <row r="44" spans="1:17" x14ac:dyDescent="0.3">
      <c r="O44" s="10" t="str">
        <f>name!D11</f>
        <v>32 Health and social care associate professionals</v>
      </c>
      <c r="P44" s="11">
        <f>'Occ T2'!H15</f>
        <v>81.67691549298695</v>
      </c>
      <c r="Q44" s="11">
        <f>'Occ T2'!J15</f>
        <v>492.46070273214519</v>
      </c>
    </row>
    <row r="45" spans="1:17" x14ac:dyDescent="0.3">
      <c r="O45" s="10" t="str">
        <f>name!D12</f>
        <v>33 Protective service occupations</v>
      </c>
      <c r="P45" s="11">
        <f>'Occ T2'!H16</f>
        <v>143.78836715345722</v>
      </c>
      <c r="Q45" s="11">
        <f>'Occ T2'!J16</f>
        <v>312.57639535209472</v>
      </c>
    </row>
    <row r="46" spans="1:17" x14ac:dyDescent="0.3">
      <c r="O46" s="10" t="str">
        <f>name!D13</f>
        <v>34 Culture, media and sports occupations</v>
      </c>
      <c r="P46" s="11">
        <f>'Occ T2'!H17</f>
        <v>78.540641046799237</v>
      </c>
      <c r="Q46" s="11">
        <f>'Occ T2'!J17</f>
        <v>441.66238422933492</v>
      </c>
    </row>
    <row r="47" spans="1:17" x14ac:dyDescent="0.3">
      <c r="O47" s="10" t="str">
        <f>name!D14</f>
        <v>35 Business and public service associate professionals</v>
      </c>
      <c r="P47" s="11">
        <f>'Occ T2'!H18</f>
        <v>26.392632976261666</v>
      </c>
      <c r="Q47" s="11">
        <f>'Occ T2'!J18</f>
        <v>1051.3590606111923</v>
      </c>
    </row>
    <row r="48" spans="1:17" x14ac:dyDescent="0.3">
      <c r="O48" s="10" t="str">
        <f>name!D15</f>
        <v>41 Administrative occupations</v>
      </c>
      <c r="P48" s="11">
        <f>'Occ T2'!H19</f>
        <v>-381.33685102277741</v>
      </c>
      <c r="Q48" s="11">
        <f>'Occ T2'!J19</f>
        <v>1008.5122531585673</v>
      </c>
    </row>
    <row r="49" spans="15:17" x14ac:dyDescent="0.3">
      <c r="O49" s="10" t="str">
        <f>name!D16</f>
        <v>42 Secretarial and related occupations</v>
      </c>
      <c r="P49" s="11">
        <f>'Occ T2'!H20</f>
        <v>-105.44362101248066</v>
      </c>
      <c r="Q49" s="11">
        <f>'Occ T2'!J20</f>
        <v>243.44999547149894</v>
      </c>
    </row>
    <row r="50" spans="15:17" x14ac:dyDescent="0.3">
      <c r="O50" s="10" t="str">
        <f>name!D17</f>
        <v>51 Skilled agricultural and related trades</v>
      </c>
      <c r="P50" s="11">
        <f>'Occ T2'!H21</f>
        <v>47.022360809173676</v>
      </c>
      <c r="Q50" s="11">
        <f>'Occ T2'!J21</f>
        <v>265.8333269646543</v>
      </c>
    </row>
    <row r="51" spans="15:17" x14ac:dyDescent="0.3">
      <c r="O51" s="10" t="str">
        <f>name!D18</f>
        <v>52 Skilled metal, electrical and electronic trades</v>
      </c>
      <c r="P51" s="11">
        <f>'Occ T2'!H22</f>
        <v>-71.814964068100608</v>
      </c>
      <c r="Q51" s="11">
        <f>'Occ T2'!J22</f>
        <v>337.85654202932261</v>
      </c>
    </row>
    <row r="52" spans="15:17" x14ac:dyDescent="0.3">
      <c r="O52" s="10" t="str">
        <f>name!D19</f>
        <v>53 Skilled construction and building trades</v>
      </c>
      <c r="P52" s="11">
        <f>'Occ T2'!H23</f>
        <v>-13.817463961423869</v>
      </c>
      <c r="Q52" s="11">
        <f>'Occ T2'!J23</f>
        <v>373.86833394846451</v>
      </c>
    </row>
    <row r="53" spans="15:17" x14ac:dyDescent="0.3">
      <c r="O53" s="10" t="str">
        <f>name!D20</f>
        <v>54 Textiles, printing and other skilled trades</v>
      </c>
      <c r="P53" s="11">
        <f>'Occ T2'!H24</f>
        <v>-0.26534353950773948</v>
      </c>
      <c r="Q53" s="11">
        <f>'Occ T2'!J24</f>
        <v>276.31380906681517</v>
      </c>
    </row>
    <row r="54" spans="15:17" x14ac:dyDescent="0.3">
      <c r="O54" s="10" t="str">
        <f>name!D21</f>
        <v>61 Caring personal service occupations</v>
      </c>
      <c r="P54" s="11">
        <f>'Occ T2'!H25</f>
        <v>465.74779123614371</v>
      </c>
      <c r="Q54" s="11">
        <f>'Occ T2'!J25</f>
        <v>1939.4930947967757</v>
      </c>
    </row>
    <row r="55" spans="15:17" x14ac:dyDescent="0.3">
      <c r="O55" s="10" t="str">
        <f>name!D22</f>
        <v>62 Leisure, travel and related personal service occupations</v>
      </c>
      <c r="P55" s="11">
        <f>'Occ T2'!H26</f>
        <v>40.818712343178163</v>
      </c>
      <c r="Q55" s="11">
        <f>'Occ T2'!J26</f>
        <v>420.98292205284969</v>
      </c>
    </row>
    <row r="56" spans="15:17" x14ac:dyDescent="0.3">
      <c r="O56" s="10" t="str">
        <f>name!D23</f>
        <v>63 Community and civil enforcement occupations</v>
      </c>
      <c r="P56" s="11">
        <f>'Occ T2'!H27</f>
        <v>-4.8078481757824605</v>
      </c>
      <c r="Q56" s="11">
        <f>'Occ T2'!J27</f>
        <v>11.182067889909913</v>
      </c>
    </row>
    <row r="57" spans="15:17" x14ac:dyDescent="0.3">
      <c r="O57" s="10" t="str">
        <f>name!D24</f>
        <v>71 Sales occupations</v>
      </c>
      <c r="P57" s="11">
        <f>'Occ T2'!H28</f>
        <v>-255.30221897759748</v>
      </c>
      <c r="Q57" s="11">
        <f>'Occ T2'!J28</f>
        <v>671.15774043181068</v>
      </c>
    </row>
    <row r="58" spans="15:17" x14ac:dyDescent="0.3">
      <c r="O58" s="10" t="str">
        <f>name!D25</f>
        <v>72 Customer service occupations</v>
      </c>
      <c r="P58" s="11">
        <f>'Occ T2'!H29</f>
        <v>284.64182497857678</v>
      </c>
      <c r="Q58" s="11">
        <f>'Occ T2'!J29</f>
        <v>647.52476890090202</v>
      </c>
    </row>
    <row r="59" spans="15:17" x14ac:dyDescent="0.3">
      <c r="O59" s="10" t="str">
        <f>name!D26</f>
        <v>81 Process, plant and machine operatives</v>
      </c>
      <c r="P59" s="11">
        <f>'Occ T2'!H30</f>
        <v>141.75840459628296</v>
      </c>
      <c r="Q59" s="11">
        <f>'Occ T2'!J30</f>
        <v>495.50776348104569</v>
      </c>
    </row>
    <row r="60" spans="15:17" x14ac:dyDescent="0.3">
      <c r="O60" s="10" t="str">
        <f>name!D27</f>
        <v>82 Transport and mobile machine drivers and operatives</v>
      </c>
      <c r="P60" s="11">
        <f>'Occ T2'!H31</f>
        <v>79.88091753084791</v>
      </c>
      <c r="Q60" s="11">
        <f>'Occ T2'!J31</f>
        <v>747.53942564328383</v>
      </c>
    </row>
    <row r="61" spans="15:17" x14ac:dyDescent="0.3">
      <c r="O61" s="10" t="str">
        <f>name!D28</f>
        <v>91 Elementary trades and related occupations</v>
      </c>
      <c r="P61" s="11">
        <f>'Occ T2'!H32</f>
        <v>-96.554495947058058</v>
      </c>
      <c r="Q61" s="11">
        <f>'Occ T2'!J32</f>
        <v>56.255623450424309</v>
      </c>
    </row>
    <row r="62" spans="15:17" x14ac:dyDescent="0.3">
      <c r="O62" s="10" t="str">
        <f>name!D29</f>
        <v>92 Elementary administration and service occupations</v>
      </c>
      <c r="P62" s="11">
        <f>'Occ T2'!H33</f>
        <v>-47.943292727871267</v>
      </c>
      <c r="Q62" s="11">
        <f>'Occ T2'!J33</f>
        <v>1487.5993016956888</v>
      </c>
    </row>
    <row r="63" spans="15:17" x14ac:dyDescent="0.3">
      <c r="O63" s="10"/>
      <c r="P63" s="11"/>
      <c r="Q63" s="11"/>
    </row>
    <row r="64" spans="15:17" x14ac:dyDescent="0.3">
      <c r="O64" s="10" t="str">
        <f>name!D3</f>
        <v>All occupations</v>
      </c>
      <c r="P64" s="11">
        <f>'Occ T2'!H35</f>
        <v>2592.9040000002642</v>
      </c>
      <c r="Q64" s="11">
        <f>'Occ T2'!J35</f>
        <v>20127.259663602686</v>
      </c>
    </row>
    <row r="65" spans="15:15" x14ac:dyDescent="0.3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AN101"/>
  <sheetViews>
    <sheetView showGridLines="0" zoomScale="85" zoomScaleNormal="85" workbookViewId="0"/>
  </sheetViews>
  <sheetFormatPr defaultColWidth="9.15234375" defaultRowHeight="12.45" x14ac:dyDescent="0.3"/>
  <cols>
    <col min="1" max="1" width="37.53515625" style="13" customWidth="1"/>
    <col min="2" max="4" width="8.15234375" style="13" bestFit="1" customWidth="1"/>
    <col min="5" max="5" width="5.69140625" style="13" customWidth="1"/>
    <col min="6" max="7" width="5.69140625" style="13" bestFit="1" customWidth="1"/>
    <col min="8" max="8" width="7.15234375" style="13" bestFit="1" customWidth="1"/>
    <col min="9" max="9" width="5.69140625" style="13" customWidth="1"/>
    <col min="10" max="12" width="7.15234375" style="13" bestFit="1" customWidth="1"/>
    <col min="13" max="13" width="5.69140625" style="13" customWidth="1"/>
    <col min="14" max="16" width="7.15234375" style="13" bestFit="1" customWidth="1"/>
    <col min="17" max="17" width="5.84375" style="13" customWidth="1"/>
    <col min="18" max="20" width="7.15234375" style="13" bestFit="1" customWidth="1"/>
    <col min="21" max="21" width="5.69140625" style="13" customWidth="1"/>
    <col min="22" max="24" width="7.15234375" style="13" bestFit="1" customWidth="1"/>
    <col min="25" max="25" width="5.69140625" style="13" customWidth="1"/>
    <col min="26" max="28" width="7.15234375" style="13" bestFit="1" customWidth="1"/>
    <col min="29" max="29" width="5.69140625" style="13" customWidth="1"/>
    <col min="30" max="32" width="7.15234375" style="13" bestFit="1" customWidth="1"/>
    <col min="33" max="33" width="5.69140625" style="13" customWidth="1"/>
    <col min="34" max="36" width="7.15234375" style="13" bestFit="1" customWidth="1"/>
    <col min="37" max="37" width="5.69140625" style="13" customWidth="1"/>
    <col min="38" max="39" width="7.15234375" style="13" bestFit="1" customWidth="1"/>
    <col min="40" max="40" width="5.69140625" style="13" bestFit="1" customWidth="1"/>
    <col min="41" max="16384" width="9.15234375" style="13"/>
  </cols>
  <sheetData>
    <row r="1" spans="1:40" ht="15.45" x14ac:dyDescent="0.4">
      <c r="A1" s="18" t="str">
        <f>CONCATENATE("Basic Table 1  Employment by Industry Sector, Occupation Group and Qualification, ",B$5,"-",D$5,", ",Info!B5)</f>
        <v>Basic Table 1  Employment by Industry Sector, Occupation Group and Qualification, 2020-2035, United Kingdom</v>
      </c>
    </row>
    <row r="2" spans="1:40" ht="12.75" customHeight="1" x14ac:dyDescent="0.3">
      <c r="A2" s="181" t="s">
        <v>540</v>
      </c>
    </row>
    <row r="3" spans="1:40" ht="12.75" customHeight="1" x14ac:dyDescent="0.4">
      <c r="A3" s="18"/>
      <c r="AN3" s="37" t="s">
        <v>35</v>
      </c>
    </row>
    <row r="4" spans="1:40" ht="24.75" customHeight="1" x14ac:dyDescent="0.3">
      <c r="A4" s="77"/>
      <c r="B4" s="380" t="str">
        <f>name!F3</f>
        <v>All qualifications</v>
      </c>
      <c r="C4" s="380"/>
      <c r="D4" s="380"/>
      <c r="E4" s="77"/>
      <c r="F4" s="381" t="str">
        <f>name!F4</f>
        <v>RQF8 Doctorate</v>
      </c>
      <c r="G4" s="381"/>
      <c r="H4" s="381"/>
      <c r="I4" s="77"/>
      <c r="J4" s="381" t="str">
        <f>name!F5</f>
        <v>RQF7 Other higher degree</v>
      </c>
      <c r="K4" s="381"/>
      <c r="L4" s="381"/>
      <c r="M4" s="77"/>
      <c r="N4" s="381" t="str">
        <f>name!F6</f>
        <v>RQF6 First degree</v>
      </c>
      <c r="O4" s="381"/>
      <c r="P4" s="381"/>
      <c r="Q4" s="77"/>
      <c r="R4" s="381" t="str">
        <f>name!F7</f>
        <v>RQF5 Foundation degree;Nursing;Teaching</v>
      </c>
      <c r="S4" s="381"/>
      <c r="T4" s="381"/>
      <c r="U4" s="77"/>
      <c r="V4" s="381" t="str">
        <f>name!F8</f>
        <v>RQF4 HE below degree level</v>
      </c>
      <c r="W4" s="381"/>
      <c r="X4" s="381"/>
      <c r="Y4" s="77"/>
      <c r="Z4" s="381" t="str">
        <f>name!F9</f>
        <v>RQF3 A level &amp; equivalent</v>
      </c>
      <c r="AA4" s="381"/>
      <c r="AB4" s="381"/>
      <c r="AC4" s="77"/>
      <c r="AD4" s="381" t="str">
        <f>name!F10</f>
        <v>RQF2 GCSE(A-C) &amp; equivalent</v>
      </c>
      <c r="AE4" s="381"/>
      <c r="AF4" s="381"/>
      <c r="AG4" s="77"/>
      <c r="AH4" s="381" t="str">
        <f>name!F11</f>
        <v>RQF1 GCSE(below grade C) &amp; equivalent</v>
      </c>
      <c r="AI4" s="381"/>
      <c r="AJ4" s="381"/>
      <c r="AK4" s="77"/>
      <c r="AL4" s="381" t="str">
        <f>name!F12</f>
        <v>No Qualification</v>
      </c>
      <c r="AM4" s="381"/>
      <c r="AN4" s="381"/>
    </row>
    <row r="5" spans="1:40" x14ac:dyDescent="0.3">
      <c r="A5" s="38"/>
      <c r="B5" s="41">
        <v>2020</v>
      </c>
      <c r="C5" s="41">
        <v>2025</v>
      </c>
      <c r="D5" s="41">
        <v>2035</v>
      </c>
      <c r="E5" s="38"/>
      <c r="F5" s="34">
        <f>B5</f>
        <v>2020</v>
      </c>
      <c r="G5" s="34">
        <f>C5</f>
        <v>2025</v>
      </c>
      <c r="H5" s="34">
        <f>D5</f>
        <v>2035</v>
      </c>
      <c r="I5" s="38"/>
      <c r="J5" s="34">
        <f>B5</f>
        <v>2020</v>
      </c>
      <c r="K5" s="34">
        <f>C5</f>
        <v>2025</v>
      </c>
      <c r="L5" s="34">
        <f>D5</f>
        <v>2035</v>
      </c>
      <c r="M5" s="38"/>
      <c r="N5" s="34">
        <f>B5</f>
        <v>2020</v>
      </c>
      <c r="O5" s="34">
        <f>C5</f>
        <v>2025</v>
      </c>
      <c r="P5" s="34">
        <f>D5</f>
        <v>2035</v>
      </c>
      <c r="Q5" s="38"/>
      <c r="R5" s="34">
        <f>F5</f>
        <v>2020</v>
      </c>
      <c r="S5" s="34">
        <f>G5</f>
        <v>2025</v>
      </c>
      <c r="T5" s="34">
        <f>H5</f>
        <v>2035</v>
      </c>
      <c r="U5" s="38"/>
      <c r="V5" s="34">
        <f>J5</f>
        <v>2020</v>
      </c>
      <c r="W5" s="34">
        <f>K5</f>
        <v>2025</v>
      </c>
      <c r="X5" s="34">
        <f>L5</f>
        <v>2035</v>
      </c>
      <c r="Y5" s="38"/>
      <c r="Z5" s="34">
        <f>N5</f>
        <v>2020</v>
      </c>
      <c r="AA5" s="34">
        <f>O5</f>
        <v>2025</v>
      </c>
      <c r="AB5" s="34">
        <f>P5</f>
        <v>2035</v>
      </c>
      <c r="AC5" s="38"/>
      <c r="AD5" s="34">
        <f>R5</f>
        <v>2020</v>
      </c>
      <c r="AE5" s="34">
        <f>S5</f>
        <v>2025</v>
      </c>
      <c r="AF5" s="34">
        <f>T5</f>
        <v>2035</v>
      </c>
      <c r="AG5" s="38"/>
      <c r="AH5" s="34">
        <f>V5</f>
        <v>2020</v>
      </c>
      <c r="AI5" s="34">
        <f>W5</f>
        <v>2025</v>
      </c>
      <c r="AJ5" s="34">
        <f>X5</f>
        <v>2035</v>
      </c>
      <c r="AK5" s="38"/>
      <c r="AL5" s="34">
        <f>Z5</f>
        <v>2020</v>
      </c>
      <c r="AM5" s="34">
        <f>AA5</f>
        <v>2025</v>
      </c>
      <c r="AN5" s="34">
        <f>AB5</f>
        <v>2035</v>
      </c>
    </row>
    <row r="7" spans="1:40" x14ac:dyDescent="0.3">
      <c r="A7" s="1" t="str">
        <f>name!C3</f>
        <v>All industries</v>
      </c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R7" s="76"/>
      <c r="S7" s="76"/>
      <c r="T7" s="76"/>
      <c r="V7" s="76"/>
      <c r="W7" s="76"/>
      <c r="X7" s="76"/>
      <c r="Z7" s="76"/>
      <c r="AA7" s="76"/>
      <c r="AB7" s="76"/>
      <c r="AD7" s="76"/>
      <c r="AE7" s="76"/>
      <c r="AF7" s="76"/>
      <c r="AH7" s="76"/>
      <c r="AI7" s="76"/>
      <c r="AJ7" s="76"/>
      <c r="AL7" s="76"/>
      <c r="AM7" s="76"/>
      <c r="AN7" s="76"/>
    </row>
    <row r="8" spans="1:40" x14ac:dyDescent="0.3">
      <c r="A8" s="13" t="str">
        <f>name!E3</f>
        <v>All occupations</v>
      </c>
      <c r="B8" s="305">
        <f>SUM(B9:B17)</f>
        <v>34974.967999999841</v>
      </c>
      <c r="C8" s="305">
        <f>SUM(C9:C17)</f>
        <v>36022.323999999819</v>
      </c>
      <c r="D8" s="305">
        <f>SUM(D9:D17)</f>
        <v>37567.872000000098</v>
      </c>
      <c r="E8" s="304"/>
      <c r="F8" s="305">
        <f>SUM(F9:F17)</f>
        <v>611.36556836037653</v>
      </c>
      <c r="G8" s="305">
        <f>SUM(G9:G17)</f>
        <v>777.49428774510443</v>
      </c>
      <c r="H8" s="305">
        <f>SUM(H9:H17)</f>
        <v>1077.1920536731884</v>
      </c>
      <c r="I8" s="304"/>
      <c r="J8" s="305">
        <f>SUM(J9:J17)</f>
        <v>4336.7615670433852</v>
      </c>
      <c r="K8" s="305">
        <f>SUM(K9:K17)</f>
        <v>5512.5167236497027</v>
      </c>
      <c r="L8" s="305">
        <f>SUM(L9:L17)</f>
        <v>7687.6513264445684</v>
      </c>
      <c r="M8" s="304"/>
      <c r="N8" s="305">
        <f>SUM(N9:N17)</f>
        <v>7562.460292218163</v>
      </c>
      <c r="O8" s="305">
        <f>SUM(O9:O17)</f>
        <v>8102.5792335632141</v>
      </c>
      <c r="P8" s="305">
        <f>SUM(P9:P17)</f>
        <v>9232.4204173538128</v>
      </c>
      <c r="Q8" s="306"/>
      <c r="R8" s="305">
        <f>SUM(R9:R17)</f>
        <v>2054.5752318363388</v>
      </c>
      <c r="S8" s="305">
        <f>SUM(S9:S17)</f>
        <v>2061.0175379572411</v>
      </c>
      <c r="T8" s="305">
        <f>SUM(T9:T17)</f>
        <v>2279.8253957201209</v>
      </c>
      <c r="U8" s="306"/>
      <c r="V8" s="305">
        <f>SUM(V9:V17)</f>
        <v>2058.6092684674063</v>
      </c>
      <c r="W8" s="305">
        <f>SUM(W9:W17)</f>
        <v>2158.1737286960201</v>
      </c>
      <c r="X8" s="305">
        <f>SUM(X9:X17)</f>
        <v>2475.3919333699291</v>
      </c>
      <c r="Y8" s="306"/>
      <c r="Z8" s="305">
        <f>SUM(Z9:Z17)</f>
        <v>6743.1586895525597</v>
      </c>
      <c r="AA8" s="305">
        <f>SUM(AA9:AA17)</f>
        <v>6707.7994628999222</v>
      </c>
      <c r="AB8" s="305">
        <f>SUM(AB9:AB17)</f>
        <v>6618.994035759918</v>
      </c>
      <c r="AC8" s="306"/>
      <c r="AD8" s="305">
        <f>SUM(AD9:AD17)</f>
        <v>6248.7447207958057</v>
      </c>
      <c r="AE8" s="305">
        <f>SUM(AE9:AE17)</f>
        <v>5968.0626278923683</v>
      </c>
      <c r="AF8" s="305">
        <f>SUM(AF9:AF17)</f>
        <v>4929.3643298447414</v>
      </c>
      <c r="AG8" s="306"/>
      <c r="AH8" s="305">
        <f>SUM(AH9:AH17)</f>
        <v>3929.3852672825469</v>
      </c>
      <c r="AI8" s="305">
        <f>SUM(AI9:AI17)</f>
        <v>3543.1096039464669</v>
      </c>
      <c r="AJ8" s="305">
        <f>SUM(AJ9:AJ17)</f>
        <v>2343.6324984872617</v>
      </c>
      <c r="AK8" s="306"/>
      <c r="AL8" s="305">
        <f>SUM(AL9:AL17)</f>
        <v>1429.9073944432537</v>
      </c>
      <c r="AM8" s="305">
        <f>SUM(AM9:AM17)</f>
        <v>1191.5707936497795</v>
      </c>
      <c r="AN8" s="305">
        <f>SUM(AN9:AN17)</f>
        <v>923.40000934655859</v>
      </c>
    </row>
    <row r="9" spans="1:40" x14ac:dyDescent="0.3">
      <c r="A9" s="13" t="str">
        <f>name!E4</f>
        <v>Managers, directors and senior officials</v>
      </c>
      <c r="B9" s="304">
        <f>SUM(B21,B33,B51,B63,B75,B93)</f>
        <v>3746.5592020547351</v>
      </c>
      <c r="C9" s="304">
        <f t="shared" ref="B9:D17" si="0">SUM(C21,C33,C51,C63,C75,C93)</f>
        <v>3862.6442625428949</v>
      </c>
      <c r="D9" s="304">
        <f t="shared" si="0"/>
        <v>4318.2488703537838</v>
      </c>
      <c r="E9" s="304"/>
      <c r="F9" s="304">
        <f t="shared" ref="F9:H17" si="1">SUM(F21,F33,F51,F63,F75,F93)</f>
        <v>60.298757515543443</v>
      </c>
      <c r="G9" s="304">
        <f t="shared" si="1"/>
        <v>78.794044735755008</v>
      </c>
      <c r="H9" s="304">
        <f t="shared" si="1"/>
        <v>118.7554948901538</v>
      </c>
      <c r="I9" s="304"/>
      <c r="J9" s="304">
        <f t="shared" ref="J9:L17" si="2">SUM(J21,J33,J51,J63,J75,J93)</f>
        <v>514.95109428442095</v>
      </c>
      <c r="K9" s="304">
        <f t="shared" si="2"/>
        <v>651.66996836081239</v>
      </c>
      <c r="L9" s="304">
        <f t="shared" si="2"/>
        <v>963.47460794030349</v>
      </c>
      <c r="M9" s="304"/>
      <c r="N9" s="304">
        <f t="shared" ref="N9:P17" si="3">SUM(N21,N33,N51,N63,N75,N93)</f>
        <v>1047.8380503878125</v>
      </c>
      <c r="O9" s="304">
        <f t="shared" si="3"/>
        <v>1101.1708603800398</v>
      </c>
      <c r="P9" s="304">
        <f t="shared" si="3"/>
        <v>1283.0702791611184</v>
      </c>
      <c r="Q9" s="306"/>
      <c r="R9" s="304">
        <f t="shared" ref="R9:T9" si="4">SUM(R21,R33,R51,R63,R75,R93)</f>
        <v>225.39926607553454</v>
      </c>
      <c r="S9" s="304">
        <f t="shared" si="4"/>
        <v>230.46948363565258</v>
      </c>
      <c r="T9" s="304">
        <f t="shared" si="4"/>
        <v>265.10001895235678</v>
      </c>
      <c r="U9" s="306"/>
      <c r="V9" s="304">
        <f t="shared" ref="V9:X9" si="5">SUM(V21,V33,V51,V63,V75,V93)</f>
        <v>299.63891056408966</v>
      </c>
      <c r="W9" s="304">
        <f t="shared" si="5"/>
        <v>301.97879847980477</v>
      </c>
      <c r="X9" s="304">
        <f t="shared" si="5"/>
        <v>338.81443835064414</v>
      </c>
      <c r="Y9" s="306"/>
      <c r="Z9" s="304">
        <f t="shared" ref="Z9:AB9" si="6">SUM(Z21,Z33,Z51,Z63,Z75,Z93)</f>
        <v>635.32226922898167</v>
      </c>
      <c r="AA9" s="304">
        <f t="shared" si="6"/>
        <v>589.73042188630222</v>
      </c>
      <c r="AB9" s="304">
        <f t="shared" si="6"/>
        <v>602.55606739307416</v>
      </c>
      <c r="AC9" s="306"/>
      <c r="AD9" s="304">
        <f>SUM(AD21,AD33,AD51,AD63,AD75,AD93)</f>
        <v>519.56961129507022</v>
      </c>
      <c r="AE9" s="304">
        <f t="shared" ref="AE9:AF9" si="7">SUM(AE21,AE33,AE51,AE63,AE75,AE93)</f>
        <v>483.99254274753531</v>
      </c>
      <c r="AF9" s="304">
        <f t="shared" si="7"/>
        <v>402.39569846116069</v>
      </c>
      <c r="AG9" s="306"/>
      <c r="AH9" s="304">
        <f t="shared" ref="AH9:AJ9" si="8">SUM(AH21,AH33,AH51,AH63,AH75,AH93)</f>
        <v>353.79739128943118</v>
      </c>
      <c r="AI9" s="304">
        <f t="shared" si="8"/>
        <v>334.90822002540557</v>
      </c>
      <c r="AJ9" s="304">
        <f t="shared" si="8"/>
        <v>251.15327518876012</v>
      </c>
      <c r="AK9" s="306"/>
      <c r="AL9" s="304">
        <f t="shared" ref="AL9:AN9" si="9">SUM(AL21,AL33,AL51,AL63,AL75,AL93)</f>
        <v>89.743851413850706</v>
      </c>
      <c r="AM9" s="304">
        <f t="shared" si="9"/>
        <v>89.929922291587133</v>
      </c>
      <c r="AN9" s="304">
        <f t="shared" si="9"/>
        <v>92.928990016211969</v>
      </c>
    </row>
    <row r="10" spans="1:40" x14ac:dyDescent="0.3">
      <c r="A10" s="13" t="str">
        <f>name!E5</f>
        <v>Professional occupations</v>
      </c>
      <c r="B10" s="304">
        <f t="shared" si="0"/>
        <v>8199.5797102003853</v>
      </c>
      <c r="C10" s="304">
        <f t="shared" si="0"/>
        <v>8888.4946767141737</v>
      </c>
      <c r="D10" s="304">
        <f t="shared" si="0"/>
        <v>9841.8170804538076</v>
      </c>
      <c r="E10" s="304"/>
      <c r="F10" s="304">
        <f t="shared" si="1"/>
        <v>438.49090656711121</v>
      </c>
      <c r="G10" s="304">
        <f t="shared" si="1"/>
        <v>550.67928643399887</v>
      </c>
      <c r="H10" s="304">
        <f t="shared" si="1"/>
        <v>729.69768802841099</v>
      </c>
      <c r="I10" s="304"/>
      <c r="J10" s="304">
        <f t="shared" si="2"/>
        <v>2382.9468719813449</v>
      </c>
      <c r="K10" s="304">
        <f t="shared" si="2"/>
        <v>2977.9019036101363</v>
      </c>
      <c r="L10" s="304">
        <f t="shared" si="2"/>
        <v>3886.1318686382456</v>
      </c>
      <c r="M10" s="304"/>
      <c r="N10" s="304">
        <f t="shared" si="3"/>
        <v>2835.1919990617926</v>
      </c>
      <c r="O10" s="304">
        <f t="shared" si="3"/>
        <v>2940.8960882853016</v>
      </c>
      <c r="P10" s="304">
        <f t="shared" si="3"/>
        <v>3036.01300706659</v>
      </c>
      <c r="Q10" s="306"/>
      <c r="R10" s="304">
        <f t="shared" ref="R10:T10" si="10">SUM(R22,R34,R52,R64,R76,R94)</f>
        <v>410.86594061784433</v>
      </c>
      <c r="S10" s="304">
        <f t="shared" si="10"/>
        <v>319.79113822612248</v>
      </c>
      <c r="T10" s="304">
        <f t="shared" si="10"/>
        <v>256.89730583556832</v>
      </c>
      <c r="U10" s="306"/>
      <c r="V10" s="304">
        <f t="shared" ref="V10:X10" si="11">SUM(V22,V34,V52,V64,V76,V94)</f>
        <v>405.16683612695613</v>
      </c>
      <c r="W10" s="304">
        <f t="shared" si="11"/>
        <v>406.64253743875219</v>
      </c>
      <c r="X10" s="304">
        <f t="shared" si="11"/>
        <v>424.77432964388987</v>
      </c>
      <c r="Y10" s="306"/>
      <c r="Z10" s="304">
        <f t="shared" ref="Z10:AB10" si="12">SUM(Z22,Z34,Z52,Z64,Z76,Z94)</f>
        <v>787.16158728965979</v>
      </c>
      <c r="AA10" s="304">
        <f t="shared" si="12"/>
        <v>786.26395703126718</v>
      </c>
      <c r="AB10" s="304">
        <f t="shared" si="12"/>
        <v>789.61339763161664</v>
      </c>
      <c r="AC10" s="306"/>
      <c r="AD10" s="304">
        <f t="shared" ref="AD10:AF10" si="13">SUM(AD22,AD34,AD52,AD64,AD76,AD94)</f>
        <v>536.9431103470348</v>
      </c>
      <c r="AE10" s="304">
        <f t="shared" si="13"/>
        <v>509.09841848926385</v>
      </c>
      <c r="AF10" s="304">
        <f t="shared" si="13"/>
        <v>414.93638548207127</v>
      </c>
      <c r="AG10" s="306"/>
      <c r="AH10" s="304">
        <f t="shared" ref="AH10:AJ10" si="14">SUM(AH22,AH34,AH52,AH64,AH76,AH94)</f>
        <v>324.50015952670969</v>
      </c>
      <c r="AI10" s="304">
        <f t="shared" si="14"/>
        <v>308.28583511072429</v>
      </c>
      <c r="AJ10" s="304">
        <f t="shared" si="14"/>
        <v>204.90619761112779</v>
      </c>
      <c r="AK10" s="306"/>
      <c r="AL10" s="304">
        <f t="shared" ref="AL10:AN10" si="15">SUM(AL22,AL34,AL52,AL64,AL76,AL94)</f>
        <v>78.312298681930372</v>
      </c>
      <c r="AM10" s="304">
        <f t="shared" si="15"/>
        <v>88.935512088608121</v>
      </c>
      <c r="AN10" s="304">
        <f t="shared" si="15"/>
        <v>98.846900516286425</v>
      </c>
    </row>
    <row r="11" spans="1:40" x14ac:dyDescent="0.3">
      <c r="A11" s="13" t="str">
        <f>name!E6</f>
        <v>Associate professional occupations</v>
      </c>
      <c r="B11" s="304">
        <f>SUM(B23,B35,B53,B65,B77,B95)</f>
        <v>4781.9238965363638</v>
      </c>
      <c r="C11" s="304">
        <f t="shared" si="0"/>
        <v>4710.4240048833281</v>
      </c>
      <c r="D11" s="304">
        <f>SUM(D23,D35,D53,D65,D77,D95)</f>
        <v>5078.3169459225428</v>
      </c>
      <c r="E11" s="304"/>
      <c r="F11" s="304">
        <f t="shared" si="1"/>
        <v>64.693246416762008</v>
      </c>
      <c r="G11" s="304">
        <f t="shared" si="1"/>
        <v>81.397727114043747</v>
      </c>
      <c r="H11" s="304">
        <f t="shared" si="1"/>
        <v>122.30486253591783</v>
      </c>
      <c r="I11" s="304"/>
      <c r="J11" s="304">
        <f t="shared" si="2"/>
        <v>725.67244787315997</v>
      </c>
      <c r="K11" s="304">
        <f t="shared" si="2"/>
        <v>889.7276513552689</v>
      </c>
      <c r="L11" s="304">
        <f t="shared" si="2"/>
        <v>1261.4996175765905</v>
      </c>
      <c r="M11" s="304"/>
      <c r="N11" s="304">
        <f t="shared" si="3"/>
        <v>1450.7693634529553</v>
      </c>
      <c r="O11" s="304">
        <f t="shared" si="3"/>
        <v>1465.788827112533</v>
      </c>
      <c r="P11" s="304">
        <f t="shared" si="3"/>
        <v>1624.7880930946089</v>
      </c>
      <c r="Q11" s="306"/>
      <c r="R11" s="304">
        <f t="shared" ref="R11:T11" si="16">SUM(R23,R35,R53,R65,R77,R95)</f>
        <v>385.27450140182168</v>
      </c>
      <c r="S11" s="304">
        <f t="shared" si="16"/>
        <v>361.57664353325623</v>
      </c>
      <c r="T11" s="304">
        <f t="shared" si="16"/>
        <v>375.82715688626996</v>
      </c>
      <c r="U11" s="306"/>
      <c r="V11" s="304">
        <f t="shared" ref="V11:X11" si="17">SUM(V23,V35,V53,V65,V77,V95)</f>
        <v>326.01460833859244</v>
      </c>
      <c r="W11" s="304">
        <f t="shared" si="17"/>
        <v>303.29228412786358</v>
      </c>
      <c r="X11" s="304">
        <f t="shared" si="17"/>
        <v>319.41755850322511</v>
      </c>
      <c r="Y11" s="306"/>
      <c r="Z11" s="304">
        <f t="shared" ref="Z11:AB11" si="18">SUM(Z23,Z35,Z53,Z65,Z77,Z95)</f>
        <v>791.83788529317007</v>
      </c>
      <c r="AA11" s="304">
        <f t="shared" si="18"/>
        <v>709.62249389983322</v>
      </c>
      <c r="AB11" s="304">
        <f t="shared" si="18"/>
        <v>673.93001797943771</v>
      </c>
      <c r="AC11" s="306"/>
      <c r="AD11" s="304">
        <f t="shared" ref="AD11:AF11" si="19">SUM(AD23,AD35,AD53,AD65,AD77,AD95)</f>
        <v>596.94135201471636</v>
      </c>
      <c r="AE11" s="304">
        <f t="shared" si="19"/>
        <v>518.58364921907787</v>
      </c>
      <c r="AF11" s="304">
        <f t="shared" si="19"/>
        <v>406.25879222485571</v>
      </c>
      <c r="AG11" s="306"/>
      <c r="AH11" s="304">
        <f t="shared" ref="AH11:AJ11" si="20">SUM(AH23,AH35,AH53,AH65,AH77,AH95)</f>
        <v>355.73271589348815</v>
      </c>
      <c r="AI11" s="304">
        <f t="shared" si="20"/>
        <v>301.23174253813136</v>
      </c>
      <c r="AJ11" s="304">
        <f t="shared" si="20"/>
        <v>202.69635737707546</v>
      </c>
      <c r="AK11" s="306"/>
      <c r="AL11" s="304">
        <f t="shared" ref="AL11:AN11" si="21">SUM(AL23,AL35,AL53,AL65,AL77,AL95)</f>
        <v>84.987775851697876</v>
      </c>
      <c r="AM11" s="304">
        <f t="shared" si="21"/>
        <v>79.202985983320204</v>
      </c>
      <c r="AN11" s="304">
        <f t="shared" si="21"/>
        <v>91.594489744562722</v>
      </c>
    </row>
    <row r="12" spans="1:40" x14ac:dyDescent="0.3">
      <c r="A12" s="13" t="str">
        <f>name!E7</f>
        <v>Administrative and secretarial occupations</v>
      </c>
      <c r="B12" s="304">
        <f t="shared" si="0"/>
        <v>3741.7432874574624</v>
      </c>
      <c r="C12" s="304">
        <f t="shared" si="0"/>
        <v>3533.6821923072612</v>
      </c>
      <c r="D12" s="304">
        <f t="shared" si="0"/>
        <v>3254.9628154222046</v>
      </c>
      <c r="E12" s="304"/>
      <c r="F12" s="304">
        <f t="shared" si="1"/>
        <v>21.543773109651582</v>
      </c>
      <c r="G12" s="304">
        <f t="shared" si="1"/>
        <v>28.014417910256071</v>
      </c>
      <c r="H12" s="304">
        <f t="shared" si="1"/>
        <v>43.979183551576746</v>
      </c>
      <c r="I12" s="304"/>
      <c r="J12" s="304">
        <f t="shared" si="2"/>
        <v>260.3745109838278</v>
      </c>
      <c r="K12" s="304">
        <f t="shared" si="2"/>
        <v>336.11506260971049</v>
      </c>
      <c r="L12" s="304">
        <f t="shared" si="2"/>
        <v>476.23353992002995</v>
      </c>
      <c r="M12" s="304"/>
      <c r="N12" s="304">
        <f t="shared" si="3"/>
        <v>775.47028492834033</v>
      </c>
      <c r="O12" s="304">
        <f t="shared" si="3"/>
        <v>849.0078069820139</v>
      </c>
      <c r="P12" s="304">
        <f t="shared" si="3"/>
        <v>1008.4060324088475</v>
      </c>
      <c r="Q12" s="306"/>
      <c r="R12" s="304">
        <f t="shared" ref="R12:T12" si="22">SUM(R24,R36,R54,R66,R78,R96)</f>
        <v>288.63976901644872</v>
      </c>
      <c r="S12" s="304">
        <f t="shared" si="22"/>
        <v>307.797468696191</v>
      </c>
      <c r="T12" s="304">
        <f t="shared" si="22"/>
        <v>345.32056214853304</v>
      </c>
      <c r="U12" s="306"/>
      <c r="V12" s="304">
        <f t="shared" ref="V12:X12" si="23">SUM(V24,V36,V54,V66,V78,V96)</f>
        <v>263.69701673766031</v>
      </c>
      <c r="W12" s="304">
        <f t="shared" si="23"/>
        <v>268.51584506979407</v>
      </c>
      <c r="X12" s="304">
        <f t="shared" si="23"/>
        <v>295.01617293856617</v>
      </c>
      <c r="Y12" s="306"/>
      <c r="Z12" s="304">
        <f t="shared" ref="Z12:AA12" si="24">SUM(Z24,Z36,Z54,Z66,Z78,Z96)</f>
        <v>757.83843159465061</v>
      </c>
      <c r="AA12" s="304">
        <f t="shared" si="24"/>
        <v>688.03934949806421</v>
      </c>
      <c r="AB12" s="304">
        <f>SUM(AB24,AB36,AB54,AB66,AB78,AB96)</f>
        <v>503.29457072226131</v>
      </c>
      <c r="AC12" s="306"/>
      <c r="AD12" s="304">
        <f t="shared" ref="AD12:AE12" si="25">SUM(AD24,AD36,AD54,AD66,AD78,AD96)</f>
        <v>807.47649759959654</v>
      </c>
      <c r="AE12" s="304">
        <f t="shared" si="25"/>
        <v>659.89881634079075</v>
      </c>
      <c r="AF12" s="304">
        <f>SUM(AF24,AF36,AF54,AF66,AF78,AF96)</f>
        <v>394.03846636228531</v>
      </c>
      <c r="AG12" s="306"/>
      <c r="AH12" s="304">
        <f t="shared" ref="AH12:AI12" si="26">SUM(AH24,AH36,AH54,AH66,AH78,AH96)</f>
        <v>442.62543519118429</v>
      </c>
      <c r="AI12" s="304">
        <f t="shared" si="26"/>
        <v>287.96710984632875</v>
      </c>
      <c r="AJ12" s="304">
        <f>SUM(AJ24,AJ36,AJ54,AJ66,AJ78,AJ96)</f>
        <v>95.339502259889812</v>
      </c>
      <c r="AK12" s="306"/>
      <c r="AL12" s="304">
        <f t="shared" ref="AL12:AM12" si="27">SUM(AL24,AL36,AL54,AL66,AL78,AL96)</f>
        <v>124.07756829610236</v>
      </c>
      <c r="AM12" s="304">
        <f t="shared" si="27"/>
        <v>108.32631535411207</v>
      </c>
      <c r="AN12" s="304">
        <f>SUM(AN24,AN36,AN54,AN66,AN78,AN96)</f>
        <v>93.334785110214867</v>
      </c>
    </row>
    <row r="13" spans="1:40" x14ac:dyDescent="0.3">
      <c r="A13" s="13" t="str">
        <f>name!E8</f>
        <v>Skilled trades occupations</v>
      </c>
      <c r="B13" s="304">
        <f t="shared" si="0"/>
        <v>3028.9282668384908</v>
      </c>
      <c r="C13" s="304">
        <f t="shared" si="0"/>
        <v>3070.1795836971392</v>
      </c>
      <c r="D13" s="304">
        <f t="shared" si="0"/>
        <v>2990.0528560786356</v>
      </c>
      <c r="E13" s="304"/>
      <c r="F13" s="304">
        <f t="shared" si="1"/>
        <v>6.0002894944935257</v>
      </c>
      <c r="G13" s="304">
        <f t="shared" si="1"/>
        <v>8.1696423319688964</v>
      </c>
      <c r="H13" s="304">
        <f t="shared" si="1"/>
        <v>12.544499969709575</v>
      </c>
      <c r="I13" s="304"/>
      <c r="J13" s="304">
        <f t="shared" si="2"/>
        <v>69.774351507928984</v>
      </c>
      <c r="K13" s="304">
        <f t="shared" si="2"/>
        <v>102.81393870835491</v>
      </c>
      <c r="L13" s="304">
        <f t="shared" si="2"/>
        <v>170.00025829574423</v>
      </c>
      <c r="M13" s="304"/>
      <c r="N13" s="304">
        <f t="shared" si="3"/>
        <v>219.62915368420744</v>
      </c>
      <c r="O13" s="304">
        <f t="shared" si="3"/>
        <v>268.56039320878949</v>
      </c>
      <c r="P13" s="304">
        <f t="shared" si="3"/>
        <v>350.03428991627271</v>
      </c>
      <c r="Q13" s="306"/>
      <c r="R13" s="304">
        <f t="shared" ref="R13:T13" si="28">SUM(R25,R37,R55,R67,R79,R97)</f>
        <v>97.146034762445055</v>
      </c>
      <c r="S13" s="304">
        <f t="shared" si="28"/>
        <v>111.7414660264769</v>
      </c>
      <c r="T13" s="304">
        <f t="shared" si="28"/>
        <v>142.69771968308487</v>
      </c>
      <c r="U13" s="306"/>
      <c r="V13" s="304">
        <f t="shared" ref="V13:X13" si="29">SUM(V25,V37,V55,V67,V79,V97)</f>
        <v>194.45869664620162</v>
      </c>
      <c r="W13" s="304">
        <f t="shared" si="29"/>
        <v>222.19376324914262</v>
      </c>
      <c r="X13" s="304">
        <f t="shared" si="29"/>
        <v>275.42628680543714</v>
      </c>
      <c r="Y13" s="306"/>
      <c r="Z13" s="304">
        <f t="shared" ref="Z13:AB13" si="30">SUM(Z25,Z37,Z55,Z67,Z79,Z97)</f>
        <v>975.95688105270472</v>
      </c>
      <c r="AA13" s="304">
        <f t="shared" si="30"/>
        <v>965.43500331480152</v>
      </c>
      <c r="AB13" s="304">
        <f t="shared" si="30"/>
        <v>890.4612947411465</v>
      </c>
      <c r="AC13" s="306"/>
      <c r="AD13" s="304">
        <f t="shared" ref="AD13:AF13" si="31">SUM(AD25,AD37,AD55,AD67,AD79,AD97)</f>
        <v>786.25967285366471</v>
      </c>
      <c r="AE13" s="304">
        <f t="shared" si="31"/>
        <v>761.60074025102494</v>
      </c>
      <c r="AF13" s="304">
        <f t="shared" si="31"/>
        <v>687.46532976523804</v>
      </c>
      <c r="AG13" s="306"/>
      <c r="AH13" s="304">
        <f t="shared" ref="AH13:AJ13" si="32">SUM(AH25,AH37,AH55,AH67,AH79,AH97)</f>
        <v>455.3504451811657</v>
      </c>
      <c r="AI13" s="304">
        <f t="shared" si="32"/>
        <v>444.16542883662538</v>
      </c>
      <c r="AJ13" s="304">
        <f t="shared" si="32"/>
        <v>359.11019816790349</v>
      </c>
      <c r="AK13" s="306"/>
      <c r="AL13" s="304">
        <f t="shared" ref="AL13:AN13" si="33">SUM(AL25,AL37,AL55,AL67,AL79,AL97)</f>
        <v>224.35274165567921</v>
      </c>
      <c r="AM13" s="304">
        <f t="shared" si="33"/>
        <v>185.49920776995469</v>
      </c>
      <c r="AN13" s="304">
        <f t="shared" si="33"/>
        <v>102.31297873409825</v>
      </c>
    </row>
    <row r="14" spans="1:40" x14ac:dyDescent="0.3">
      <c r="A14" s="13" t="str">
        <f>name!E9</f>
        <v>Caring, leisure and other service occupations</v>
      </c>
      <c r="B14" s="304">
        <f t="shared" si="0"/>
        <v>3133.5407600361859</v>
      </c>
      <c r="C14" s="304">
        <f t="shared" si="0"/>
        <v>3358.3390070352611</v>
      </c>
      <c r="D14" s="304">
        <f t="shared" si="0"/>
        <v>3635.2994154397356</v>
      </c>
      <c r="E14" s="304"/>
      <c r="F14" s="304">
        <f t="shared" si="1"/>
        <v>3.5726666679502372</v>
      </c>
      <c r="G14" s="304">
        <f t="shared" si="1"/>
        <v>5.2494998384715021</v>
      </c>
      <c r="H14" s="304">
        <f t="shared" si="1"/>
        <v>8.6318970543482489</v>
      </c>
      <c r="I14" s="304"/>
      <c r="J14" s="304">
        <f t="shared" si="2"/>
        <v>132.43251421996715</v>
      </c>
      <c r="K14" s="304">
        <f t="shared" si="2"/>
        <v>188.99979073028646</v>
      </c>
      <c r="L14" s="304">
        <f t="shared" si="2"/>
        <v>304.02288949792495</v>
      </c>
      <c r="M14" s="304"/>
      <c r="N14" s="304">
        <f t="shared" si="3"/>
        <v>406.22656026611429</v>
      </c>
      <c r="O14" s="304">
        <f t="shared" si="3"/>
        <v>488.44859815213613</v>
      </c>
      <c r="P14" s="304">
        <f t="shared" si="3"/>
        <v>622.44309141219674</v>
      </c>
      <c r="Q14" s="306"/>
      <c r="R14" s="304">
        <f>SUM(R26,R38,R56,R68,R80,R98)</f>
        <v>309.03255423786663</v>
      </c>
      <c r="S14" s="304">
        <f t="shared" ref="S14:T14" si="34">SUM(S26,S38,S56,S68,S80,S98)</f>
        <v>332.73921596556278</v>
      </c>
      <c r="T14" s="304">
        <f t="shared" si="34"/>
        <v>372.61199545235337</v>
      </c>
      <c r="U14" s="306"/>
      <c r="V14" s="304">
        <f t="shared" ref="V14:X14" si="35">SUM(V26,V38,V56,V68,V80,V98)</f>
        <v>219.12869606712684</v>
      </c>
      <c r="W14" s="304">
        <f t="shared" si="35"/>
        <v>245.16243266128436</v>
      </c>
      <c r="X14" s="304">
        <f t="shared" si="35"/>
        <v>300.61440913038302</v>
      </c>
      <c r="Y14" s="306"/>
      <c r="Z14" s="304">
        <f t="shared" ref="Z14:AB14" si="36">SUM(Z26,Z38,Z56,Z68,Z80,Z98)</f>
        <v>1025.4107408764523</v>
      </c>
      <c r="AA14" s="304">
        <f t="shared" si="36"/>
        <v>1116.5086495137073</v>
      </c>
      <c r="AB14" s="304">
        <f t="shared" si="36"/>
        <v>1242.1452835034879</v>
      </c>
      <c r="AC14" s="306"/>
      <c r="AD14" s="304">
        <f t="shared" ref="AD14:AF14" si="37">SUM(AD26,AD38,AD56,AD68,AD80,AD98)</f>
        <v>754.69049752852163</v>
      </c>
      <c r="AE14" s="304">
        <f t="shared" si="37"/>
        <v>732.69998178680805</v>
      </c>
      <c r="AF14" s="304">
        <f t="shared" si="37"/>
        <v>582.72142351894104</v>
      </c>
      <c r="AG14" s="306"/>
      <c r="AH14" s="304">
        <f t="shared" ref="AH14:AJ14" si="38">SUM(AH26,AH38,AH56,AH68,AH80,AH98)</f>
        <v>214.48357792607146</v>
      </c>
      <c r="AI14" s="304">
        <f t="shared" si="38"/>
        <v>185.91100758291162</v>
      </c>
      <c r="AJ14" s="304">
        <f t="shared" si="38"/>
        <v>147.7010885149007</v>
      </c>
      <c r="AK14" s="306"/>
      <c r="AL14" s="304">
        <f t="shared" ref="AL14:AN14" si="39">SUM(AL26,AL38,AL56,AL68,AL80,AL98)</f>
        <v>68.562952246115032</v>
      </c>
      <c r="AM14" s="304">
        <f t="shared" si="39"/>
        <v>62.619830804092999</v>
      </c>
      <c r="AN14" s="304">
        <f t="shared" si="39"/>
        <v>54.407337355199871</v>
      </c>
    </row>
    <row r="15" spans="1:40" x14ac:dyDescent="0.3">
      <c r="A15" s="13" t="str">
        <f>name!E10</f>
        <v>Sales and customer service occupations</v>
      </c>
      <c r="B15" s="304">
        <f t="shared" si="0"/>
        <v>2787.0869152161581</v>
      </c>
      <c r="C15" s="304">
        <f t="shared" si="0"/>
        <v>2804.3168749890669</v>
      </c>
      <c r="D15" s="304">
        <f t="shared" si="0"/>
        <v>2816.4265212171349</v>
      </c>
      <c r="E15" s="304"/>
      <c r="F15" s="304">
        <f t="shared" si="1"/>
        <v>8.3813494127913994</v>
      </c>
      <c r="G15" s="304">
        <f t="shared" si="1"/>
        <v>11.699012347563494</v>
      </c>
      <c r="H15" s="304">
        <f t="shared" si="1"/>
        <v>17.805344073352583</v>
      </c>
      <c r="I15" s="304"/>
      <c r="J15" s="304">
        <f t="shared" si="2"/>
        <v>115.82442512823982</v>
      </c>
      <c r="K15" s="304">
        <f t="shared" si="2"/>
        <v>160.82318465703864</v>
      </c>
      <c r="L15" s="304">
        <f t="shared" si="2"/>
        <v>261.87776891884442</v>
      </c>
      <c r="M15" s="304"/>
      <c r="N15" s="304">
        <f t="shared" si="3"/>
        <v>421.27906514928725</v>
      </c>
      <c r="O15" s="304">
        <f t="shared" si="3"/>
        <v>488.29115986505451</v>
      </c>
      <c r="P15" s="304">
        <f t="shared" si="3"/>
        <v>631.71660115476425</v>
      </c>
      <c r="Q15" s="306"/>
      <c r="R15" s="304">
        <f t="shared" ref="R15:T15" si="40">SUM(R27,R39,R57,R69,R81,R99)</f>
        <v>137.16498301838303</v>
      </c>
      <c r="S15" s="304">
        <f t="shared" si="40"/>
        <v>153.49154348103528</v>
      </c>
      <c r="T15" s="304">
        <f t="shared" si="40"/>
        <v>194.81521272645278</v>
      </c>
      <c r="U15" s="306"/>
      <c r="V15" s="304">
        <f t="shared" ref="V15:X15" si="41">SUM(V27,V39,V57,V69,V81,V99)</f>
        <v>125.63076023409138</v>
      </c>
      <c r="W15" s="304">
        <f t="shared" si="41"/>
        <v>139.50106041516838</v>
      </c>
      <c r="X15" s="304">
        <f t="shared" si="41"/>
        <v>167.17950583336383</v>
      </c>
      <c r="Y15" s="306"/>
      <c r="Z15" s="304">
        <f t="shared" ref="Z15:AB15" si="42">SUM(Z27,Z39,Z57,Z69,Z81,Z99)</f>
        <v>720.57380171850718</v>
      </c>
      <c r="AA15" s="304">
        <f t="shared" si="42"/>
        <v>727.75061874823052</v>
      </c>
      <c r="AB15" s="304">
        <f t="shared" si="42"/>
        <v>748.81739272076857</v>
      </c>
      <c r="AC15" s="306"/>
      <c r="AD15" s="304">
        <f t="shared" ref="AD15:AF15" si="43">SUM(AD27,AD39,AD57,AD69,AD81,AD99)</f>
        <v>673.5806999792029</v>
      </c>
      <c r="AE15" s="304">
        <f t="shared" si="43"/>
        <v>635.78523056670667</v>
      </c>
      <c r="AF15" s="304">
        <f t="shared" si="43"/>
        <v>514.71031126840592</v>
      </c>
      <c r="AG15" s="306"/>
      <c r="AH15" s="304">
        <f t="shared" ref="AH15:AJ15" si="44">SUM(AH27,AH39,AH57,AH69,AH81,AH99)</f>
        <v>418.01739048230081</v>
      </c>
      <c r="AI15" s="304">
        <f t="shared" si="44"/>
        <v>353.60455010301433</v>
      </c>
      <c r="AJ15" s="304">
        <f t="shared" si="44"/>
        <v>173.89346861449908</v>
      </c>
      <c r="AK15" s="306"/>
      <c r="AL15" s="304">
        <f t="shared" ref="AL15:AN15" si="45">SUM(AL27,AL39,AL57,AL69,AL81,AL99)</f>
        <v>166.63444009335407</v>
      </c>
      <c r="AM15" s="304">
        <f t="shared" si="45"/>
        <v>133.37051480525469</v>
      </c>
      <c r="AN15" s="304">
        <f t="shared" si="45"/>
        <v>105.61091590668291</v>
      </c>
    </row>
    <row r="16" spans="1:40" x14ac:dyDescent="0.3">
      <c r="A16" s="13" t="str">
        <f>name!E11</f>
        <v>Process, plant and machine operatives</v>
      </c>
      <c r="B16" s="304">
        <f t="shared" si="0"/>
        <v>1957.2722281630488</v>
      </c>
      <c r="C16" s="304">
        <f t="shared" si="0"/>
        <v>2200.4595251607307</v>
      </c>
      <c r="D16" s="304">
        <f t="shared" si="0"/>
        <v>2178.9115502901759</v>
      </c>
      <c r="E16" s="304"/>
      <c r="F16" s="304">
        <f t="shared" si="1"/>
        <v>5.3665959566709089</v>
      </c>
      <c r="G16" s="304">
        <f t="shared" si="1"/>
        <v>9.1646422459147079</v>
      </c>
      <c r="H16" s="304">
        <f t="shared" si="1"/>
        <v>16.856466944242879</v>
      </c>
      <c r="I16" s="304"/>
      <c r="J16" s="304">
        <f t="shared" si="2"/>
        <v>37.436266963848709</v>
      </c>
      <c r="K16" s="304">
        <f t="shared" si="2"/>
        <v>59.508514036878424</v>
      </c>
      <c r="L16" s="304">
        <f t="shared" si="2"/>
        <v>104.79459939556124</v>
      </c>
      <c r="M16" s="304"/>
      <c r="N16" s="304">
        <f t="shared" si="3"/>
        <v>98.946240543310154</v>
      </c>
      <c r="O16" s="304">
        <f t="shared" si="3"/>
        <v>134.70970380959176</v>
      </c>
      <c r="P16" s="304">
        <f t="shared" si="3"/>
        <v>199.16795619504725</v>
      </c>
      <c r="Q16" s="306"/>
      <c r="R16" s="304">
        <f t="shared" ref="R16:T16" si="46">SUM(R28,R40,R58,R70,R82,R100)</f>
        <v>46.954524357356881</v>
      </c>
      <c r="S16" s="304">
        <f t="shared" si="46"/>
        <v>63.056308149436667</v>
      </c>
      <c r="T16" s="304">
        <f t="shared" si="46"/>
        <v>86.007639055966038</v>
      </c>
      <c r="U16" s="306"/>
      <c r="V16" s="304">
        <f t="shared" ref="V16:X16" si="47">SUM(V28,V40,V58,V70,V82,V100)</f>
        <v>83.862303570233223</v>
      </c>
      <c r="W16" s="304">
        <f t="shared" si="47"/>
        <v>110.6508284223723</v>
      </c>
      <c r="X16" s="304">
        <f t="shared" si="47"/>
        <v>145.50815220284886</v>
      </c>
      <c r="Y16" s="306"/>
      <c r="Z16" s="304">
        <f t="shared" ref="Z16:AB16" si="48">SUM(Z28,Z40,Z58,Z70,Z82,Z100)</f>
        <v>427.64202756894548</v>
      </c>
      <c r="AA16" s="304">
        <f t="shared" si="48"/>
        <v>513.48957121109117</v>
      </c>
      <c r="AB16" s="304">
        <f t="shared" si="48"/>
        <v>564.97824768386613</v>
      </c>
      <c r="AC16" s="306"/>
      <c r="AD16" s="304">
        <f t="shared" ref="AD16:AF16" si="49">SUM(AD28,AD40,AD58,AD70,AD82,AD100)</f>
        <v>580.89483148822194</v>
      </c>
      <c r="AE16" s="304">
        <f t="shared" si="49"/>
        <v>672.45814801778454</v>
      </c>
      <c r="AF16" s="304">
        <f t="shared" si="49"/>
        <v>658.54993801196895</v>
      </c>
      <c r="AG16" s="306"/>
      <c r="AH16" s="304">
        <f t="shared" ref="AH16:AJ16" si="50">SUM(AH28,AH40,AH58,AH70,AH82,AH100)</f>
        <v>461.41326283471426</v>
      </c>
      <c r="AI16" s="304">
        <f t="shared" si="50"/>
        <v>470.07596534948954</v>
      </c>
      <c r="AJ16" s="304">
        <f t="shared" si="50"/>
        <v>309.38327183042844</v>
      </c>
      <c r="AK16" s="306"/>
      <c r="AL16" s="304">
        <f t="shared" ref="AL16:AN16" si="51">SUM(AL28,AL40,AL58,AL70,AL82,AL100)</f>
        <v>214.75617487974733</v>
      </c>
      <c r="AM16" s="304">
        <f t="shared" si="51"/>
        <v>167.34584391817165</v>
      </c>
      <c r="AN16" s="304">
        <f t="shared" si="51"/>
        <v>93.66527897024622</v>
      </c>
    </row>
    <row r="17" spans="1:40" x14ac:dyDescent="0.3">
      <c r="A17" s="13" t="str">
        <f>name!E12</f>
        <v>Elementary occupations</v>
      </c>
      <c r="B17" s="304">
        <f t="shared" si="0"/>
        <v>3598.3337334970074</v>
      </c>
      <c r="C17" s="304">
        <f t="shared" si="0"/>
        <v>3593.7838726699611</v>
      </c>
      <c r="D17" s="304">
        <f t="shared" si="0"/>
        <v>3453.8359448220795</v>
      </c>
      <c r="E17" s="304"/>
      <c r="F17" s="304">
        <f t="shared" si="1"/>
        <v>3.0179832194021325</v>
      </c>
      <c r="G17" s="304">
        <f t="shared" si="1"/>
        <v>4.3260147871321282</v>
      </c>
      <c r="H17" s="304">
        <f t="shared" si="1"/>
        <v>6.6166166254757561</v>
      </c>
      <c r="I17" s="304"/>
      <c r="J17" s="304">
        <f t="shared" si="2"/>
        <v>97.349084100646635</v>
      </c>
      <c r="K17" s="304">
        <f t="shared" si="2"/>
        <v>144.9567095812165</v>
      </c>
      <c r="L17" s="304">
        <f t="shared" si="2"/>
        <v>259.61617626132522</v>
      </c>
      <c r="M17" s="304"/>
      <c r="N17" s="304">
        <f t="shared" si="3"/>
        <v>307.10957474434349</v>
      </c>
      <c r="O17" s="304">
        <f t="shared" si="3"/>
        <v>365.70579576775384</v>
      </c>
      <c r="P17" s="304">
        <f t="shared" si="3"/>
        <v>476.78106694436576</v>
      </c>
      <c r="Q17" s="306"/>
      <c r="R17" s="304">
        <f t="shared" ref="R17:T17" si="52">SUM(R29,R41,R59,R71,R83,R101)</f>
        <v>154.09765834863813</v>
      </c>
      <c r="S17" s="304">
        <f t="shared" si="52"/>
        <v>180.35427024350713</v>
      </c>
      <c r="T17" s="304">
        <f t="shared" si="52"/>
        <v>240.54778497953575</v>
      </c>
      <c r="U17" s="306"/>
      <c r="V17" s="304">
        <f t="shared" ref="V17:X17" si="53">SUM(V29,V41,V59,V71,V83,V101)</f>
        <v>141.01144018245449</v>
      </c>
      <c r="W17" s="304">
        <f t="shared" si="53"/>
        <v>160.23617883183763</v>
      </c>
      <c r="X17" s="304">
        <f t="shared" si="53"/>
        <v>208.64107996157094</v>
      </c>
      <c r="Y17" s="306"/>
      <c r="Z17" s="304">
        <f t="shared" ref="Z17:AB17" si="54">SUM(Z29,Z41,Z59,Z71,Z83,Z101)</f>
        <v>621.41506492948793</v>
      </c>
      <c r="AA17" s="304">
        <f t="shared" si="54"/>
        <v>610.95939779662467</v>
      </c>
      <c r="AB17" s="304">
        <f t="shared" si="54"/>
        <v>603.19776338425925</v>
      </c>
      <c r="AC17" s="306"/>
      <c r="AD17" s="304">
        <f t="shared" ref="AD17:AF17" si="55">SUM(AD29,AD41,AD59,AD71,AD83,AD101)</f>
        <v>992.38844768977674</v>
      </c>
      <c r="AE17" s="304">
        <f t="shared" si="55"/>
        <v>993.94510047337576</v>
      </c>
      <c r="AF17" s="304">
        <f t="shared" si="55"/>
        <v>868.28798474981454</v>
      </c>
      <c r="AG17" s="306"/>
      <c r="AH17" s="304">
        <f t="shared" ref="AH17:AJ17" si="56">SUM(AH29,AH41,AH59,AH71,AH83,AH101)</f>
        <v>903.46488895748155</v>
      </c>
      <c r="AI17" s="304">
        <f t="shared" si="56"/>
        <v>856.95974455383555</v>
      </c>
      <c r="AJ17" s="304">
        <f t="shared" si="56"/>
        <v>599.44913892267675</v>
      </c>
      <c r="AK17" s="306"/>
      <c r="AL17" s="304">
        <f t="shared" ref="AL17:AN17" si="57">SUM(AL29,AL41,AL59,AL71,AL83,AL101)</f>
        <v>378.47959132477678</v>
      </c>
      <c r="AM17" s="304">
        <f t="shared" si="57"/>
        <v>276.34066063467787</v>
      </c>
      <c r="AN17" s="304">
        <f t="shared" si="57"/>
        <v>190.6983329930554</v>
      </c>
    </row>
    <row r="18" spans="1:40" x14ac:dyDescent="0.3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3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3">
      <c r="A20" s="13" t="str">
        <f t="shared" ref="A20:A29" si="58">A8</f>
        <v>All occupations</v>
      </c>
      <c r="B20" s="305">
        <f>SUM(B21:B29)</f>
        <v>789.98499999599039</v>
      </c>
      <c r="C20" s="305">
        <f>SUM(C21:C29)</f>
        <v>795.8709999995715</v>
      </c>
      <c r="D20" s="305">
        <f>SUM(D21:D29)</f>
        <v>808.09199999781742</v>
      </c>
      <c r="E20" s="304"/>
      <c r="F20" s="305">
        <f>SUM(F21:F29)</f>
        <v>9.9666002676550267</v>
      </c>
      <c r="G20" s="305">
        <f>SUM(G21:G29)</f>
        <v>12.374965054703061</v>
      </c>
      <c r="H20" s="305">
        <f>SUM(H21:H29)</f>
        <v>17.778860877630919</v>
      </c>
      <c r="I20" s="304"/>
      <c r="J20" s="305">
        <f>SUM(J21:J29)</f>
        <v>57.666984603815955</v>
      </c>
      <c r="K20" s="305">
        <f>SUM(K21:K29)</f>
        <v>68.512765228911064</v>
      </c>
      <c r="L20" s="305">
        <f>SUM(L21:L29)</f>
        <v>93.189170839705639</v>
      </c>
      <c r="M20" s="304"/>
      <c r="N20" s="305">
        <f>SUM(N21:N29)</f>
        <v>138.48694957607663</v>
      </c>
      <c r="O20" s="305">
        <f>SUM(O21:O29)</f>
        <v>147.2239222688724</v>
      </c>
      <c r="P20" s="305">
        <f>SUM(P21:P29)</f>
        <v>171.83281819673141</v>
      </c>
      <c r="Q20" s="306"/>
      <c r="R20" s="305">
        <f>SUM(R21:R29)</f>
        <v>31.942039226289687</v>
      </c>
      <c r="S20" s="305">
        <f>SUM(S21:S29)</f>
        <v>35.02338334941026</v>
      </c>
      <c r="T20" s="305">
        <f>SUM(T21:T29)</f>
        <v>42.99300184596887</v>
      </c>
      <c r="U20" s="306"/>
      <c r="V20" s="305">
        <f>SUM(V21:V29)</f>
        <v>72.320983433181084</v>
      </c>
      <c r="W20" s="305">
        <f>SUM(W21:W29)</f>
        <v>77.07075724023349</v>
      </c>
      <c r="X20" s="305">
        <f>SUM(X21:X29)</f>
        <v>91.013605299691463</v>
      </c>
      <c r="Y20" s="306"/>
      <c r="Z20" s="305">
        <f>SUM(Z21:Z29)</f>
        <v>152.4168530496016</v>
      </c>
      <c r="AA20" s="305">
        <f>SUM(AA21:AA29)</f>
        <v>148.62185723327909</v>
      </c>
      <c r="AB20" s="305">
        <f>SUM(AB21:AB29)</f>
        <v>143.51177148471322</v>
      </c>
      <c r="AC20" s="306"/>
      <c r="AD20" s="305">
        <f>SUM(AD21:AD29)</f>
        <v>152.40855665552729</v>
      </c>
      <c r="AE20" s="305">
        <f>SUM(AE21:AE29)</f>
        <v>143.41520719667153</v>
      </c>
      <c r="AF20" s="305">
        <f>SUM(AF21:AF29)</f>
        <v>124.37274091368107</v>
      </c>
      <c r="AG20" s="306"/>
      <c r="AH20" s="305">
        <f>SUM(AH21:AH29)</f>
        <v>101.45836273001248</v>
      </c>
      <c r="AI20" s="305">
        <f>SUM(AI21:AI29)</f>
        <v>90.293493209459029</v>
      </c>
      <c r="AJ20" s="305">
        <f>SUM(AJ21:AJ29)</f>
        <v>67.083700964486411</v>
      </c>
      <c r="AK20" s="306"/>
      <c r="AL20" s="305">
        <f>SUM(AL21:AL29)</f>
        <v>73.317670453830644</v>
      </c>
      <c r="AM20" s="305">
        <f>SUM(AM21:AM29)</f>
        <v>73.334649218031515</v>
      </c>
      <c r="AN20" s="305">
        <f>SUM(AN21:AN29)</f>
        <v>56.316329575208442</v>
      </c>
    </row>
    <row r="21" spans="1:40" x14ac:dyDescent="0.3">
      <c r="A21" s="13" t="str">
        <f t="shared" si="58"/>
        <v>Managers, directors and senior officials</v>
      </c>
      <c r="B21" s="304">
        <f>SUM(F21,J21,N21,R21,V21,Z21,AD21,AH21,AL21)</f>
        <v>76.624703559982464</v>
      </c>
      <c r="C21" s="304">
        <f t="shared" ref="C21:D21" si="59">SUM(G21,K21,O21,S21,W21,AA21,AE21,AI21,AM21)</f>
        <v>80.585325121341</v>
      </c>
      <c r="D21" s="304">
        <f t="shared" si="59"/>
        <v>87.16451292946708</v>
      </c>
      <c r="E21" s="304"/>
      <c r="F21" s="304">
        <v>1.9409972167415093</v>
      </c>
      <c r="G21" s="304">
        <v>2.4292351586801084</v>
      </c>
      <c r="H21" s="304">
        <v>3.2453882754627839</v>
      </c>
      <c r="I21" s="304"/>
      <c r="J21" s="304">
        <v>13.155725779979679</v>
      </c>
      <c r="K21" s="304">
        <v>14.869073921997378</v>
      </c>
      <c r="L21" s="304">
        <v>19.007881763689458</v>
      </c>
      <c r="M21" s="304"/>
      <c r="N21" s="304">
        <v>17.824838648268972</v>
      </c>
      <c r="O21" s="304">
        <v>18.095664756993063</v>
      </c>
      <c r="P21" s="304">
        <v>20.143535276429965</v>
      </c>
      <c r="Q21" s="306"/>
      <c r="R21" s="304">
        <v>3.7452686130728892</v>
      </c>
      <c r="S21" s="304">
        <v>4.1746827777515554</v>
      </c>
      <c r="T21" s="304">
        <v>4.7862672540506939</v>
      </c>
      <c r="U21" s="306"/>
      <c r="V21" s="304">
        <v>5.2980681012955078</v>
      </c>
      <c r="W21" s="304">
        <v>4.9582751118890727</v>
      </c>
      <c r="X21" s="304">
        <v>4.9903046874314461</v>
      </c>
      <c r="Y21" s="306"/>
      <c r="Z21" s="304">
        <v>12.311209879358476</v>
      </c>
      <c r="AA21" s="304">
        <v>13.835170463335905</v>
      </c>
      <c r="AB21" s="304">
        <v>16.164608831288525</v>
      </c>
      <c r="AC21" s="306"/>
      <c r="AD21" s="304">
        <v>10.796242981743395</v>
      </c>
      <c r="AE21" s="304">
        <v>10.697629193770117</v>
      </c>
      <c r="AF21" s="304">
        <v>8.6010102495111038</v>
      </c>
      <c r="AG21" s="306"/>
      <c r="AH21" s="304">
        <v>6.5455883821544356</v>
      </c>
      <c r="AI21" s="304">
        <v>5.9497447059497226</v>
      </c>
      <c r="AJ21" s="304">
        <v>3.9801175252491445</v>
      </c>
      <c r="AK21" s="306"/>
      <c r="AL21" s="304">
        <v>5.0067639573676059</v>
      </c>
      <c r="AM21" s="304">
        <v>5.5758490309740738</v>
      </c>
      <c r="AN21" s="304">
        <v>6.2453990663539702</v>
      </c>
    </row>
    <row r="22" spans="1:40" x14ac:dyDescent="0.3">
      <c r="A22" s="13" t="str">
        <f t="shared" si="58"/>
        <v>Professional occupations</v>
      </c>
      <c r="B22" s="304">
        <f t="shared" ref="B22:B29" si="60">SUM(F22,J22,N22,R22,V22,Z22,AD22,AH22,AL22)</f>
        <v>108.27427750426065</v>
      </c>
      <c r="C22" s="304">
        <f t="shared" ref="C22:C29" si="61">SUM(G22,K22,O22,S22,W22,AA22,AE22,AI22,AM22)</f>
        <v>114.55301555994431</v>
      </c>
      <c r="D22" s="304">
        <f t="shared" ref="D22:D29" si="62">SUM(H22,L22,P22,T22,X22,AB22,AF22,AJ22,AN22)</f>
        <v>127.19689012233002</v>
      </c>
      <c r="E22" s="304"/>
      <c r="F22" s="304">
        <v>4.290173955716762</v>
      </c>
      <c r="G22" s="304">
        <v>5.4375035170675146</v>
      </c>
      <c r="H22" s="304">
        <v>7.774420998692058</v>
      </c>
      <c r="I22" s="304"/>
      <c r="J22" s="304">
        <v>22.36725921419529</v>
      </c>
      <c r="K22" s="304">
        <v>27.440208327970133</v>
      </c>
      <c r="L22" s="304">
        <v>37.657496703977436</v>
      </c>
      <c r="M22" s="304"/>
      <c r="N22" s="304">
        <v>34.588801556970431</v>
      </c>
      <c r="O22" s="304">
        <v>34.723199586859806</v>
      </c>
      <c r="P22" s="304">
        <v>35.13781091916551</v>
      </c>
      <c r="Q22" s="306"/>
      <c r="R22" s="304">
        <v>3.5284040500274281</v>
      </c>
      <c r="S22" s="304">
        <v>3.6636648951426802</v>
      </c>
      <c r="T22" s="304">
        <v>3.9679203198873743</v>
      </c>
      <c r="U22" s="306"/>
      <c r="V22" s="304">
        <v>13.135895628553934</v>
      </c>
      <c r="W22" s="304">
        <v>13.312020646601274</v>
      </c>
      <c r="X22" s="304">
        <v>14.405569832265956</v>
      </c>
      <c r="Y22" s="306"/>
      <c r="Z22" s="304">
        <v>12.146222164187748</v>
      </c>
      <c r="AA22" s="304">
        <v>11.39487651459949</v>
      </c>
      <c r="AB22" s="304">
        <v>10.183045662164934</v>
      </c>
      <c r="AC22" s="306"/>
      <c r="AD22" s="304">
        <v>8.8538321301155332</v>
      </c>
      <c r="AE22" s="304">
        <v>8.5374886708993749</v>
      </c>
      <c r="AF22" s="304">
        <v>8.5867958125735857</v>
      </c>
      <c r="AG22" s="306"/>
      <c r="AH22" s="304">
        <v>5.8619342921824771</v>
      </c>
      <c r="AI22" s="304">
        <v>5.9000966601692593</v>
      </c>
      <c r="AJ22" s="304">
        <v>4.7675984454802949</v>
      </c>
      <c r="AK22" s="306"/>
      <c r="AL22" s="304">
        <v>3.5017545123110323</v>
      </c>
      <c r="AM22" s="304">
        <v>4.1439567406347964</v>
      </c>
      <c r="AN22" s="304">
        <v>4.7162314281229021</v>
      </c>
    </row>
    <row r="23" spans="1:40" x14ac:dyDescent="0.3">
      <c r="A23" s="13" t="str">
        <f t="shared" si="58"/>
        <v>Associate professional occupations</v>
      </c>
      <c r="B23" s="304">
        <f t="shared" si="60"/>
        <v>75.594723617875715</v>
      </c>
      <c r="C23" s="304">
        <f t="shared" si="61"/>
        <v>71.745804093656275</v>
      </c>
      <c r="D23" s="304">
        <f t="shared" si="62"/>
        <v>78.104469708075285</v>
      </c>
      <c r="E23" s="304"/>
      <c r="F23" s="304">
        <v>1.7510803721123247</v>
      </c>
      <c r="G23" s="304">
        <v>2.0261506374677833</v>
      </c>
      <c r="H23" s="304">
        <v>3.0359490072489939</v>
      </c>
      <c r="I23" s="304"/>
      <c r="J23" s="304">
        <v>7.9700900687469893</v>
      </c>
      <c r="K23" s="304">
        <v>9.1630925867748285</v>
      </c>
      <c r="L23" s="304">
        <v>12.366985810425987</v>
      </c>
      <c r="M23" s="304"/>
      <c r="N23" s="304">
        <v>19.838954957475462</v>
      </c>
      <c r="O23" s="304">
        <v>18.811623617297673</v>
      </c>
      <c r="P23" s="304">
        <v>20.264896301510934</v>
      </c>
      <c r="Q23" s="306"/>
      <c r="R23" s="304">
        <v>2.1614183137477365</v>
      </c>
      <c r="S23" s="304">
        <v>2.0777983207770339</v>
      </c>
      <c r="T23" s="304">
        <v>2.4773756323946206</v>
      </c>
      <c r="U23" s="306"/>
      <c r="V23" s="304">
        <v>10.207217889331542</v>
      </c>
      <c r="W23" s="304">
        <v>10.464358194108403</v>
      </c>
      <c r="X23" s="304">
        <v>12.509298283393782</v>
      </c>
      <c r="Y23" s="306"/>
      <c r="Z23" s="304">
        <v>16.08316601686931</v>
      </c>
      <c r="AA23" s="304">
        <v>13.313913020048215</v>
      </c>
      <c r="AB23" s="304">
        <v>12.517279697518124</v>
      </c>
      <c r="AC23" s="306"/>
      <c r="AD23" s="304">
        <v>7.9516493972907112</v>
      </c>
      <c r="AE23" s="304">
        <v>6.2137517480842392</v>
      </c>
      <c r="AF23" s="304">
        <v>4.6959049794951024</v>
      </c>
      <c r="AG23" s="306"/>
      <c r="AH23" s="304">
        <v>6.4117112359577497</v>
      </c>
      <c r="AI23" s="304">
        <v>5.8765669900530337</v>
      </c>
      <c r="AJ23" s="304">
        <v>4.7469096275785558</v>
      </c>
      <c r="AK23" s="306"/>
      <c r="AL23" s="304">
        <v>3.2194353663438817</v>
      </c>
      <c r="AM23" s="304">
        <v>3.7985489790450675</v>
      </c>
      <c r="AN23" s="304">
        <v>5.489870368509191</v>
      </c>
    </row>
    <row r="24" spans="1:40" x14ac:dyDescent="0.3">
      <c r="A24" s="13" t="str">
        <f t="shared" si="58"/>
        <v>Administrative and secretarial occupations</v>
      </c>
      <c r="B24" s="304">
        <f t="shared" si="60"/>
        <v>63.507905449122539</v>
      </c>
      <c r="C24" s="304">
        <f t="shared" si="61"/>
        <v>57.795335459485933</v>
      </c>
      <c r="D24" s="304">
        <f t="shared" si="62"/>
        <v>50.182465581908353</v>
      </c>
      <c r="E24" s="304"/>
      <c r="F24" s="304">
        <v>0.18839367184490746</v>
      </c>
      <c r="G24" s="304">
        <v>0.20293337621761237</v>
      </c>
      <c r="H24" s="304">
        <v>0.30518994869779509</v>
      </c>
      <c r="I24" s="304"/>
      <c r="J24" s="304">
        <v>3.9804517582706258</v>
      </c>
      <c r="K24" s="304">
        <v>4.5929668803240986</v>
      </c>
      <c r="L24" s="304">
        <v>6.5396694438717713</v>
      </c>
      <c r="M24" s="304"/>
      <c r="N24" s="304">
        <v>11.631348496654192</v>
      </c>
      <c r="O24" s="304">
        <v>11.452631129365663</v>
      </c>
      <c r="P24" s="304">
        <v>11.712705108590708</v>
      </c>
      <c r="Q24" s="306"/>
      <c r="R24" s="304">
        <v>2.1118753780834743</v>
      </c>
      <c r="S24" s="304">
        <v>1.9173142946272335</v>
      </c>
      <c r="T24" s="304">
        <v>1.8090991031065415</v>
      </c>
      <c r="U24" s="306"/>
      <c r="V24" s="304">
        <v>6.0491106129778913</v>
      </c>
      <c r="W24" s="304">
        <v>5.8814473634334172</v>
      </c>
      <c r="X24" s="304">
        <v>5.9525988975771451</v>
      </c>
      <c r="Y24" s="306"/>
      <c r="Z24" s="304">
        <v>12.869955263909079</v>
      </c>
      <c r="AA24" s="304">
        <v>10.927463739885097</v>
      </c>
      <c r="AB24" s="304">
        <v>7.8903444856108695</v>
      </c>
      <c r="AC24" s="306"/>
      <c r="AD24" s="304">
        <v>12.672594808735422</v>
      </c>
      <c r="AE24" s="304">
        <v>9.8853494955908445</v>
      </c>
      <c r="AF24" s="304">
        <v>6.3901066509020987</v>
      </c>
      <c r="AG24" s="306"/>
      <c r="AH24" s="304">
        <v>8.3182018211046174</v>
      </c>
      <c r="AI24" s="304">
        <v>7.0579340195656153</v>
      </c>
      <c r="AJ24" s="304">
        <v>3.9561128840926676</v>
      </c>
      <c r="AK24" s="306"/>
      <c r="AL24" s="304">
        <v>5.6859736375423351</v>
      </c>
      <c r="AM24" s="304">
        <v>5.877295160476355</v>
      </c>
      <c r="AN24" s="304">
        <v>5.6266390594587588</v>
      </c>
    </row>
    <row r="25" spans="1:40" x14ac:dyDescent="0.3">
      <c r="A25" s="13" t="str">
        <f t="shared" si="58"/>
        <v>Skilled trades occupations</v>
      </c>
      <c r="B25" s="304">
        <f t="shared" si="60"/>
        <v>243.00211632491528</v>
      </c>
      <c r="C25" s="304">
        <f t="shared" si="61"/>
        <v>241.03397278714394</v>
      </c>
      <c r="D25" s="304">
        <f t="shared" si="62"/>
        <v>235.39476047562971</v>
      </c>
      <c r="E25" s="304"/>
      <c r="F25" s="304">
        <v>1.3838620984829995</v>
      </c>
      <c r="G25" s="304">
        <v>1.7735993284230132</v>
      </c>
      <c r="H25" s="304">
        <v>2.7444564655054351</v>
      </c>
      <c r="I25" s="304"/>
      <c r="J25" s="304">
        <v>4.8137481528876664</v>
      </c>
      <c r="K25" s="304">
        <v>5.568515350779955</v>
      </c>
      <c r="L25" s="304">
        <v>8.1755853191931145</v>
      </c>
      <c r="M25" s="304"/>
      <c r="N25" s="304">
        <v>35.268551503465211</v>
      </c>
      <c r="O25" s="304">
        <v>41.87190686425766</v>
      </c>
      <c r="P25" s="304">
        <v>58.027999413838899</v>
      </c>
      <c r="Q25" s="306"/>
      <c r="R25" s="304">
        <v>11.421922159640317</v>
      </c>
      <c r="S25" s="304">
        <v>13.234397340134286</v>
      </c>
      <c r="T25" s="304">
        <v>17.591887621349667</v>
      </c>
      <c r="U25" s="306"/>
      <c r="V25" s="304">
        <v>25.450862440255381</v>
      </c>
      <c r="W25" s="304">
        <v>28.576930930607084</v>
      </c>
      <c r="X25" s="304">
        <v>37.067383262302236</v>
      </c>
      <c r="Y25" s="306"/>
      <c r="Z25" s="304">
        <v>47.995059959418882</v>
      </c>
      <c r="AA25" s="304">
        <v>43.714720063811164</v>
      </c>
      <c r="AB25" s="304">
        <v>35.87598253470545</v>
      </c>
      <c r="AC25" s="306"/>
      <c r="AD25" s="304">
        <v>53.020553469511235</v>
      </c>
      <c r="AE25" s="304">
        <v>49.689968414016434</v>
      </c>
      <c r="AF25" s="304">
        <v>44.203233965640777</v>
      </c>
      <c r="AG25" s="306"/>
      <c r="AH25" s="304">
        <v>33.483071402800469</v>
      </c>
      <c r="AI25" s="304">
        <v>29.638001621527483</v>
      </c>
      <c r="AJ25" s="304">
        <v>22.000880565996006</v>
      </c>
      <c r="AK25" s="306"/>
      <c r="AL25" s="304">
        <v>30.164485138453106</v>
      </c>
      <c r="AM25" s="304">
        <v>26.965932873586848</v>
      </c>
      <c r="AN25" s="304">
        <v>9.707351327098122</v>
      </c>
    </row>
    <row r="26" spans="1:40" x14ac:dyDescent="0.3">
      <c r="A26" s="13" t="str">
        <f t="shared" si="58"/>
        <v>Caring, leisure and other service occupations</v>
      </c>
      <c r="B26" s="304">
        <f t="shared" si="60"/>
        <v>27.827932627126547</v>
      </c>
      <c r="C26" s="304">
        <f t="shared" si="61"/>
        <v>28.716483679356006</v>
      </c>
      <c r="D26" s="304">
        <f t="shared" si="62"/>
        <v>29.456569216165811</v>
      </c>
      <c r="E26" s="304"/>
      <c r="F26" s="304">
        <v>0.13629512499035418</v>
      </c>
      <c r="G26" s="304">
        <v>0.17924737784211209</v>
      </c>
      <c r="H26" s="304">
        <v>0.2144765745294018</v>
      </c>
      <c r="I26" s="304"/>
      <c r="J26" s="304">
        <v>1.0719801145070995</v>
      </c>
      <c r="K26" s="304">
        <v>1.3397597099064744</v>
      </c>
      <c r="L26" s="304">
        <v>1.7563138350523801</v>
      </c>
      <c r="M26" s="304"/>
      <c r="N26" s="304">
        <v>6.5749315538895843</v>
      </c>
      <c r="O26" s="304">
        <v>6.7843723621474084</v>
      </c>
      <c r="P26" s="304">
        <v>6.9100969324696351</v>
      </c>
      <c r="Q26" s="306"/>
      <c r="R26" s="304">
        <v>1.9255180621218746</v>
      </c>
      <c r="S26" s="304">
        <v>2.3357333252352639</v>
      </c>
      <c r="T26" s="304">
        <v>3.189935799579307</v>
      </c>
      <c r="U26" s="306"/>
      <c r="V26" s="304">
        <v>2.2927472150713784</v>
      </c>
      <c r="W26" s="304">
        <v>2.537831809956137</v>
      </c>
      <c r="X26" s="304">
        <v>2.6882287773423159</v>
      </c>
      <c r="Y26" s="306"/>
      <c r="Z26" s="304">
        <v>3.6265376995587539</v>
      </c>
      <c r="AA26" s="304">
        <v>3.5106672266863428</v>
      </c>
      <c r="AB26" s="304">
        <v>3.527375362737061</v>
      </c>
      <c r="AC26" s="306"/>
      <c r="AD26" s="304">
        <v>4.4479225601267096</v>
      </c>
      <c r="AE26" s="304">
        <v>3.6443568675766107</v>
      </c>
      <c r="AF26" s="304">
        <v>2.4908607145941279</v>
      </c>
      <c r="AG26" s="306"/>
      <c r="AH26" s="304">
        <v>4.8453258307159039</v>
      </c>
      <c r="AI26" s="304">
        <v>5.1089966545277328</v>
      </c>
      <c r="AJ26" s="304">
        <v>5.2517529695327845</v>
      </c>
      <c r="AK26" s="306"/>
      <c r="AL26" s="304">
        <v>2.90667446614489</v>
      </c>
      <c r="AM26" s="304">
        <v>3.2755183454779226</v>
      </c>
      <c r="AN26" s="304">
        <v>3.4275282503288018</v>
      </c>
    </row>
    <row r="27" spans="1:40" x14ac:dyDescent="0.3">
      <c r="A27" s="13" t="str">
        <f t="shared" si="58"/>
        <v>Sales and customer service occupations</v>
      </c>
      <c r="B27" s="304">
        <f t="shared" si="60"/>
        <v>34.232118496227564</v>
      </c>
      <c r="C27" s="304">
        <f t="shared" si="61"/>
        <v>35.575659456202303</v>
      </c>
      <c r="D27" s="304">
        <f t="shared" si="62"/>
        <v>37.118271354710721</v>
      </c>
      <c r="E27" s="304"/>
      <c r="F27" s="304">
        <v>0.25632272469864614</v>
      </c>
      <c r="G27" s="304">
        <v>0.29728753519803974</v>
      </c>
      <c r="H27" s="304">
        <v>0.4119910001917213</v>
      </c>
      <c r="I27" s="304"/>
      <c r="J27" s="304">
        <v>1.5836748853838014</v>
      </c>
      <c r="K27" s="304">
        <v>1.9187876111666544</v>
      </c>
      <c r="L27" s="304">
        <v>2.4931792925035205</v>
      </c>
      <c r="M27" s="304"/>
      <c r="N27" s="304">
        <v>5.0174078618993674</v>
      </c>
      <c r="O27" s="304">
        <v>5.5666246992542678</v>
      </c>
      <c r="P27" s="304">
        <v>6.8807962956790218</v>
      </c>
      <c r="Q27" s="306"/>
      <c r="R27" s="304">
        <v>2.9670723884318098</v>
      </c>
      <c r="S27" s="304">
        <v>3.0721340649081235</v>
      </c>
      <c r="T27" s="304">
        <v>3.8352081146479198</v>
      </c>
      <c r="U27" s="306"/>
      <c r="V27" s="304">
        <v>2.0993236217442401</v>
      </c>
      <c r="W27" s="304">
        <v>2.2047771299622769</v>
      </c>
      <c r="X27" s="304">
        <v>2.3925848747914116</v>
      </c>
      <c r="Y27" s="306"/>
      <c r="Z27" s="304">
        <v>8.0564521002061777</v>
      </c>
      <c r="AA27" s="304">
        <v>8.9136922936934084</v>
      </c>
      <c r="AB27" s="304">
        <v>9.8748562272443738</v>
      </c>
      <c r="AC27" s="306"/>
      <c r="AD27" s="304">
        <v>6.0075949010556844</v>
      </c>
      <c r="AE27" s="304">
        <v>6.1642989986733658</v>
      </c>
      <c r="AF27" s="304">
        <v>5.7074749559031552</v>
      </c>
      <c r="AG27" s="306"/>
      <c r="AH27" s="304">
        <v>6.1672881175932055</v>
      </c>
      <c r="AI27" s="304">
        <v>5.4523646036154876</v>
      </c>
      <c r="AJ27" s="304">
        <v>3.7683276492225799</v>
      </c>
      <c r="AK27" s="306"/>
      <c r="AL27" s="304">
        <v>2.0769818952146379</v>
      </c>
      <c r="AM27" s="304">
        <v>1.9856925197306783</v>
      </c>
      <c r="AN27" s="304">
        <v>1.7538529445270181</v>
      </c>
    </row>
    <row r="28" spans="1:40" x14ac:dyDescent="0.3">
      <c r="A28" s="13" t="str">
        <f t="shared" si="58"/>
        <v>Process, plant and machine operatives</v>
      </c>
      <c r="B28" s="304">
        <f t="shared" si="60"/>
        <v>74.031488834978447</v>
      </c>
      <c r="C28" s="304">
        <f t="shared" si="61"/>
        <v>81.251641834443816</v>
      </c>
      <c r="D28" s="304">
        <f t="shared" si="62"/>
        <v>84.27366604092694</v>
      </c>
      <c r="E28" s="304"/>
      <c r="F28" s="304">
        <v>1.703337633888519E-2</v>
      </c>
      <c r="G28" s="304">
        <v>2.6138820473959101E-2</v>
      </c>
      <c r="H28" s="304">
        <v>4.3085394253642759E-2</v>
      </c>
      <c r="I28" s="304"/>
      <c r="J28" s="304">
        <v>1.0399656116162637</v>
      </c>
      <c r="K28" s="304">
        <v>1.4371705821227647</v>
      </c>
      <c r="L28" s="304">
        <v>2.1631675933197321</v>
      </c>
      <c r="M28" s="304"/>
      <c r="N28" s="304">
        <v>3.1262489473749975</v>
      </c>
      <c r="O28" s="304">
        <v>4.3972827340661276</v>
      </c>
      <c r="P28" s="304">
        <v>6.3748859285578092</v>
      </c>
      <c r="Q28" s="306"/>
      <c r="R28" s="304">
        <v>1.1017807028759288</v>
      </c>
      <c r="S28" s="304">
        <v>1.47810184067132</v>
      </c>
      <c r="T28" s="304">
        <v>2.1179060238101766</v>
      </c>
      <c r="U28" s="306"/>
      <c r="V28" s="304">
        <v>2.737093229395887</v>
      </c>
      <c r="W28" s="304">
        <v>3.4643424889502032</v>
      </c>
      <c r="X28" s="304">
        <v>4.4093967297303296</v>
      </c>
      <c r="Y28" s="306"/>
      <c r="Z28" s="304">
        <v>21.852324552551327</v>
      </c>
      <c r="AA28" s="304">
        <v>25.81818026506906</v>
      </c>
      <c r="AB28" s="304">
        <v>31.705536736495478</v>
      </c>
      <c r="AC28" s="306"/>
      <c r="AD28" s="304">
        <v>22.916219189997413</v>
      </c>
      <c r="AE28" s="304">
        <v>24.101717121175216</v>
      </c>
      <c r="AF28" s="304">
        <v>22.916458297319274</v>
      </c>
      <c r="AG28" s="306"/>
      <c r="AH28" s="304">
        <v>10.517601138488461</v>
      </c>
      <c r="AI28" s="304">
        <v>8.9026335726857688</v>
      </c>
      <c r="AJ28" s="304">
        <v>5.5222323358375762</v>
      </c>
      <c r="AK28" s="306"/>
      <c r="AL28" s="304">
        <v>10.72322208633928</v>
      </c>
      <c r="AM28" s="304">
        <v>11.626074409229393</v>
      </c>
      <c r="AN28" s="304">
        <v>9.0209970016029164</v>
      </c>
    </row>
    <row r="29" spans="1:40" x14ac:dyDescent="0.3">
      <c r="A29" s="13" t="str">
        <f t="shared" si="58"/>
        <v>Elementary occupations</v>
      </c>
      <c r="B29" s="304">
        <f t="shared" si="60"/>
        <v>86.889733581501261</v>
      </c>
      <c r="C29" s="304">
        <f t="shared" si="61"/>
        <v>84.613762007997877</v>
      </c>
      <c r="D29" s="304">
        <f t="shared" si="62"/>
        <v>79.200394568603514</v>
      </c>
      <c r="E29" s="304"/>
      <c r="F29" s="304">
        <v>2.4417267286354952E-3</v>
      </c>
      <c r="G29" s="304">
        <v>2.8693033329200411E-3</v>
      </c>
      <c r="H29" s="304">
        <v>3.9032130490814321E-3</v>
      </c>
      <c r="I29" s="304"/>
      <c r="J29" s="304">
        <v>1.6840890182285391</v>
      </c>
      <c r="K29" s="304">
        <v>2.1831902578687843</v>
      </c>
      <c r="L29" s="304">
        <v>3.0288910776722315</v>
      </c>
      <c r="M29" s="304"/>
      <c r="N29" s="304">
        <v>4.6158660500784157</v>
      </c>
      <c r="O29" s="304">
        <v>5.5206165186307272</v>
      </c>
      <c r="P29" s="304">
        <v>6.3800920204889486</v>
      </c>
      <c r="Q29" s="306"/>
      <c r="R29" s="304">
        <v>2.9787795582882315</v>
      </c>
      <c r="S29" s="304">
        <v>3.0695564901627623</v>
      </c>
      <c r="T29" s="304">
        <v>3.2174019771425644</v>
      </c>
      <c r="U29" s="306"/>
      <c r="V29" s="304">
        <v>5.0506646945553264</v>
      </c>
      <c r="W29" s="304">
        <v>5.6707735647256099</v>
      </c>
      <c r="X29" s="304">
        <v>6.5982399548568429</v>
      </c>
      <c r="Y29" s="306"/>
      <c r="Z29" s="304">
        <v>17.475925413541862</v>
      </c>
      <c r="AA29" s="304">
        <v>17.193173646150434</v>
      </c>
      <c r="AB29" s="304">
        <v>15.772741946948422</v>
      </c>
      <c r="AC29" s="306"/>
      <c r="AD29" s="304">
        <v>25.7419472169512</v>
      </c>
      <c r="AE29" s="304">
        <v>24.48064668688534</v>
      </c>
      <c r="AF29" s="304">
        <v>20.78089528774186</v>
      </c>
      <c r="AG29" s="306"/>
      <c r="AH29" s="304">
        <v>19.307640509015176</v>
      </c>
      <c r="AI29" s="304">
        <v>16.407154381364911</v>
      </c>
      <c r="AJ29" s="304">
        <v>13.089768961496798</v>
      </c>
      <c r="AK29" s="306"/>
      <c r="AL29" s="304">
        <v>10.032379394113871</v>
      </c>
      <c r="AM29" s="304">
        <v>10.085781158876383</v>
      </c>
      <c r="AN29" s="304">
        <v>10.328460129206759</v>
      </c>
    </row>
    <row r="30" spans="1:40" x14ac:dyDescent="0.3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3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3">
      <c r="A32" s="13" t="str">
        <f t="shared" ref="A32:A41" si="63">A8</f>
        <v>All occupations</v>
      </c>
      <c r="B32" s="305">
        <f>SUM(B33:B41)</f>
        <v>2626.9919999948102</v>
      </c>
      <c r="C32" s="305">
        <f>SUM(C33:C41)</f>
        <v>2540.6200000154363</v>
      </c>
      <c r="D32" s="305">
        <f>SUM(D33:D41)</f>
        <v>2341.1690000025378</v>
      </c>
      <c r="E32" s="304"/>
      <c r="F32" s="305">
        <f>SUM(F33:F41)</f>
        <v>30.833917750157358</v>
      </c>
      <c r="G32" s="305">
        <f>SUM(G33:G41)</f>
        <v>36.457279794581453</v>
      </c>
      <c r="H32" s="305">
        <f>SUM(H33:H41)</f>
        <v>45.22986355780909</v>
      </c>
      <c r="I32" s="304"/>
      <c r="J32" s="305">
        <f>SUM(J33:J41)</f>
        <v>174.43476583629626</v>
      </c>
      <c r="K32" s="305">
        <f>SUM(K33:K41)</f>
        <v>212.53376540779792</v>
      </c>
      <c r="L32" s="305">
        <f>SUM(L33:L41)</f>
        <v>275.16940310573898</v>
      </c>
      <c r="M32" s="304"/>
      <c r="N32" s="305">
        <f>SUM(N33:N41)</f>
        <v>410.57914672283636</v>
      </c>
      <c r="O32" s="305">
        <f>SUM(O33:O41)</f>
        <v>426.7104424683352</v>
      </c>
      <c r="P32" s="305">
        <f>SUM(P33:P41)</f>
        <v>451.13416488070635</v>
      </c>
      <c r="Q32" s="306"/>
      <c r="R32" s="305">
        <f>SUM(R33:R41)</f>
        <v>105.11857092296647</v>
      </c>
      <c r="S32" s="305">
        <f>SUM(S33:S41)</f>
        <v>111.50079785132196</v>
      </c>
      <c r="T32" s="305">
        <f>SUM(T33:T41)</f>
        <v>123.03209859113197</v>
      </c>
      <c r="U32" s="306"/>
      <c r="V32" s="305">
        <f>SUM(V33:V41)</f>
        <v>222.22642518394014</v>
      </c>
      <c r="W32" s="305">
        <f>SUM(W33:W41)</f>
        <v>226.2341580555908</v>
      </c>
      <c r="X32" s="305">
        <f>SUM(X33:X41)</f>
        <v>233.02515389456318</v>
      </c>
      <c r="Y32" s="306"/>
      <c r="Z32" s="305">
        <f>SUM(Z33:Z41)</f>
        <v>624.05407019052586</v>
      </c>
      <c r="AA32" s="305">
        <f>SUM(AA33:AA41)</f>
        <v>607.59056683821495</v>
      </c>
      <c r="AB32" s="305">
        <f>SUM(AB33:AB41)</f>
        <v>553.6472022304182</v>
      </c>
      <c r="AC32" s="306"/>
      <c r="AD32" s="305">
        <f>SUM(AD33:AD41)</f>
        <v>542.77395558658498</v>
      </c>
      <c r="AE32" s="305">
        <f>SUM(AE33:AE41)</f>
        <v>500.21536291335752</v>
      </c>
      <c r="AF32" s="305">
        <f>SUM(AF33:AF41)</f>
        <v>391.79768895896183</v>
      </c>
      <c r="AG32" s="306"/>
      <c r="AH32" s="305">
        <f>SUM(AH33:AH41)</f>
        <v>374.06134669676271</v>
      </c>
      <c r="AI32" s="305">
        <f>SUM(AI33:AI41)</f>
        <v>322.6050671890269</v>
      </c>
      <c r="AJ32" s="305">
        <f>SUM(AJ33:AJ41)</f>
        <v>197.34105385754606</v>
      </c>
      <c r="AK32" s="306"/>
      <c r="AL32" s="305">
        <f>SUM(AL33:AL41)</f>
        <v>142.90980110473998</v>
      </c>
      <c r="AM32" s="305">
        <f>SUM(AM33:AM41)</f>
        <v>96.772559497209329</v>
      </c>
      <c r="AN32" s="305">
        <f>SUM(AN33:AN41)</f>
        <v>70.792370925662638</v>
      </c>
    </row>
    <row r="33" spans="1:40" x14ac:dyDescent="0.3">
      <c r="A33" s="13" t="str">
        <f t="shared" si="63"/>
        <v>Managers, directors and senior officials</v>
      </c>
      <c r="B33" s="304">
        <f>SUM(F33,J33,N33,R33,V33,Z33,AD33,AH33,AL33)</f>
        <v>327.67914546950493</v>
      </c>
      <c r="C33" s="304">
        <f t="shared" ref="C33:C41" si="64">SUM(G33,K33,O33,S33,W33,AA33,AE33,AI33,AM33)</f>
        <v>308.1526697894617</v>
      </c>
      <c r="D33" s="304">
        <f t="shared" ref="D33:D40" si="65">SUM(H33,L33,P33,T33,X33,AB33,AF33,AJ33,AN33)</f>
        <v>300.99784239419682</v>
      </c>
      <c r="E33" s="304"/>
      <c r="F33" s="304">
        <v>4.4774383577625478</v>
      </c>
      <c r="G33" s="304">
        <v>4.705526889542603</v>
      </c>
      <c r="H33" s="304">
        <v>5.3298976146340671</v>
      </c>
      <c r="I33" s="304"/>
      <c r="J33" s="304">
        <v>34.475837121020433</v>
      </c>
      <c r="K33" s="304">
        <v>39.963168171437559</v>
      </c>
      <c r="L33" s="304">
        <v>49.701929378510066</v>
      </c>
      <c r="M33" s="304"/>
      <c r="N33" s="304">
        <v>90.426525297406172</v>
      </c>
      <c r="O33" s="304">
        <v>90.204794949016346</v>
      </c>
      <c r="P33" s="304">
        <v>93.929695006838571</v>
      </c>
      <c r="Q33" s="306"/>
      <c r="R33" s="304">
        <v>19.960341114855122</v>
      </c>
      <c r="S33" s="304">
        <v>19.685315141787683</v>
      </c>
      <c r="T33" s="304">
        <v>20.885642407133634</v>
      </c>
      <c r="U33" s="306"/>
      <c r="V33" s="304">
        <v>42.668328929306718</v>
      </c>
      <c r="W33" s="304">
        <v>40.610377474240437</v>
      </c>
      <c r="X33" s="304">
        <v>41.406677351568526</v>
      </c>
      <c r="Y33" s="306"/>
      <c r="Z33" s="304">
        <v>57.750701717712403</v>
      </c>
      <c r="AA33" s="304">
        <v>49.217627607168687</v>
      </c>
      <c r="AB33" s="304">
        <v>41.827320019463414</v>
      </c>
      <c r="AC33" s="306"/>
      <c r="AD33" s="304">
        <v>45.57227449410491</v>
      </c>
      <c r="AE33" s="304">
        <v>37.319301681217532</v>
      </c>
      <c r="AF33" s="304">
        <v>28.499081515133895</v>
      </c>
      <c r="AG33" s="306"/>
      <c r="AH33" s="304">
        <v>24.972945743498315</v>
      </c>
      <c r="AI33" s="304">
        <v>19.152912180872821</v>
      </c>
      <c r="AJ33" s="304">
        <v>11.664102832060594</v>
      </c>
      <c r="AK33" s="306"/>
      <c r="AL33" s="304">
        <v>7.374752693838353</v>
      </c>
      <c r="AM33" s="304">
        <v>7.2936456941779904</v>
      </c>
      <c r="AN33" s="304">
        <v>7.7534962688539251</v>
      </c>
    </row>
    <row r="34" spans="1:40" x14ac:dyDescent="0.3">
      <c r="A34" s="13" t="str">
        <f t="shared" si="63"/>
        <v>Professional occupations</v>
      </c>
      <c r="B34" s="304">
        <f t="shared" ref="B34:B41" si="66">SUM(F34,J34,N34,R34,V34,Z34,AD34,AH34,AL34)</f>
        <v>467.43319554287984</v>
      </c>
      <c r="C34" s="304">
        <f t="shared" si="64"/>
        <v>480.50117454394751</v>
      </c>
      <c r="D34" s="304">
        <f t="shared" si="65"/>
        <v>483.51451263805313</v>
      </c>
      <c r="E34" s="304"/>
      <c r="F34" s="304">
        <v>19.328303534415646</v>
      </c>
      <c r="G34" s="304">
        <v>23.670272166546582</v>
      </c>
      <c r="H34" s="304">
        <v>29.657666538839329</v>
      </c>
      <c r="I34" s="304"/>
      <c r="J34" s="304">
        <v>71.852967661594363</v>
      </c>
      <c r="K34" s="304">
        <v>88.47138273238977</v>
      </c>
      <c r="L34" s="304">
        <v>111.74055333853482</v>
      </c>
      <c r="M34" s="304"/>
      <c r="N34" s="304">
        <v>132.47680429325501</v>
      </c>
      <c r="O34" s="304">
        <v>135.65645353661171</v>
      </c>
      <c r="P34" s="304">
        <v>135.14360450458253</v>
      </c>
      <c r="Q34" s="306"/>
      <c r="R34" s="304">
        <v>16.053969399380044</v>
      </c>
      <c r="S34" s="304">
        <v>16.626795698963427</v>
      </c>
      <c r="T34" s="304">
        <v>17.691957123766151</v>
      </c>
      <c r="U34" s="306"/>
      <c r="V34" s="304">
        <v>59.693259901522119</v>
      </c>
      <c r="W34" s="304">
        <v>59.958210824875671</v>
      </c>
      <c r="X34" s="304">
        <v>59.933302213726812</v>
      </c>
      <c r="Y34" s="306"/>
      <c r="Z34" s="304">
        <v>86.769707125364803</v>
      </c>
      <c r="AA34" s="304">
        <v>82.368366142032741</v>
      </c>
      <c r="AB34" s="304">
        <v>71.625507732054814</v>
      </c>
      <c r="AC34" s="306"/>
      <c r="AD34" s="304">
        <v>45.272017798494154</v>
      </c>
      <c r="AE34" s="304">
        <v>39.402070294259175</v>
      </c>
      <c r="AF34" s="304">
        <v>27.803142103437327</v>
      </c>
      <c r="AG34" s="306"/>
      <c r="AH34" s="304">
        <v>28.940012576485067</v>
      </c>
      <c r="AI34" s="304">
        <v>26.43638539178659</v>
      </c>
      <c r="AJ34" s="304">
        <v>21.578888932438538</v>
      </c>
      <c r="AK34" s="306"/>
      <c r="AL34" s="304">
        <v>7.0461532523686161</v>
      </c>
      <c r="AM34" s="304">
        <v>7.9112377564818592</v>
      </c>
      <c r="AN34" s="304">
        <v>8.3398901506729004</v>
      </c>
    </row>
    <row r="35" spans="1:40" x14ac:dyDescent="0.3">
      <c r="A35" s="13" t="str">
        <f t="shared" si="63"/>
        <v>Associate professional occupations</v>
      </c>
      <c r="B35" s="304">
        <f t="shared" si="66"/>
        <v>332.84038779773391</v>
      </c>
      <c r="C35" s="304">
        <f t="shared" si="64"/>
        <v>299.51711151922717</v>
      </c>
      <c r="D35" s="304">
        <f t="shared" si="65"/>
        <v>286.48470192046449</v>
      </c>
      <c r="E35" s="304"/>
      <c r="F35" s="304">
        <v>4.1713721237722403</v>
      </c>
      <c r="G35" s="304">
        <v>4.5795222343048572</v>
      </c>
      <c r="H35" s="304">
        <v>5.7182866620367419</v>
      </c>
      <c r="I35" s="304"/>
      <c r="J35" s="304">
        <v>32.083090938244204</v>
      </c>
      <c r="K35" s="304">
        <v>35.067356663405143</v>
      </c>
      <c r="L35" s="304">
        <v>43.089738900390266</v>
      </c>
      <c r="M35" s="304"/>
      <c r="N35" s="304">
        <v>82.144837327073091</v>
      </c>
      <c r="O35" s="304">
        <v>79.690056123038147</v>
      </c>
      <c r="P35" s="304">
        <v>80.464227142259517</v>
      </c>
      <c r="Q35" s="306"/>
      <c r="R35" s="304">
        <v>23.464901323122195</v>
      </c>
      <c r="S35" s="304">
        <v>23.914240966773654</v>
      </c>
      <c r="T35" s="304">
        <v>26.202413314488936</v>
      </c>
      <c r="U35" s="306"/>
      <c r="V35" s="304">
        <v>33.140077138750762</v>
      </c>
      <c r="W35" s="304">
        <v>29.214335881654669</v>
      </c>
      <c r="X35" s="304">
        <v>28.20711422523646</v>
      </c>
      <c r="Y35" s="306"/>
      <c r="Z35" s="304">
        <v>76.525702269871573</v>
      </c>
      <c r="AA35" s="304">
        <v>65.163824939813097</v>
      </c>
      <c r="AB35" s="304">
        <v>56.78674712527831</v>
      </c>
      <c r="AC35" s="306"/>
      <c r="AD35" s="304">
        <v>50.41378778420939</v>
      </c>
      <c r="AE35" s="304">
        <v>39.785702201071778</v>
      </c>
      <c r="AF35" s="304">
        <v>29.821047764425945</v>
      </c>
      <c r="AG35" s="306"/>
      <c r="AH35" s="304">
        <v>26.074561349496864</v>
      </c>
      <c r="AI35" s="304">
        <v>17.684837635026259</v>
      </c>
      <c r="AJ35" s="304">
        <v>11.971181775627985</v>
      </c>
      <c r="AK35" s="306"/>
      <c r="AL35" s="304">
        <v>4.8220575431935639</v>
      </c>
      <c r="AM35" s="304">
        <v>4.4172348741395373</v>
      </c>
      <c r="AN35" s="304">
        <v>4.2239450107202972</v>
      </c>
    </row>
    <row r="36" spans="1:40" x14ac:dyDescent="0.3">
      <c r="A36" s="13" t="str">
        <f t="shared" si="63"/>
        <v>Administrative and secretarial occupations</v>
      </c>
      <c r="B36" s="304">
        <f t="shared" si="66"/>
        <v>213.79243348310789</v>
      </c>
      <c r="C36" s="304">
        <f t="shared" si="64"/>
        <v>190.07411694931167</v>
      </c>
      <c r="D36" s="304">
        <f t="shared" si="65"/>
        <v>166.0805948192683</v>
      </c>
      <c r="E36" s="304"/>
      <c r="F36" s="304">
        <v>0.74132100662482758</v>
      </c>
      <c r="G36" s="304">
        <v>0.8484639444325287</v>
      </c>
      <c r="H36" s="304">
        <v>1.109151235001151</v>
      </c>
      <c r="I36" s="304"/>
      <c r="J36" s="304">
        <v>10.204007956389392</v>
      </c>
      <c r="K36" s="304">
        <v>11.961938543500469</v>
      </c>
      <c r="L36" s="304">
        <v>15.414614539864258</v>
      </c>
      <c r="M36" s="304"/>
      <c r="N36" s="304">
        <v>34.937956455246045</v>
      </c>
      <c r="O36" s="304">
        <v>36.04081377578553</v>
      </c>
      <c r="P36" s="304">
        <v>38.281501696963545</v>
      </c>
      <c r="Q36" s="306"/>
      <c r="R36" s="304">
        <v>13.498265446498509</v>
      </c>
      <c r="S36" s="304">
        <v>14.105587052593632</v>
      </c>
      <c r="T36" s="304">
        <v>15.705577604173538</v>
      </c>
      <c r="U36" s="306"/>
      <c r="V36" s="304">
        <v>17.014914682410478</v>
      </c>
      <c r="W36" s="304">
        <v>16.952668990228119</v>
      </c>
      <c r="X36" s="304">
        <v>18.075881466866424</v>
      </c>
      <c r="Y36" s="306"/>
      <c r="Z36" s="304">
        <v>49.164705163786486</v>
      </c>
      <c r="AA36" s="304">
        <v>44.298126480675343</v>
      </c>
      <c r="AB36" s="304">
        <v>39.142337951177886</v>
      </c>
      <c r="AC36" s="306"/>
      <c r="AD36" s="304">
        <v>59.475716269162348</v>
      </c>
      <c r="AE36" s="304">
        <v>47.544387725640128</v>
      </c>
      <c r="AF36" s="304">
        <v>30.72349739488255</v>
      </c>
      <c r="AG36" s="306"/>
      <c r="AH36" s="304">
        <v>24.037315613413789</v>
      </c>
      <c r="AI36" s="304">
        <v>14.226332907257385</v>
      </c>
      <c r="AJ36" s="304">
        <v>4.3213345683197124</v>
      </c>
      <c r="AK36" s="306"/>
      <c r="AL36" s="304">
        <v>4.7182308895759952</v>
      </c>
      <c r="AM36" s="304">
        <v>4.095797529198526</v>
      </c>
      <c r="AN36" s="304">
        <v>3.3066983620192358</v>
      </c>
    </row>
    <row r="37" spans="1:40" x14ac:dyDescent="0.3">
      <c r="A37" s="13" t="str">
        <f t="shared" si="63"/>
        <v>Skilled trades occupations</v>
      </c>
      <c r="B37" s="304">
        <f t="shared" si="66"/>
        <v>525.70321463782375</v>
      </c>
      <c r="C37" s="304">
        <f t="shared" si="64"/>
        <v>489.13375241201913</v>
      </c>
      <c r="D37" s="304">
        <f t="shared" si="65"/>
        <v>411.06204458379057</v>
      </c>
      <c r="E37" s="304"/>
      <c r="F37" s="304">
        <v>0.66816640465771837</v>
      </c>
      <c r="G37" s="304">
        <v>0.88368085337163338</v>
      </c>
      <c r="H37" s="304">
        <v>1.1659054438819783</v>
      </c>
      <c r="I37" s="304"/>
      <c r="J37" s="304">
        <v>11.318519368397737</v>
      </c>
      <c r="K37" s="304">
        <v>16.126153493015707</v>
      </c>
      <c r="L37" s="304">
        <v>23.175262700269784</v>
      </c>
      <c r="M37" s="304"/>
      <c r="N37" s="304">
        <v>27.158860526932912</v>
      </c>
      <c r="O37" s="304">
        <v>32.27683534857232</v>
      </c>
      <c r="P37" s="304">
        <v>37.308347613907969</v>
      </c>
      <c r="Q37" s="306"/>
      <c r="R37" s="304">
        <v>11.959376203269832</v>
      </c>
      <c r="S37" s="304">
        <v>13.305469780774773</v>
      </c>
      <c r="T37" s="304">
        <v>14.678880871981551</v>
      </c>
      <c r="U37" s="306"/>
      <c r="V37" s="304">
        <v>39.639726292533318</v>
      </c>
      <c r="W37" s="304">
        <v>41.709051643180061</v>
      </c>
      <c r="X37" s="304">
        <v>42.641587857682886</v>
      </c>
      <c r="Y37" s="306"/>
      <c r="Z37" s="304">
        <v>196.47206343159147</v>
      </c>
      <c r="AA37" s="304">
        <v>185.87650502639289</v>
      </c>
      <c r="AB37" s="304">
        <v>160.89533466712462</v>
      </c>
      <c r="AC37" s="306"/>
      <c r="AD37" s="304">
        <v>127.11204871087817</v>
      </c>
      <c r="AE37" s="304">
        <v>110.82915033685049</v>
      </c>
      <c r="AF37" s="304">
        <v>76.313997149258654</v>
      </c>
      <c r="AG37" s="306"/>
      <c r="AH37" s="304">
        <v>79.482435835176645</v>
      </c>
      <c r="AI37" s="304">
        <v>68.402333885541012</v>
      </c>
      <c r="AJ37" s="304">
        <v>42.889468372430755</v>
      </c>
      <c r="AK37" s="306"/>
      <c r="AL37" s="304">
        <v>31.892017864385938</v>
      </c>
      <c r="AM37" s="304">
        <v>19.724572044320258</v>
      </c>
      <c r="AN37" s="304">
        <v>11.993259907252448</v>
      </c>
    </row>
    <row r="38" spans="1:40" x14ac:dyDescent="0.3">
      <c r="A38" s="13" t="str">
        <f t="shared" si="63"/>
        <v>Caring, leisure and other service occupations</v>
      </c>
      <c r="B38" s="304">
        <f t="shared" si="66"/>
        <v>36.411421219429265</v>
      </c>
      <c r="C38" s="304">
        <f t="shared" si="64"/>
        <v>37.705022585205505</v>
      </c>
      <c r="D38" s="304">
        <f t="shared" si="65"/>
        <v>36.944607358536189</v>
      </c>
      <c r="E38" s="304"/>
      <c r="F38" s="304">
        <v>0.55896329064682637</v>
      </c>
      <c r="G38" s="304">
        <v>0.66157020243339315</v>
      </c>
      <c r="H38" s="304">
        <v>0.84793970797263385</v>
      </c>
      <c r="I38" s="304"/>
      <c r="J38" s="304">
        <v>0.59097504762192976</v>
      </c>
      <c r="K38" s="304">
        <v>0.70299720709025471</v>
      </c>
      <c r="L38" s="304">
        <v>0.81554833864142839</v>
      </c>
      <c r="M38" s="304"/>
      <c r="N38" s="304">
        <v>4.4251132785455498</v>
      </c>
      <c r="O38" s="304">
        <v>4.5324858157581165</v>
      </c>
      <c r="P38" s="304">
        <v>4.4845598340385333</v>
      </c>
      <c r="Q38" s="306"/>
      <c r="R38" s="304">
        <v>1.1569808676623496</v>
      </c>
      <c r="S38" s="304">
        <v>1.1056058685969035</v>
      </c>
      <c r="T38" s="304">
        <v>1.0685220992892228</v>
      </c>
      <c r="U38" s="306"/>
      <c r="V38" s="304">
        <v>3.3705139744703074</v>
      </c>
      <c r="W38" s="304">
        <v>3.6927567051760639</v>
      </c>
      <c r="X38" s="304">
        <v>3.7862981696940383</v>
      </c>
      <c r="Y38" s="306"/>
      <c r="Z38" s="304">
        <v>5.4634074195159839</v>
      </c>
      <c r="AA38" s="304">
        <v>5.1291398435129301</v>
      </c>
      <c r="AB38" s="304">
        <v>4.4597834416469162</v>
      </c>
      <c r="AC38" s="306"/>
      <c r="AD38" s="304">
        <v>6.5992233565366005</v>
      </c>
      <c r="AE38" s="304">
        <v>5.9964040540771073</v>
      </c>
      <c r="AF38" s="304">
        <v>4.6204786808720275</v>
      </c>
      <c r="AG38" s="306"/>
      <c r="AH38" s="304">
        <v>11.206556690023236</v>
      </c>
      <c r="AI38" s="304">
        <v>12.327225366026459</v>
      </c>
      <c r="AJ38" s="304">
        <v>12.730360342036434</v>
      </c>
      <c r="AK38" s="306"/>
      <c r="AL38" s="304">
        <v>3.0396872944064781</v>
      </c>
      <c r="AM38" s="304">
        <v>3.5568375225342748</v>
      </c>
      <c r="AN38" s="304">
        <v>4.1311167443449524</v>
      </c>
    </row>
    <row r="39" spans="1:40" x14ac:dyDescent="0.3">
      <c r="A39" s="13" t="str">
        <f t="shared" si="63"/>
        <v>Sales and customer service occupations</v>
      </c>
      <c r="B39" s="304">
        <f t="shared" si="66"/>
        <v>84.267859574782392</v>
      </c>
      <c r="C39" s="304">
        <f t="shared" si="64"/>
        <v>84.055672427907211</v>
      </c>
      <c r="D39" s="304">
        <f t="shared" si="65"/>
        <v>80.588734663357684</v>
      </c>
      <c r="E39" s="304"/>
      <c r="F39" s="304">
        <v>0.47466771215348341</v>
      </c>
      <c r="G39" s="304">
        <v>0.55367784402262898</v>
      </c>
      <c r="H39" s="304">
        <v>0.64129738665183778</v>
      </c>
      <c r="I39" s="304"/>
      <c r="J39" s="304">
        <v>5.4540331314916335</v>
      </c>
      <c r="K39" s="304">
        <v>6.7606531190924777</v>
      </c>
      <c r="L39" s="304">
        <v>8.4022867415322953</v>
      </c>
      <c r="M39" s="304"/>
      <c r="N39" s="304">
        <v>16.181876668398846</v>
      </c>
      <c r="O39" s="304">
        <v>17.947384203919938</v>
      </c>
      <c r="P39" s="304">
        <v>19.522491241821147</v>
      </c>
      <c r="Q39" s="306"/>
      <c r="R39" s="304">
        <v>5.1060980778552967</v>
      </c>
      <c r="S39" s="304">
        <v>5.8759635823395513</v>
      </c>
      <c r="T39" s="304">
        <v>6.5170066267495246</v>
      </c>
      <c r="U39" s="306"/>
      <c r="V39" s="304">
        <v>5.6869348960254484</v>
      </c>
      <c r="W39" s="304">
        <v>6.5157252543679824</v>
      </c>
      <c r="X39" s="304">
        <v>7.172904667760255</v>
      </c>
      <c r="Y39" s="306"/>
      <c r="Z39" s="304">
        <v>19.243305423389501</v>
      </c>
      <c r="AA39" s="304">
        <v>18.176635868063677</v>
      </c>
      <c r="AB39" s="304">
        <v>15.991380431453736</v>
      </c>
      <c r="AC39" s="306"/>
      <c r="AD39" s="304">
        <v>16.960969422917348</v>
      </c>
      <c r="AE39" s="304">
        <v>15.626646257130371</v>
      </c>
      <c r="AF39" s="304">
        <v>13.539859030901018</v>
      </c>
      <c r="AG39" s="306"/>
      <c r="AH39" s="304">
        <v>9.0863540149624278</v>
      </c>
      <c r="AI39" s="304">
        <v>6.6247441446321575</v>
      </c>
      <c r="AJ39" s="304">
        <v>2.8537895051286091</v>
      </c>
      <c r="AK39" s="306"/>
      <c r="AL39" s="304">
        <v>6.0736202275884086</v>
      </c>
      <c r="AM39" s="304">
        <v>5.9742421543384214</v>
      </c>
      <c r="AN39" s="304">
        <v>5.9477190313592692</v>
      </c>
    </row>
    <row r="40" spans="1:40" x14ac:dyDescent="0.3">
      <c r="A40" s="13" t="str">
        <f t="shared" si="63"/>
        <v>Process, plant and machine operatives</v>
      </c>
      <c r="B40" s="304">
        <f t="shared" si="66"/>
        <v>452.25157053860187</v>
      </c>
      <c r="C40" s="304">
        <f t="shared" si="64"/>
        <v>493.33126029107888</v>
      </c>
      <c r="D40" s="304">
        <f t="shared" si="65"/>
        <v>445.32889750590829</v>
      </c>
      <c r="E40" s="304"/>
      <c r="F40" s="304">
        <v>0.10599916033568287</v>
      </c>
      <c r="G40" s="304">
        <v>0.15423955036302825</v>
      </c>
      <c r="H40" s="304">
        <v>0.21346501628168998</v>
      </c>
      <c r="I40" s="304"/>
      <c r="J40" s="304">
        <v>6.4955825361787509</v>
      </c>
      <c r="K40" s="304">
        <v>10.958511713219513</v>
      </c>
      <c r="L40" s="304">
        <v>19.454314369824441</v>
      </c>
      <c r="M40" s="304"/>
      <c r="N40" s="304">
        <v>13.904308701698108</v>
      </c>
      <c r="O40" s="304">
        <v>20.743234033059395</v>
      </c>
      <c r="P40" s="304">
        <v>31.149458775195249</v>
      </c>
      <c r="Q40" s="306"/>
      <c r="R40" s="305">
        <v>8.018365678712664</v>
      </c>
      <c r="S40" s="305">
        <v>10.797277667629174</v>
      </c>
      <c r="T40" s="305">
        <v>13.036564084879926</v>
      </c>
      <c r="U40" s="306"/>
      <c r="V40" s="305">
        <v>16.401414996563037</v>
      </c>
      <c r="W40" s="305">
        <v>22.788317816225639</v>
      </c>
      <c r="X40" s="305">
        <v>26.483406645421745</v>
      </c>
      <c r="Y40" s="306"/>
      <c r="Z40" s="305">
        <v>107.96433983998172</v>
      </c>
      <c r="AA40" s="305">
        <v>135.74335829982408</v>
      </c>
      <c r="AB40" s="305">
        <v>142.81950635253619</v>
      </c>
      <c r="AC40" s="306"/>
      <c r="AD40" s="305">
        <v>143.19234176694553</v>
      </c>
      <c r="AE40" s="305">
        <v>164.12522166761576</v>
      </c>
      <c r="AF40" s="305">
        <v>150.7973091517153</v>
      </c>
      <c r="AG40" s="306"/>
      <c r="AH40" s="305">
        <v>105.56742799062324</v>
      </c>
      <c r="AI40" s="305">
        <v>103.10608197694167</v>
      </c>
      <c r="AJ40" s="305">
        <v>48.943324928920575</v>
      </c>
      <c r="AK40" s="306"/>
      <c r="AL40" s="305">
        <v>50.601789867563141</v>
      </c>
      <c r="AM40" s="305">
        <v>24.915017566200621</v>
      </c>
      <c r="AN40" s="305">
        <v>12.431548181133206</v>
      </c>
    </row>
    <row r="41" spans="1:40" x14ac:dyDescent="0.3">
      <c r="A41" s="38" t="str">
        <f t="shared" si="63"/>
        <v>Elementary occupations</v>
      </c>
      <c r="B41" s="307">
        <f t="shared" si="66"/>
        <v>186.61277173094652</v>
      </c>
      <c r="C41" s="307">
        <f t="shared" si="64"/>
        <v>158.14921949727739</v>
      </c>
      <c r="D41" s="307">
        <f>SUM(H41,L41,P41,T41,X41,AB41,AF41,AJ41,AN41)</f>
        <v>130.16706411896277</v>
      </c>
      <c r="E41" s="307"/>
      <c r="F41" s="307">
        <v>0.30768615978838931</v>
      </c>
      <c r="G41" s="307">
        <v>0.40032610956418696</v>
      </c>
      <c r="H41" s="307">
        <v>0.5462539525096668</v>
      </c>
      <c r="I41" s="307"/>
      <c r="J41" s="307">
        <v>1.9597520753578248</v>
      </c>
      <c r="K41" s="307">
        <v>2.5216037646470419</v>
      </c>
      <c r="L41" s="307">
        <v>3.3751547981715864</v>
      </c>
      <c r="M41" s="307"/>
      <c r="N41" s="307">
        <v>8.922864174280642</v>
      </c>
      <c r="O41" s="307">
        <v>9.61838468257376</v>
      </c>
      <c r="P41" s="307">
        <v>10.850279065099267</v>
      </c>
      <c r="Q41" s="308"/>
      <c r="R41" s="307">
        <v>5.9002728116104599</v>
      </c>
      <c r="S41" s="307">
        <v>6.084542091863157</v>
      </c>
      <c r="T41" s="307">
        <v>7.2455344586694759</v>
      </c>
      <c r="U41" s="308"/>
      <c r="V41" s="307">
        <v>4.6112543723579833</v>
      </c>
      <c r="W41" s="307">
        <v>4.7927134656421648</v>
      </c>
      <c r="X41" s="307">
        <v>5.3179812966060105</v>
      </c>
      <c r="Y41" s="308"/>
      <c r="Z41" s="307">
        <v>24.700137799312014</v>
      </c>
      <c r="AA41" s="307">
        <v>21.616982630731556</v>
      </c>
      <c r="AB41" s="307">
        <v>20.099284509682363</v>
      </c>
      <c r="AC41" s="308"/>
      <c r="AD41" s="307">
        <v>48.175575983336593</v>
      </c>
      <c r="AE41" s="307">
        <v>39.58647869549516</v>
      </c>
      <c r="AF41" s="307">
        <v>29.679276168335107</v>
      </c>
      <c r="AG41" s="308"/>
      <c r="AH41" s="307">
        <v>64.693736883083119</v>
      </c>
      <c r="AI41" s="307">
        <v>54.644213700942529</v>
      </c>
      <c r="AJ41" s="307">
        <v>40.388602600582878</v>
      </c>
      <c r="AK41" s="308"/>
      <c r="AL41" s="307">
        <v>27.341491471819509</v>
      </c>
      <c r="AM41" s="307">
        <v>18.883974355817834</v>
      </c>
      <c r="AN41" s="307">
        <v>12.664697269306407</v>
      </c>
    </row>
    <row r="42" spans="1:40" x14ac:dyDescent="0.3">
      <c r="B42" s="31"/>
      <c r="C42" s="31"/>
      <c r="D42" s="31"/>
    </row>
    <row r="43" spans="1:40" ht="15.45" x14ac:dyDescent="0.4">
      <c r="A43" s="18" t="str">
        <f>CONCATENATE(A1," (Continued)")</f>
        <v>Basic Table 1  Employment by Industry Sector, Occupation Group and Qualification, 2020-2035, United Kingdom (Continued)</v>
      </c>
    </row>
    <row r="44" spans="1:40" ht="12.75" customHeight="1" x14ac:dyDescent="0.4">
      <c r="A44" s="18"/>
    </row>
    <row r="45" spans="1:40" ht="12.75" customHeight="1" x14ac:dyDescent="0.4">
      <c r="A45" s="18"/>
    </row>
    <row r="46" spans="1:40" ht="26.25" customHeight="1" x14ac:dyDescent="0.3">
      <c r="A46" s="77"/>
      <c r="B46" s="77"/>
      <c r="C46" s="78" t="str">
        <f>B4</f>
        <v>All qualifications</v>
      </c>
      <c r="D46" s="77"/>
      <c r="E46" s="77"/>
      <c r="F46" s="77"/>
      <c r="G46" s="78" t="str">
        <f>F4</f>
        <v>RQF8 Doctorate</v>
      </c>
      <c r="H46" s="77"/>
      <c r="I46" s="77"/>
      <c r="J46" s="77"/>
      <c r="K46" s="78" t="str">
        <f>J4</f>
        <v>RQF7 Other higher degree</v>
      </c>
      <c r="L46" s="77"/>
      <c r="M46" s="77"/>
      <c r="N46" s="380" t="str">
        <f>N4</f>
        <v>RQF6 First degree</v>
      </c>
      <c r="O46" s="380"/>
      <c r="P46" s="380"/>
      <c r="Q46" s="77"/>
      <c r="R46" s="380" t="str">
        <f>R4</f>
        <v>RQF5 Foundation degree;Nursing;Teaching</v>
      </c>
      <c r="S46" s="380"/>
      <c r="T46" s="380"/>
      <c r="U46" s="77"/>
      <c r="V46" s="380" t="str">
        <f>V4</f>
        <v>RQF4 HE below degree level</v>
      </c>
      <c r="W46" s="380"/>
      <c r="X46" s="380"/>
      <c r="Y46" s="77"/>
      <c r="Z46" s="380" t="str">
        <f>Z4</f>
        <v>RQF3 A level &amp; equivalent</v>
      </c>
      <c r="AA46" s="380"/>
      <c r="AB46" s="380"/>
      <c r="AC46" s="77"/>
      <c r="AD46" s="380" t="str">
        <f>AD4</f>
        <v>RQF2 GCSE(A-C) &amp; equivalent</v>
      </c>
      <c r="AE46" s="380"/>
      <c r="AF46" s="380"/>
      <c r="AG46" s="77"/>
      <c r="AH46" s="380" t="str">
        <f>AH4</f>
        <v>RQF1 GCSE(below grade C) &amp; equivalent</v>
      </c>
      <c r="AI46" s="380"/>
      <c r="AJ46" s="380"/>
      <c r="AK46" s="77"/>
      <c r="AL46" s="380" t="str">
        <f>AL4</f>
        <v>No Qualification</v>
      </c>
      <c r="AM46" s="380"/>
      <c r="AN46" s="380"/>
    </row>
    <row r="47" spans="1:40" x14ac:dyDescent="0.3">
      <c r="A47" s="38"/>
      <c r="B47" s="41">
        <f>B5</f>
        <v>2020</v>
      </c>
      <c r="C47" s="41">
        <f>C5</f>
        <v>2025</v>
      </c>
      <c r="D47" s="41">
        <f>D5</f>
        <v>2035</v>
      </c>
      <c r="E47" s="38"/>
      <c r="F47" s="34">
        <f>B47</f>
        <v>2020</v>
      </c>
      <c r="G47" s="34">
        <f>C47</f>
        <v>2025</v>
      </c>
      <c r="H47" s="34">
        <f>D47</f>
        <v>2035</v>
      </c>
      <c r="I47" s="38"/>
      <c r="J47" s="34">
        <f>B47</f>
        <v>2020</v>
      </c>
      <c r="K47" s="34">
        <f>C47</f>
        <v>2025</v>
      </c>
      <c r="L47" s="34">
        <f>D47</f>
        <v>2035</v>
      </c>
      <c r="M47" s="38"/>
      <c r="N47" s="34">
        <f>B47</f>
        <v>2020</v>
      </c>
      <c r="O47" s="34">
        <f>C47</f>
        <v>2025</v>
      </c>
      <c r="P47" s="34">
        <f>D47</f>
        <v>2035</v>
      </c>
      <c r="Q47" s="38"/>
      <c r="R47" s="34">
        <f>F47</f>
        <v>2020</v>
      </c>
      <c r="S47" s="34">
        <f>G47</f>
        <v>2025</v>
      </c>
      <c r="T47" s="34">
        <f>H47</f>
        <v>2035</v>
      </c>
      <c r="U47" s="38"/>
      <c r="V47" s="34">
        <f>J47</f>
        <v>2020</v>
      </c>
      <c r="W47" s="34">
        <f>K47</f>
        <v>2025</v>
      </c>
      <c r="X47" s="34">
        <f>L47</f>
        <v>2035</v>
      </c>
      <c r="Y47" s="38"/>
      <c r="Z47" s="34">
        <f>N47</f>
        <v>2020</v>
      </c>
      <c r="AA47" s="34">
        <f>O47</f>
        <v>2025</v>
      </c>
      <c r="AB47" s="34">
        <f>P47</f>
        <v>2035</v>
      </c>
      <c r="AC47" s="38"/>
      <c r="AD47" s="34">
        <f>R47</f>
        <v>2020</v>
      </c>
      <c r="AE47" s="34">
        <f>S47</f>
        <v>2025</v>
      </c>
      <c r="AF47" s="34">
        <f>T47</f>
        <v>2035</v>
      </c>
      <c r="AG47" s="38"/>
      <c r="AH47" s="34">
        <f>V47</f>
        <v>2020</v>
      </c>
      <c r="AI47" s="34">
        <f>W47</f>
        <v>2025</v>
      </c>
      <c r="AJ47" s="34">
        <f>X47</f>
        <v>2035</v>
      </c>
      <c r="AK47" s="38"/>
      <c r="AL47" s="34">
        <f>Z47</f>
        <v>2020</v>
      </c>
      <c r="AM47" s="34">
        <f>AA47</f>
        <v>2025</v>
      </c>
      <c r="AN47" s="34">
        <f>AB47</f>
        <v>2035</v>
      </c>
    </row>
    <row r="48" spans="1:40" x14ac:dyDescent="0.3">
      <c r="B48" s="31"/>
      <c r="C48" s="31"/>
      <c r="D48" s="31"/>
    </row>
    <row r="49" spans="1:40" x14ac:dyDescent="0.3">
      <c r="A49" s="1" t="str">
        <f>name!C6</f>
        <v>Construction</v>
      </c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</row>
    <row r="50" spans="1:40" x14ac:dyDescent="0.3">
      <c r="A50" s="13" t="str">
        <f t="shared" ref="A50:A59" si="67">A8</f>
        <v>All occupations</v>
      </c>
      <c r="B50" s="305">
        <f>SUM(B51:B59)</f>
        <v>2318.9969999678428</v>
      </c>
      <c r="C50" s="305">
        <f>SUM(C51:C59)</f>
        <v>2419.1419999278774</v>
      </c>
      <c r="D50" s="305">
        <f>SUM(D51:D59)</f>
        <v>2583.0529999460769</v>
      </c>
      <c r="E50" s="304"/>
      <c r="F50" s="305">
        <f>SUM(F51:F59)</f>
        <v>7.9050845111343486</v>
      </c>
      <c r="G50" s="305">
        <f>SUM(G51:G59)</f>
        <v>11.006011707668886</v>
      </c>
      <c r="H50" s="305">
        <f>SUM(H51:H59)</f>
        <v>18.806101504030703</v>
      </c>
      <c r="I50" s="304"/>
      <c r="J50" s="305">
        <f>SUM(J51:J59)</f>
        <v>129.65995044136741</v>
      </c>
      <c r="K50" s="305">
        <f>SUM(K51:K59)</f>
        <v>180.53374454666476</v>
      </c>
      <c r="L50" s="305">
        <f>SUM(L51:L59)</f>
        <v>293.18415677314329</v>
      </c>
      <c r="M50" s="304"/>
      <c r="N50" s="305">
        <f>SUM(N51:N59)</f>
        <v>230.89743704077841</v>
      </c>
      <c r="O50" s="305">
        <f>SUM(O51:O59)</f>
        <v>254.89530609798413</v>
      </c>
      <c r="P50" s="305">
        <f>SUM(P51:P59)</f>
        <v>309.95985363864031</v>
      </c>
      <c r="Q50" s="304"/>
      <c r="R50" s="305">
        <f>SUM(R51:R59)</f>
        <v>82.851666543917929</v>
      </c>
      <c r="S50" s="305">
        <f>SUM(S51:S59)</f>
        <v>91.046846122526262</v>
      </c>
      <c r="T50" s="305">
        <f>SUM(T51:T59)</f>
        <v>116.91863925328956</v>
      </c>
      <c r="U50" s="304"/>
      <c r="V50" s="305">
        <f>SUM(V51:V59)</f>
        <v>170.50153722215887</v>
      </c>
      <c r="W50" s="305">
        <f>SUM(W51:W59)</f>
        <v>182.96898393961337</v>
      </c>
      <c r="X50" s="305">
        <f>SUM(X51:X59)</f>
        <v>223.93276962169216</v>
      </c>
      <c r="Y50" s="304"/>
      <c r="Z50" s="305">
        <f>SUM(Z51:Z59)</f>
        <v>681.97312978219668</v>
      </c>
      <c r="AA50" s="305">
        <f>SUM(AA51:AA59)</f>
        <v>694.8987435277844</v>
      </c>
      <c r="AB50" s="305">
        <f>SUM(AB51:AB59)</f>
        <v>716.35122243041008</v>
      </c>
      <c r="AC50" s="304"/>
      <c r="AD50" s="305">
        <f>SUM(AD51:AD59)</f>
        <v>560.20454697063781</v>
      </c>
      <c r="AE50" s="305">
        <f>SUM(AE51:AE59)</f>
        <v>579.50391303748211</v>
      </c>
      <c r="AF50" s="305">
        <f>SUM(AF51:AF59)</f>
        <v>580.50804164369686</v>
      </c>
      <c r="AG50" s="304"/>
      <c r="AH50" s="305">
        <f>SUM(AH51:AH59)</f>
        <v>333.47109266802198</v>
      </c>
      <c r="AI50" s="305">
        <f>SUM(AI51:AI59)</f>
        <v>334.10264744092694</v>
      </c>
      <c r="AJ50" s="305">
        <f>SUM(AJ51:AJ59)</f>
        <v>281.80482796631804</v>
      </c>
      <c r="AK50" s="304"/>
      <c r="AL50" s="305">
        <f>SUM(AL51:AL59)</f>
        <v>121.53255478762949</v>
      </c>
      <c r="AM50" s="305">
        <f>SUM(AM51:AM59)</f>
        <v>90.185803507226112</v>
      </c>
      <c r="AN50" s="305">
        <f>SUM(AN51:AN59)</f>
        <v>41.587387114856064</v>
      </c>
    </row>
    <row r="51" spans="1:40" x14ac:dyDescent="0.3">
      <c r="A51" s="13" t="str">
        <f t="shared" si="67"/>
        <v>Managers, directors and senior officials</v>
      </c>
      <c r="B51" s="304">
        <f>SUM(F51,J51,N51,R51,V51,Z51,AD51,AH51,AL51)</f>
        <v>280.99496920015361</v>
      </c>
      <c r="C51" s="304">
        <f t="shared" ref="C51:D51" si="68">SUM(G51,K51,O51,S51,W51,AA51,AE51,AI51,AM51)</f>
        <v>277.32519914192574</v>
      </c>
      <c r="D51" s="304">
        <f t="shared" si="68"/>
        <v>324.47129002984406</v>
      </c>
      <c r="E51" s="304"/>
      <c r="F51" s="304">
        <v>1.4967691470219495</v>
      </c>
      <c r="G51" s="304">
        <v>2.177333654123494</v>
      </c>
      <c r="H51" s="304">
        <v>3.781174646363171</v>
      </c>
      <c r="I51" s="304"/>
      <c r="J51" s="304">
        <v>31.758833017723624</v>
      </c>
      <c r="K51" s="304">
        <v>42.253451150378446</v>
      </c>
      <c r="L51" s="304">
        <v>69.776365512596456</v>
      </c>
      <c r="M51" s="304"/>
      <c r="N51" s="304">
        <v>51.466211506271449</v>
      </c>
      <c r="O51" s="304">
        <v>52.924909051163958</v>
      </c>
      <c r="P51" s="304">
        <v>62.368961838485198</v>
      </c>
      <c r="Q51" s="304"/>
      <c r="R51" s="304">
        <v>13.469816549154295</v>
      </c>
      <c r="S51" s="304">
        <v>12.431152233640882</v>
      </c>
      <c r="T51" s="304">
        <v>13.210656946355993</v>
      </c>
      <c r="U51" s="304"/>
      <c r="V51" s="304">
        <v>33.713092128974978</v>
      </c>
      <c r="W51" s="304">
        <v>32.572721548879855</v>
      </c>
      <c r="X51" s="304">
        <v>38.753455869695721</v>
      </c>
      <c r="Y51" s="304"/>
      <c r="Z51" s="304">
        <v>68.504064435304628</v>
      </c>
      <c r="AA51" s="304">
        <v>61.999965379987991</v>
      </c>
      <c r="AB51" s="304">
        <v>70.383915583074582</v>
      </c>
      <c r="AC51" s="304"/>
      <c r="AD51" s="304">
        <v>44.040857428235974</v>
      </c>
      <c r="AE51" s="304">
        <v>38.733489137971624</v>
      </c>
      <c r="AF51" s="304">
        <v>36.726198659442254</v>
      </c>
      <c r="AG51" s="304"/>
      <c r="AH51" s="304">
        <v>26.231401456460961</v>
      </c>
      <c r="AI51" s="304">
        <v>23.750266594360838</v>
      </c>
      <c r="AJ51" s="304">
        <v>19.263712374084982</v>
      </c>
      <c r="AK51" s="304"/>
      <c r="AL51" s="304">
        <v>10.313923531005731</v>
      </c>
      <c r="AM51" s="304">
        <v>10.48191039141865</v>
      </c>
      <c r="AN51" s="304">
        <v>10.206848599745683</v>
      </c>
    </row>
    <row r="52" spans="1:40" x14ac:dyDescent="0.3">
      <c r="A52" s="13" t="str">
        <f t="shared" si="67"/>
        <v>Professional occupations</v>
      </c>
      <c r="B52" s="304">
        <f t="shared" ref="B52:B59" si="69">SUM(F52,J52,N52,R52,V52,Z52,AD52,AH52,AL52)</f>
        <v>308.43426411348395</v>
      </c>
      <c r="C52" s="304">
        <f t="shared" ref="C52:C59" si="70">SUM(G52,K52,O52,S52,W52,AA52,AE52,AI52,AM52)</f>
        <v>337.58886362671257</v>
      </c>
      <c r="D52" s="304">
        <f t="shared" ref="D52:D59" si="71">SUM(H52,L52,P52,T52,X52,AB52,AF52,AJ52,AN52)</f>
        <v>404.17733975892708</v>
      </c>
      <c r="E52" s="304"/>
      <c r="F52" s="304">
        <v>3.3493545947425938</v>
      </c>
      <c r="G52" s="304">
        <v>4.3044181868905946</v>
      </c>
      <c r="H52" s="304">
        <v>6.2174454786526905</v>
      </c>
      <c r="I52" s="304"/>
      <c r="J52" s="304">
        <v>53.275859029263785</v>
      </c>
      <c r="K52" s="304">
        <v>75.426182907163721</v>
      </c>
      <c r="L52" s="304">
        <v>119.10417660511031</v>
      </c>
      <c r="M52" s="304"/>
      <c r="N52" s="304">
        <v>69.362146450237148</v>
      </c>
      <c r="O52" s="304">
        <v>72.295362333703068</v>
      </c>
      <c r="P52" s="304">
        <v>78.438670776409666</v>
      </c>
      <c r="Q52" s="304"/>
      <c r="R52" s="304">
        <v>9.1600918982494264</v>
      </c>
      <c r="S52" s="304">
        <v>8.1827608308905191</v>
      </c>
      <c r="T52" s="304">
        <v>10.126551964095658</v>
      </c>
      <c r="U52" s="304"/>
      <c r="V52" s="304">
        <v>26.545137596513246</v>
      </c>
      <c r="W52" s="304">
        <v>22.494126964294338</v>
      </c>
      <c r="X52" s="304">
        <v>17.057875415831653</v>
      </c>
      <c r="Y52" s="304"/>
      <c r="Z52" s="304">
        <v>77.690165587233835</v>
      </c>
      <c r="AA52" s="304">
        <v>84.75183584913708</v>
      </c>
      <c r="AB52" s="304">
        <v>105.91448064220656</v>
      </c>
      <c r="AC52" s="304"/>
      <c r="AD52" s="304">
        <v>43.872790055334931</v>
      </c>
      <c r="AE52" s="304">
        <v>44.394027067378538</v>
      </c>
      <c r="AF52" s="304">
        <v>46.017787027587303</v>
      </c>
      <c r="AG52" s="304"/>
      <c r="AH52" s="304">
        <v>18.278738715887123</v>
      </c>
      <c r="AI52" s="304">
        <v>18.696427099775267</v>
      </c>
      <c r="AJ52" s="304">
        <v>15.56307732857457</v>
      </c>
      <c r="AK52" s="304"/>
      <c r="AL52" s="304">
        <v>6.8999801860218817</v>
      </c>
      <c r="AM52" s="304">
        <v>7.0437223874794253</v>
      </c>
      <c r="AN52" s="304">
        <v>5.7372745204586604</v>
      </c>
    </row>
    <row r="53" spans="1:40" x14ac:dyDescent="0.3">
      <c r="A53" s="13" t="str">
        <f t="shared" si="67"/>
        <v>Associate professional occupations</v>
      </c>
      <c r="B53" s="304">
        <f t="shared" si="69"/>
        <v>177.84924870071202</v>
      </c>
      <c r="C53" s="304">
        <f t="shared" si="70"/>
        <v>169.40213185624722</v>
      </c>
      <c r="D53" s="304">
        <f t="shared" si="71"/>
        <v>194.27508122162465</v>
      </c>
      <c r="E53" s="304"/>
      <c r="F53" s="304">
        <v>0.44237497948209464</v>
      </c>
      <c r="G53" s="304">
        <v>0.58280284537582605</v>
      </c>
      <c r="H53" s="304">
        <v>1.0360299621078617</v>
      </c>
      <c r="I53" s="304"/>
      <c r="J53" s="304">
        <v>16.823842539912111</v>
      </c>
      <c r="K53" s="304">
        <v>21.638866450871269</v>
      </c>
      <c r="L53" s="304">
        <v>35.220500922725641</v>
      </c>
      <c r="M53" s="304"/>
      <c r="N53" s="304">
        <v>30.066757041939987</v>
      </c>
      <c r="O53" s="304">
        <v>29.767931430135842</v>
      </c>
      <c r="P53" s="304">
        <v>34.26414614503107</v>
      </c>
      <c r="Q53" s="304"/>
      <c r="R53" s="304">
        <v>13.733427581531171</v>
      </c>
      <c r="S53" s="304">
        <v>14.809741288765677</v>
      </c>
      <c r="T53" s="304">
        <v>18.985586629166363</v>
      </c>
      <c r="U53" s="304"/>
      <c r="V53" s="304">
        <v>25.98957650242702</v>
      </c>
      <c r="W53" s="304">
        <v>23.385373590241965</v>
      </c>
      <c r="X53" s="304">
        <v>26.962350345484332</v>
      </c>
      <c r="Y53" s="304"/>
      <c r="Z53" s="304">
        <v>33.449092195629547</v>
      </c>
      <c r="AA53" s="304">
        <v>26.146996012677555</v>
      </c>
      <c r="AB53" s="304">
        <v>24.604456339062061</v>
      </c>
      <c r="AC53" s="304"/>
      <c r="AD53" s="304">
        <v>31.258499127676899</v>
      </c>
      <c r="AE53" s="304">
        <v>28.497920076755868</v>
      </c>
      <c r="AF53" s="304">
        <v>29.603551748564048</v>
      </c>
      <c r="AG53" s="304"/>
      <c r="AH53" s="304">
        <v>22.168962425860006</v>
      </c>
      <c r="AI53" s="304">
        <v>21.389244343834775</v>
      </c>
      <c r="AJ53" s="304">
        <v>19.508752425083468</v>
      </c>
      <c r="AK53" s="304"/>
      <c r="AL53" s="304">
        <v>3.9167163062531873</v>
      </c>
      <c r="AM53" s="304">
        <v>3.1832558175884436</v>
      </c>
      <c r="AN53" s="304">
        <v>4.0897067043998012</v>
      </c>
    </row>
    <row r="54" spans="1:40" x14ac:dyDescent="0.3">
      <c r="A54" s="13" t="str">
        <f t="shared" si="67"/>
        <v>Administrative and secretarial occupations</v>
      </c>
      <c r="B54" s="304">
        <f t="shared" si="69"/>
        <v>192.86567469750355</v>
      </c>
      <c r="C54" s="304">
        <f t="shared" si="70"/>
        <v>188.4167625690655</v>
      </c>
      <c r="D54" s="304">
        <f t="shared" si="71"/>
        <v>183.98985048524068</v>
      </c>
      <c r="E54" s="304"/>
      <c r="F54" s="304">
        <v>1.7059514308334875</v>
      </c>
      <c r="G54" s="304">
        <v>2.3975643535012678</v>
      </c>
      <c r="H54" s="304">
        <v>4.9434860652594041</v>
      </c>
      <c r="I54" s="304"/>
      <c r="J54" s="304">
        <v>11.163653390803068</v>
      </c>
      <c r="K54" s="304">
        <v>15.651065500342098</v>
      </c>
      <c r="L54" s="304">
        <v>24.287932459783889</v>
      </c>
      <c r="M54" s="304"/>
      <c r="N54" s="304">
        <v>32.738523114342087</v>
      </c>
      <c r="O54" s="304">
        <v>39.142937111879419</v>
      </c>
      <c r="P54" s="304">
        <v>53.101715995430084</v>
      </c>
      <c r="Q54" s="304"/>
      <c r="R54" s="304">
        <v>19.444896228882932</v>
      </c>
      <c r="S54" s="304">
        <v>21.020842184799225</v>
      </c>
      <c r="T54" s="304">
        <v>27.488099796990781</v>
      </c>
      <c r="U54" s="304"/>
      <c r="V54" s="304">
        <v>11.197163950099842</v>
      </c>
      <c r="W54" s="304">
        <v>12.242085554349947</v>
      </c>
      <c r="X54" s="304">
        <v>16.614399524406174</v>
      </c>
      <c r="Y54" s="304"/>
      <c r="Z54" s="304">
        <v>32.838119409091441</v>
      </c>
      <c r="AA54" s="304">
        <v>28.018288455091081</v>
      </c>
      <c r="AB54" s="304">
        <v>17.818169966529545</v>
      </c>
      <c r="AC54" s="304"/>
      <c r="AD54" s="304">
        <v>29.141290336340646</v>
      </c>
      <c r="AE54" s="304">
        <v>21.539506430058516</v>
      </c>
      <c r="AF54" s="304">
        <v>9.0152746943897721</v>
      </c>
      <c r="AG54" s="304"/>
      <c r="AH54" s="304">
        <v>45.466761690361949</v>
      </c>
      <c r="AI54" s="304">
        <v>44.421930996279237</v>
      </c>
      <c r="AJ54" s="304">
        <v>29.50163052254479</v>
      </c>
      <c r="AK54" s="304"/>
      <c r="AL54" s="304">
        <v>9.1693151467481275</v>
      </c>
      <c r="AM54" s="304">
        <v>3.982541982764729</v>
      </c>
      <c r="AN54" s="304">
        <v>1.2191414599062487</v>
      </c>
    </row>
    <row r="55" spans="1:40" x14ac:dyDescent="0.3">
      <c r="A55" s="13" t="str">
        <f t="shared" si="67"/>
        <v>Skilled trades occupations</v>
      </c>
      <c r="B55" s="304">
        <f t="shared" si="69"/>
        <v>995.84141628303064</v>
      </c>
      <c r="C55" s="304">
        <f t="shared" si="70"/>
        <v>1046.8472091440556</v>
      </c>
      <c r="D55" s="304">
        <f t="shared" si="71"/>
        <v>1046.1386411278943</v>
      </c>
      <c r="E55" s="304"/>
      <c r="F55" s="304">
        <v>0.18884050678632297</v>
      </c>
      <c r="G55" s="304">
        <v>0.2787365361465704</v>
      </c>
      <c r="H55" s="304">
        <v>0.49465977080312418</v>
      </c>
      <c r="I55" s="304"/>
      <c r="J55" s="304">
        <v>9.9424999168419337</v>
      </c>
      <c r="K55" s="304">
        <v>15.536864174773385</v>
      </c>
      <c r="L55" s="304">
        <v>27.600584541791559</v>
      </c>
      <c r="M55" s="304"/>
      <c r="N55" s="304">
        <v>32.498750062016612</v>
      </c>
      <c r="O55" s="304">
        <v>42.275622936437408</v>
      </c>
      <c r="P55" s="304">
        <v>57.482450566692528</v>
      </c>
      <c r="Q55" s="304"/>
      <c r="R55" s="304">
        <v>20.385670318343703</v>
      </c>
      <c r="S55" s="304">
        <v>25.584087813084928</v>
      </c>
      <c r="T55" s="304">
        <v>34.020089469509593</v>
      </c>
      <c r="U55" s="304"/>
      <c r="V55" s="304">
        <v>54.438982034152339</v>
      </c>
      <c r="W55" s="304">
        <v>68.201820819804951</v>
      </c>
      <c r="X55" s="304">
        <v>93.647391654907352</v>
      </c>
      <c r="Y55" s="304"/>
      <c r="Z55" s="304">
        <v>369.70973346858983</v>
      </c>
      <c r="AA55" s="304">
        <v>373.32916372354225</v>
      </c>
      <c r="AB55" s="304">
        <v>346.34867568387972</v>
      </c>
      <c r="AC55" s="304"/>
      <c r="AD55" s="304">
        <v>307.55253802128215</v>
      </c>
      <c r="AE55" s="304">
        <v>328.21225265349653</v>
      </c>
      <c r="AF55" s="304">
        <v>331.69227239741696</v>
      </c>
      <c r="AG55" s="304"/>
      <c r="AH55" s="304">
        <v>139.56908793981106</v>
      </c>
      <c r="AI55" s="304">
        <v>147.10369643854449</v>
      </c>
      <c r="AJ55" s="304">
        <v>144.52142053352571</v>
      </c>
      <c r="AK55" s="304"/>
      <c r="AL55" s="304">
        <v>61.555314015206541</v>
      </c>
      <c r="AM55" s="304">
        <v>46.324964048225127</v>
      </c>
      <c r="AN55" s="304">
        <v>10.331096509367725</v>
      </c>
    </row>
    <row r="56" spans="1:40" x14ac:dyDescent="0.3">
      <c r="A56" s="13" t="str">
        <f t="shared" si="67"/>
        <v>Caring, leisure and other service occupations</v>
      </c>
      <c r="B56" s="304">
        <f t="shared" si="69"/>
        <v>8.1584024746859889</v>
      </c>
      <c r="C56" s="304">
        <f t="shared" si="70"/>
        <v>8.4628382312002284</v>
      </c>
      <c r="D56" s="304">
        <f t="shared" si="71"/>
        <v>9.5195414296773624</v>
      </c>
      <c r="E56" s="304"/>
      <c r="F56" s="304">
        <v>8.0691793532787492E-3</v>
      </c>
      <c r="G56" s="304">
        <v>9.5108577988768442E-3</v>
      </c>
      <c r="H56" s="304">
        <v>1.957716298291029E-2</v>
      </c>
      <c r="I56" s="304"/>
      <c r="J56" s="304">
        <v>0.28621966434394319</v>
      </c>
      <c r="K56" s="304">
        <v>0.38144199195284351</v>
      </c>
      <c r="L56" s="304">
        <v>0.5530172047986377</v>
      </c>
      <c r="M56" s="304"/>
      <c r="N56" s="304">
        <v>0.37718507114232086</v>
      </c>
      <c r="O56" s="304">
        <v>0.38761714955540993</v>
      </c>
      <c r="P56" s="304">
        <v>0.44629751284969116</v>
      </c>
      <c r="Q56" s="304"/>
      <c r="R56" s="304">
        <v>7.1574208084688201E-2</v>
      </c>
      <c r="S56" s="304">
        <v>8.0830125487498489E-2</v>
      </c>
      <c r="T56" s="304">
        <v>9.4741173557302452E-2</v>
      </c>
      <c r="U56" s="304"/>
      <c r="V56" s="304">
        <v>0.35196043933113064</v>
      </c>
      <c r="W56" s="304">
        <v>0.38588126134431727</v>
      </c>
      <c r="X56" s="304">
        <v>0.49052401113500055</v>
      </c>
      <c r="Y56" s="304"/>
      <c r="Z56" s="304">
        <v>2.5640486704107812</v>
      </c>
      <c r="AA56" s="304">
        <v>3.040625126399926</v>
      </c>
      <c r="AB56" s="304">
        <v>3.8761932849924756</v>
      </c>
      <c r="AC56" s="304"/>
      <c r="AD56" s="304">
        <v>0.48825445486133112</v>
      </c>
      <c r="AE56" s="304">
        <v>0.45865741731060417</v>
      </c>
      <c r="AF56" s="304">
        <v>0.53355434351646458</v>
      </c>
      <c r="AG56" s="304"/>
      <c r="AH56" s="304">
        <v>2.3984704627167504</v>
      </c>
      <c r="AI56" s="304">
        <v>2.1350679652214239</v>
      </c>
      <c r="AJ56" s="304">
        <v>2.3031290850623121</v>
      </c>
      <c r="AK56" s="304"/>
      <c r="AL56" s="304">
        <v>1.6126203244417632</v>
      </c>
      <c r="AM56" s="304">
        <v>1.5832063361293272</v>
      </c>
      <c r="AN56" s="304">
        <v>1.2025076507825683</v>
      </c>
    </row>
    <row r="57" spans="1:40" x14ac:dyDescent="0.3">
      <c r="A57" s="13" t="str">
        <f t="shared" si="67"/>
        <v>Sales and customer service occupations</v>
      </c>
      <c r="B57" s="304">
        <f t="shared" si="69"/>
        <v>44.406773887876682</v>
      </c>
      <c r="C57" s="304">
        <f t="shared" si="70"/>
        <v>50.458165630064585</v>
      </c>
      <c r="D57" s="304">
        <f t="shared" si="71"/>
        <v>54.468438339371183</v>
      </c>
      <c r="E57" s="304"/>
      <c r="F57" s="304">
        <v>0.12378860670478344</v>
      </c>
      <c r="G57" s="304">
        <v>0.20228171886970572</v>
      </c>
      <c r="H57" s="304">
        <v>0.40302535621087454</v>
      </c>
      <c r="I57" s="304"/>
      <c r="J57" s="304">
        <v>2.8465819197181088</v>
      </c>
      <c r="K57" s="304">
        <v>3.6423656279005119</v>
      </c>
      <c r="L57" s="304">
        <v>5.0801540111948578</v>
      </c>
      <c r="M57" s="304"/>
      <c r="N57" s="304">
        <v>7.6999563050350606</v>
      </c>
      <c r="O57" s="304">
        <v>9.5244933437302972</v>
      </c>
      <c r="P57" s="304">
        <v>11.902231138697902</v>
      </c>
      <c r="Q57" s="304"/>
      <c r="R57" s="304">
        <v>2.1491979007636473</v>
      </c>
      <c r="S57" s="304">
        <v>2.7672425436910282</v>
      </c>
      <c r="T57" s="304">
        <v>3.5005775293645205</v>
      </c>
      <c r="U57" s="304"/>
      <c r="V57" s="304">
        <v>2.5931354279264109</v>
      </c>
      <c r="W57" s="304">
        <v>3.1701039307269059</v>
      </c>
      <c r="X57" s="304">
        <v>3.8162439408482332</v>
      </c>
      <c r="Y57" s="304"/>
      <c r="Z57" s="304">
        <v>16.763531959725636</v>
      </c>
      <c r="AA57" s="304">
        <v>18.911448757151856</v>
      </c>
      <c r="AB57" s="304">
        <v>22.196524413740747</v>
      </c>
      <c r="AC57" s="304"/>
      <c r="AD57" s="304">
        <v>2.8494265649976702</v>
      </c>
      <c r="AE57" s="304">
        <v>2.0216255212295593</v>
      </c>
      <c r="AF57" s="304">
        <v>0.97121199419121429</v>
      </c>
      <c r="AG57" s="304"/>
      <c r="AH57" s="304">
        <v>4.5469009316291835</v>
      </c>
      <c r="AI57" s="304">
        <v>4.8993280555664693</v>
      </c>
      <c r="AJ57" s="304">
        <v>1.6883456928976015</v>
      </c>
      <c r="AK57" s="304"/>
      <c r="AL57" s="304">
        <v>4.8342542713761798</v>
      </c>
      <c r="AM57" s="304">
        <v>5.3192761311982419</v>
      </c>
      <c r="AN57" s="304">
        <v>4.9101242622252377</v>
      </c>
    </row>
    <row r="58" spans="1:40" x14ac:dyDescent="0.3">
      <c r="A58" s="13" t="str">
        <f t="shared" si="67"/>
        <v>Process, plant and machine operatives</v>
      </c>
      <c r="B58" s="304">
        <f t="shared" si="69"/>
        <v>182.20830220582019</v>
      </c>
      <c r="C58" s="304">
        <f t="shared" si="70"/>
        <v>216.55068842488018</v>
      </c>
      <c r="D58" s="304">
        <f t="shared" si="71"/>
        <v>231.77227928033028</v>
      </c>
      <c r="E58" s="304"/>
      <c r="F58" s="304">
        <v>0.57635562811790919</v>
      </c>
      <c r="G58" s="304">
        <v>1.0330384308699829</v>
      </c>
      <c r="H58" s="304">
        <v>1.8754522603669379</v>
      </c>
      <c r="I58" s="304"/>
      <c r="J58" s="304">
        <v>2.0592380287910426</v>
      </c>
      <c r="K58" s="304">
        <v>3.6649093036154965</v>
      </c>
      <c r="L58" s="304">
        <v>7.1687892280477135</v>
      </c>
      <c r="M58" s="304"/>
      <c r="N58" s="304">
        <v>3.1634534013683031</v>
      </c>
      <c r="O58" s="304">
        <v>4.516586857005235</v>
      </c>
      <c r="P58" s="304">
        <v>7.4293669799332624</v>
      </c>
      <c r="Q58" s="304"/>
      <c r="R58" s="304">
        <v>3.6105311658285295</v>
      </c>
      <c r="S58" s="304">
        <v>5.2813126455845412</v>
      </c>
      <c r="T58" s="304">
        <v>8.5620776924540998</v>
      </c>
      <c r="U58" s="304"/>
      <c r="V58" s="304">
        <v>9.3522551681686856</v>
      </c>
      <c r="W58" s="304">
        <v>12.781534888464536</v>
      </c>
      <c r="X58" s="304">
        <v>17.361755044270932</v>
      </c>
      <c r="Y58" s="304"/>
      <c r="Z58" s="304">
        <v>48.297072531702462</v>
      </c>
      <c r="AA58" s="304">
        <v>61.639503242595168</v>
      </c>
      <c r="AB58" s="304">
        <v>74.361747877306598</v>
      </c>
      <c r="AC58" s="304"/>
      <c r="AD58" s="304">
        <v>64.177732423374522</v>
      </c>
      <c r="AE58" s="304">
        <v>79.136031537032792</v>
      </c>
      <c r="AF58" s="304">
        <v>86.955500502419838</v>
      </c>
      <c r="AG58" s="304"/>
      <c r="AH58" s="304">
        <v>40.447587270583547</v>
      </c>
      <c r="AI58" s="304">
        <v>40.30339188548102</v>
      </c>
      <c r="AJ58" s="304">
        <v>25.286499692629864</v>
      </c>
      <c r="AK58" s="304"/>
      <c r="AL58" s="304">
        <v>10.524076587885185</v>
      </c>
      <c r="AM58" s="304">
        <v>8.1943796342314226</v>
      </c>
      <c r="AN58" s="304">
        <v>2.7710900029010488</v>
      </c>
    </row>
    <row r="59" spans="1:40" x14ac:dyDescent="0.3">
      <c r="A59" s="13" t="str">
        <f t="shared" si="67"/>
        <v>Elementary occupations</v>
      </c>
      <c r="B59" s="304">
        <f t="shared" si="69"/>
        <v>128.23794840457646</v>
      </c>
      <c r="C59" s="304">
        <f t="shared" si="70"/>
        <v>124.09014130372543</v>
      </c>
      <c r="D59" s="304">
        <f t="shared" si="71"/>
        <v>134.24053827316763</v>
      </c>
      <c r="E59" s="304"/>
      <c r="F59" s="304">
        <v>1.3580438091928042E-2</v>
      </c>
      <c r="G59" s="304">
        <v>2.0325124092567887E-2</v>
      </c>
      <c r="H59" s="304">
        <v>3.5250801283729358E-2</v>
      </c>
      <c r="I59" s="304"/>
      <c r="J59" s="304">
        <v>1.5032229339698315</v>
      </c>
      <c r="K59" s="304">
        <v>2.3385974396670264</v>
      </c>
      <c r="L59" s="304">
        <v>4.3926362870942341</v>
      </c>
      <c r="M59" s="304"/>
      <c r="N59" s="304">
        <v>3.5244540884254483</v>
      </c>
      <c r="O59" s="304">
        <v>4.0598458843735479</v>
      </c>
      <c r="P59" s="304">
        <v>4.5260126851108939</v>
      </c>
      <c r="Q59" s="304"/>
      <c r="R59" s="304">
        <v>0.82646069307952574</v>
      </c>
      <c r="S59" s="304">
        <v>0.88887645658198544</v>
      </c>
      <c r="T59" s="304">
        <v>0.93025805179525678</v>
      </c>
      <c r="U59" s="304"/>
      <c r="V59" s="304">
        <v>6.3202339745652383</v>
      </c>
      <c r="W59" s="304">
        <v>7.7353353815065864</v>
      </c>
      <c r="X59" s="304">
        <v>9.2287738151128025</v>
      </c>
      <c r="Y59" s="304"/>
      <c r="Z59" s="304">
        <v>32.157301524508462</v>
      </c>
      <c r="AA59" s="304">
        <v>37.060916981201352</v>
      </c>
      <c r="AB59" s="304">
        <v>50.847058639617892</v>
      </c>
      <c r="AC59" s="304"/>
      <c r="AD59" s="304">
        <v>36.823158558533734</v>
      </c>
      <c r="AE59" s="304">
        <v>36.510403196248184</v>
      </c>
      <c r="AF59" s="304">
        <v>38.992690276169007</v>
      </c>
      <c r="AG59" s="304"/>
      <c r="AH59" s="304">
        <v>34.363181774711407</v>
      </c>
      <c r="AI59" s="304">
        <v>31.403294061863431</v>
      </c>
      <c r="AJ59" s="304">
        <v>24.168260311914718</v>
      </c>
      <c r="AK59" s="304"/>
      <c r="AL59" s="304">
        <v>12.706354418690887</v>
      </c>
      <c r="AM59" s="304">
        <v>4.0725467781907616</v>
      </c>
      <c r="AN59" s="304">
        <v>1.1195974050690889</v>
      </c>
    </row>
    <row r="60" spans="1:40" x14ac:dyDescent="0.3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3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3">
      <c r="A62" s="13" t="str">
        <f t="shared" ref="A62:A71" si="72">A8</f>
        <v>All occupations</v>
      </c>
      <c r="B62" s="305">
        <f>SUM(B63:B71)</f>
        <v>9183.9910000514101</v>
      </c>
      <c r="C62" s="305">
        <f>SUM(C63:C71)</f>
        <v>9425.3850001917053</v>
      </c>
      <c r="D62" s="305">
        <f>SUM(D63:D71)</f>
        <v>9858.897999990073</v>
      </c>
      <c r="E62" s="304"/>
      <c r="F62" s="305">
        <f>SUM(F63:F71)</f>
        <v>33.559823462588682</v>
      </c>
      <c r="G62" s="305">
        <f>SUM(G63:G71)</f>
        <v>48.704215281462048</v>
      </c>
      <c r="H62" s="305">
        <f>SUM(H63:H71)</f>
        <v>86.013764193727084</v>
      </c>
      <c r="I62" s="304"/>
      <c r="J62" s="305">
        <f>SUM(J63:J71)</f>
        <v>401.91873543086768</v>
      </c>
      <c r="K62" s="305">
        <f>SUM(K63:K71)</f>
        <v>561.9013695711235</v>
      </c>
      <c r="L62" s="305">
        <f>SUM(L63:L71)</f>
        <v>986.55006780194503</v>
      </c>
      <c r="M62" s="304"/>
      <c r="N62" s="305">
        <f>SUM(N63:N71)</f>
        <v>1349.3243916406402</v>
      </c>
      <c r="O62" s="305">
        <f>SUM(O63:O71)</f>
        <v>1563.8929785233881</v>
      </c>
      <c r="P62" s="305">
        <f>SUM(P63:P71)</f>
        <v>2099.0674366535563</v>
      </c>
      <c r="Q62" s="304"/>
      <c r="R62" s="305">
        <f>SUM(R63:R71)</f>
        <v>416.52297399249068</v>
      </c>
      <c r="S62" s="305">
        <f>SUM(S63:S71)</f>
        <v>469.08347403570968</v>
      </c>
      <c r="T62" s="305">
        <f>SUM(T63:T71)</f>
        <v>626.86148700386502</v>
      </c>
      <c r="U62" s="304"/>
      <c r="V62" s="305">
        <f>SUM(V63:V71)</f>
        <v>471.69933898463893</v>
      </c>
      <c r="W62" s="305">
        <f>SUM(W63:W71)</f>
        <v>523.10547029764393</v>
      </c>
      <c r="X62" s="305">
        <f>SUM(X63:X71)</f>
        <v>673.95658469112118</v>
      </c>
      <c r="Y62" s="304"/>
      <c r="Z62" s="305">
        <f>SUM(Z63:Z71)</f>
        <v>2109.8111695806128</v>
      </c>
      <c r="AA62" s="305">
        <f>SUM(AA63:AA71)</f>
        <v>2150.2107129767937</v>
      </c>
      <c r="AB62" s="305">
        <f>SUM(AB63:AB71)</f>
        <v>2265.0325971969969</v>
      </c>
      <c r="AC62" s="304"/>
      <c r="AD62" s="305">
        <f>SUM(AD63:AD71)</f>
        <v>2257.0761745789646</v>
      </c>
      <c r="AE62" s="305">
        <f>SUM(AE63:AE71)</f>
        <v>2210.1632699817833</v>
      </c>
      <c r="AF62" s="305">
        <f>SUM(AF63:AF71)</f>
        <v>1923.1128042117423</v>
      </c>
      <c r="AG62" s="304"/>
      <c r="AH62" s="305">
        <f>SUM(AH63:AH71)</f>
        <v>1544.8284656388382</v>
      </c>
      <c r="AI62" s="305">
        <f>SUM(AI63:AI71)</f>
        <v>1407.5726302913108</v>
      </c>
      <c r="AJ62" s="305">
        <f>SUM(AJ63:AJ71)</f>
        <v>832.46553873888638</v>
      </c>
      <c r="AK62" s="304"/>
      <c r="AL62" s="305">
        <f>SUM(AL63:AL71)</f>
        <v>599.2499267417702</v>
      </c>
      <c r="AM62" s="305">
        <f>SUM(AM63:AM71)</f>
        <v>490.750879232491</v>
      </c>
      <c r="AN62" s="305">
        <f>SUM(AN63:AN71)</f>
        <v>365.83771949823392</v>
      </c>
    </row>
    <row r="63" spans="1:40" x14ac:dyDescent="0.3">
      <c r="A63" s="13" t="str">
        <f t="shared" si="72"/>
        <v>Managers, directors and senior officials</v>
      </c>
      <c r="B63" s="304">
        <f>SUM(F63,J63,N63,R63,V63,Z63,AD63,AH63,AL63)</f>
        <v>1169.5815745585999</v>
      </c>
      <c r="C63" s="304">
        <f t="shared" ref="C63:C71" si="73">SUM(G63,K63,O63,S63,W63,AA63,AE63,AI63,AM63)</f>
        <v>1238.7824985782154</v>
      </c>
      <c r="D63" s="304">
        <f t="shared" ref="D63:D71" si="74">SUM(H63,L63,P63,T63,X63,AB63,AF63,AJ63,AN63)</f>
        <v>1433.7695379456679</v>
      </c>
      <c r="E63" s="304"/>
      <c r="F63" s="304">
        <v>5.8709913702873475</v>
      </c>
      <c r="G63" s="304">
        <v>8.6855454551212201</v>
      </c>
      <c r="H63" s="304">
        <v>15.791717808602627</v>
      </c>
      <c r="I63" s="304"/>
      <c r="J63" s="304">
        <v>81.123519102143192</v>
      </c>
      <c r="K63" s="304">
        <v>111.90218057683929</v>
      </c>
      <c r="L63" s="304">
        <v>195.74531024158244</v>
      </c>
      <c r="M63" s="304"/>
      <c r="N63" s="304">
        <v>278.07688308756701</v>
      </c>
      <c r="O63" s="304">
        <v>320.75757019893564</v>
      </c>
      <c r="P63" s="304">
        <v>427.10202880710688</v>
      </c>
      <c r="Q63" s="304"/>
      <c r="R63" s="304">
        <v>58.327722605978899</v>
      </c>
      <c r="S63" s="304">
        <v>63.532168802338376</v>
      </c>
      <c r="T63" s="304">
        <v>85.521921670043014</v>
      </c>
      <c r="U63" s="304"/>
      <c r="V63" s="304">
        <v>74.977996968346858</v>
      </c>
      <c r="W63" s="304">
        <v>79.572098498694416</v>
      </c>
      <c r="X63" s="304">
        <v>96.676572493346242</v>
      </c>
      <c r="Y63" s="304"/>
      <c r="Z63" s="304">
        <v>229.92982330231263</v>
      </c>
      <c r="AA63" s="304">
        <v>228.79491059675988</v>
      </c>
      <c r="AB63" s="304">
        <v>259.95561498816977</v>
      </c>
      <c r="AC63" s="304"/>
      <c r="AD63" s="304">
        <v>234.12294818463627</v>
      </c>
      <c r="AE63" s="304">
        <v>226.54169595830001</v>
      </c>
      <c r="AF63" s="304">
        <v>194.43446566443453</v>
      </c>
      <c r="AG63" s="304"/>
      <c r="AH63" s="304">
        <v>177.08353247861189</v>
      </c>
      <c r="AI63" s="304">
        <v>172.0005157063656</v>
      </c>
      <c r="AJ63" s="304">
        <v>131.19545341249088</v>
      </c>
      <c r="AK63" s="304"/>
      <c r="AL63" s="304">
        <v>30.06815745871587</v>
      </c>
      <c r="AM63" s="304">
        <v>26.995812784860775</v>
      </c>
      <c r="AN63" s="304">
        <v>27.3464528598915</v>
      </c>
    </row>
    <row r="64" spans="1:40" x14ac:dyDescent="0.3">
      <c r="A64" s="13" t="str">
        <f t="shared" si="72"/>
        <v>Professional occupations</v>
      </c>
      <c r="B64" s="304">
        <f t="shared" ref="B64:B71" si="75">SUM(F64,J64,N64,R64,V64,Z64,AD64,AH64,AL64)</f>
        <v>731.33021216425118</v>
      </c>
      <c r="C64" s="304">
        <f t="shared" si="73"/>
        <v>812.82738892279519</v>
      </c>
      <c r="D64" s="304">
        <f t="shared" si="74"/>
        <v>943.5602739218516</v>
      </c>
      <c r="E64" s="304"/>
      <c r="F64" s="304">
        <v>13.341609547602209</v>
      </c>
      <c r="G64" s="304">
        <v>19.206902216477381</v>
      </c>
      <c r="H64" s="304">
        <v>32.903422763108722</v>
      </c>
      <c r="I64" s="304"/>
      <c r="J64" s="304">
        <v>89.37118987976713</v>
      </c>
      <c r="K64" s="304">
        <v>124.44827768285263</v>
      </c>
      <c r="L64" s="304">
        <v>198.61268014813831</v>
      </c>
      <c r="M64" s="304"/>
      <c r="N64" s="304">
        <v>196.60898178281312</v>
      </c>
      <c r="O64" s="304">
        <v>225.88236588598437</v>
      </c>
      <c r="P64" s="304">
        <v>283.13217382698298</v>
      </c>
      <c r="Q64" s="304"/>
      <c r="R64" s="304">
        <v>33.716584222117788</v>
      </c>
      <c r="S64" s="304">
        <v>35.477121658350583</v>
      </c>
      <c r="T64" s="304">
        <v>40.052307923128993</v>
      </c>
      <c r="U64" s="304"/>
      <c r="V64" s="304">
        <v>45.52049811239339</v>
      </c>
      <c r="W64" s="304">
        <v>48.988797837752735</v>
      </c>
      <c r="X64" s="304">
        <v>59.082677654842591</v>
      </c>
      <c r="Y64" s="304"/>
      <c r="Z64" s="304">
        <v>146.87979367407621</v>
      </c>
      <c r="AA64" s="304">
        <v>158.84291970391811</v>
      </c>
      <c r="AB64" s="304">
        <v>175.82922160178177</v>
      </c>
      <c r="AC64" s="304"/>
      <c r="AD64" s="304">
        <v>113.36102675892167</v>
      </c>
      <c r="AE64" s="304">
        <v>108.50997404026052</v>
      </c>
      <c r="AF64" s="304">
        <v>85.998447035529892</v>
      </c>
      <c r="AG64" s="304"/>
      <c r="AH64" s="304">
        <v>74.341475645791192</v>
      </c>
      <c r="AI64" s="304">
        <v>72.61131165166681</v>
      </c>
      <c r="AJ64" s="304">
        <v>44.759429011370536</v>
      </c>
      <c r="AK64" s="304"/>
      <c r="AL64" s="304">
        <v>18.189052540768586</v>
      </c>
      <c r="AM64" s="304">
        <v>18.859718245531983</v>
      </c>
      <c r="AN64" s="304">
        <v>23.189913956967814</v>
      </c>
    </row>
    <row r="65" spans="1:40" x14ac:dyDescent="0.3">
      <c r="A65" s="13" t="str">
        <f t="shared" si="72"/>
        <v>Associate professional occupations</v>
      </c>
      <c r="B65" s="304">
        <f t="shared" si="75"/>
        <v>706.43891031775252</v>
      </c>
      <c r="C65" s="304">
        <f t="shared" si="73"/>
        <v>700.28187078233418</v>
      </c>
      <c r="D65" s="304">
        <f t="shared" si="74"/>
        <v>778.28451286655445</v>
      </c>
      <c r="E65" s="304"/>
      <c r="F65" s="304">
        <v>5.0970804682085982</v>
      </c>
      <c r="G65" s="304">
        <v>6.6776040990037604</v>
      </c>
      <c r="H65" s="304">
        <v>11.524823176997556</v>
      </c>
      <c r="I65" s="304"/>
      <c r="J65" s="304">
        <v>43.984452831443512</v>
      </c>
      <c r="K65" s="304">
        <v>55.470297509657279</v>
      </c>
      <c r="L65" s="304">
        <v>88.710055036380538</v>
      </c>
      <c r="M65" s="304"/>
      <c r="N65" s="304">
        <v>153.34987763736467</v>
      </c>
      <c r="O65" s="304">
        <v>161.45992279151844</v>
      </c>
      <c r="P65" s="304">
        <v>201.67622551216365</v>
      </c>
      <c r="Q65" s="304"/>
      <c r="R65" s="304">
        <v>37.250041884121046</v>
      </c>
      <c r="S65" s="304">
        <v>38.66145777327629</v>
      </c>
      <c r="T65" s="304">
        <v>50.228772194881984</v>
      </c>
      <c r="U65" s="304"/>
      <c r="V65" s="304">
        <v>46.704718650965425</v>
      </c>
      <c r="W65" s="304">
        <v>47.72145491474005</v>
      </c>
      <c r="X65" s="304">
        <v>58.157758575065557</v>
      </c>
      <c r="Y65" s="304"/>
      <c r="Z65" s="304">
        <v>162.65021522624215</v>
      </c>
      <c r="AA65" s="304">
        <v>157.75945310752962</v>
      </c>
      <c r="AB65" s="304">
        <v>173.8709778563283</v>
      </c>
      <c r="AC65" s="304"/>
      <c r="AD65" s="304">
        <v>147.61829881575147</v>
      </c>
      <c r="AE65" s="304">
        <v>140.54650441328616</v>
      </c>
      <c r="AF65" s="304">
        <v>131.91483861712445</v>
      </c>
      <c r="AG65" s="304"/>
      <c r="AH65" s="304">
        <v>85.69346030426891</v>
      </c>
      <c r="AI65" s="304">
        <v>71.97827956905887</v>
      </c>
      <c r="AJ65" s="304">
        <v>39.566372458329333</v>
      </c>
      <c r="AK65" s="304"/>
      <c r="AL65" s="304">
        <v>24.090764499386697</v>
      </c>
      <c r="AM65" s="304">
        <v>20.006896604263744</v>
      </c>
      <c r="AN65" s="304">
        <v>22.634689439283243</v>
      </c>
    </row>
    <row r="66" spans="1:40" x14ac:dyDescent="0.3">
      <c r="A66" s="13" t="str">
        <f t="shared" si="72"/>
        <v>Administrative and secretarial occupations</v>
      </c>
      <c r="B66" s="304">
        <f t="shared" si="75"/>
        <v>819.6472824161043</v>
      </c>
      <c r="C66" s="304">
        <f t="shared" si="73"/>
        <v>812.16980041459124</v>
      </c>
      <c r="D66" s="304">
        <f t="shared" si="74"/>
        <v>841.60962815513517</v>
      </c>
      <c r="E66" s="304"/>
      <c r="F66" s="304">
        <v>2.1304794645696932</v>
      </c>
      <c r="G66" s="304">
        <v>3.1262253736210885</v>
      </c>
      <c r="H66" s="304">
        <v>5.6484121052998946</v>
      </c>
      <c r="I66" s="304"/>
      <c r="J66" s="304">
        <v>37.937350382877831</v>
      </c>
      <c r="K66" s="304">
        <v>50.917790559855817</v>
      </c>
      <c r="L66" s="304">
        <v>86.847461984262281</v>
      </c>
      <c r="M66" s="304"/>
      <c r="N66" s="304">
        <v>135.53804942134082</v>
      </c>
      <c r="O66" s="304">
        <v>155.2018640816151</v>
      </c>
      <c r="P66" s="304">
        <v>217.48813918728487</v>
      </c>
      <c r="Q66" s="304"/>
      <c r="R66" s="304">
        <v>45.800493876868451</v>
      </c>
      <c r="S66" s="304">
        <v>51.072475898529227</v>
      </c>
      <c r="T66" s="304">
        <v>65.090648724611214</v>
      </c>
      <c r="U66" s="304"/>
      <c r="V66" s="304">
        <v>40.908447209978014</v>
      </c>
      <c r="W66" s="304">
        <v>42.119424898856707</v>
      </c>
      <c r="X66" s="304">
        <v>53.423493032126387</v>
      </c>
      <c r="Y66" s="304"/>
      <c r="Z66" s="304">
        <v>199.63507679596231</v>
      </c>
      <c r="AA66" s="304">
        <v>199.60874225787396</v>
      </c>
      <c r="AB66" s="304">
        <v>199.14018871982327</v>
      </c>
      <c r="AC66" s="304"/>
      <c r="AD66" s="304">
        <v>233.26136774519884</v>
      </c>
      <c r="AE66" s="304">
        <v>223.48311964426844</v>
      </c>
      <c r="AF66" s="304">
        <v>180.08760978333467</v>
      </c>
      <c r="AG66" s="304"/>
      <c r="AH66" s="304">
        <v>102.17795716647329</v>
      </c>
      <c r="AI66" s="304">
        <v>68.200776180768557</v>
      </c>
      <c r="AJ66" s="304">
        <v>20.689401208348436</v>
      </c>
      <c r="AK66" s="304"/>
      <c r="AL66" s="304">
        <v>22.258060352835074</v>
      </c>
      <c r="AM66" s="304">
        <v>18.439381519202367</v>
      </c>
      <c r="AN66" s="304">
        <v>13.194273410044326</v>
      </c>
    </row>
    <row r="67" spans="1:40" x14ac:dyDescent="0.3">
      <c r="A67" s="13" t="str">
        <f t="shared" si="72"/>
        <v>Skilled trades occupations</v>
      </c>
      <c r="B67" s="304">
        <f t="shared" si="75"/>
        <v>769.72176192590177</v>
      </c>
      <c r="C67" s="304">
        <f t="shared" si="73"/>
        <v>771.32550095255976</v>
      </c>
      <c r="D67" s="304">
        <f t="shared" si="74"/>
        <v>770.76235559740735</v>
      </c>
      <c r="E67" s="304"/>
      <c r="F67" s="304">
        <v>0.47143317528316747</v>
      </c>
      <c r="G67" s="304">
        <v>0.6293766088625089</v>
      </c>
      <c r="H67" s="304">
        <v>1.2027494354755104</v>
      </c>
      <c r="I67" s="304"/>
      <c r="J67" s="304">
        <v>15.999306096911125</v>
      </c>
      <c r="K67" s="304">
        <v>24.211144194805538</v>
      </c>
      <c r="L67" s="304">
        <v>48.780526555372262</v>
      </c>
      <c r="M67" s="304"/>
      <c r="N67" s="304">
        <v>50.57748925065281</v>
      </c>
      <c r="O67" s="304">
        <v>64.073844622768817</v>
      </c>
      <c r="P67" s="304">
        <v>87.902143265112073</v>
      </c>
      <c r="Q67" s="304"/>
      <c r="R67" s="304">
        <v>24.49870058007204</v>
      </c>
      <c r="S67" s="304">
        <v>26.92587087303723</v>
      </c>
      <c r="T67" s="304">
        <v>34.468725445647756</v>
      </c>
      <c r="U67" s="304"/>
      <c r="V67" s="304">
        <v>40.627838806062961</v>
      </c>
      <c r="W67" s="304">
        <v>46.833527131873765</v>
      </c>
      <c r="X67" s="304">
        <v>59.53017756936697</v>
      </c>
      <c r="Y67" s="304"/>
      <c r="Z67" s="304">
        <v>248.86876938947586</v>
      </c>
      <c r="AA67" s="304">
        <v>255.89990684306835</v>
      </c>
      <c r="AB67" s="304">
        <v>257.51285586535948</v>
      </c>
      <c r="AC67" s="304"/>
      <c r="AD67" s="304">
        <v>184.11521752581234</v>
      </c>
      <c r="AE67" s="304">
        <v>162.59933245918313</v>
      </c>
      <c r="AF67" s="304">
        <v>145.09427203177941</v>
      </c>
      <c r="AG67" s="304"/>
      <c r="AH67" s="304">
        <v>138.90201994235935</v>
      </c>
      <c r="AI67" s="304">
        <v>135.93122595129967</v>
      </c>
      <c r="AJ67" s="304">
        <v>99.335378168992733</v>
      </c>
      <c r="AK67" s="304"/>
      <c r="AL67" s="304">
        <v>65.66098715927204</v>
      </c>
      <c r="AM67" s="304">
        <v>54.221272267660723</v>
      </c>
      <c r="AN67" s="304">
        <v>36.9355272603011</v>
      </c>
    </row>
    <row r="68" spans="1:40" x14ac:dyDescent="0.3">
      <c r="A68" s="13" t="str">
        <f t="shared" si="72"/>
        <v>Caring, leisure and other service occupations</v>
      </c>
      <c r="B68" s="304">
        <f t="shared" si="75"/>
        <v>279.8709004345186</v>
      </c>
      <c r="C68" s="304">
        <f t="shared" si="73"/>
        <v>292.32329437805765</v>
      </c>
      <c r="D68" s="304">
        <f t="shared" si="74"/>
        <v>335.82977070593927</v>
      </c>
      <c r="E68" s="304"/>
      <c r="F68" s="304">
        <v>0.40654443913498223</v>
      </c>
      <c r="G68" s="304">
        <v>0.62733614327746889</v>
      </c>
      <c r="H68" s="304">
        <v>1.1793775272816545</v>
      </c>
      <c r="I68" s="304"/>
      <c r="J68" s="304">
        <v>7.1715990633768198</v>
      </c>
      <c r="K68" s="304">
        <v>10.414257692087121</v>
      </c>
      <c r="L68" s="304">
        <v>18.764342560709061</v>
      </c>
      <c r="M68" s="304"/>
      <c r="N68" s="304">
        <v>37.274928823048178</v>
      </c>
      <c r="O68" s="304">
        <v>42.504341300858741</v>
      </c>
      <c r="P68" s="304">
        <v>54.794942433513086</v>
      </c>
      <c r="Q68" s="304"/>
      <c r="R68" s="304">
        <v>28.577911240007335</v>
      </c>
      <c r="S68" s="304">
        <v>32.967904285242192</v>
      </c>
      <c r="T68" s="304">
        <v>47.885458744812034</v>
      </c>
      <c r="U68" s="304"/>
      <c r="V68" s="304">
        <v>29.224649269265203</v>
      </c>
      <c r="W68" s="304">
        <v>34.084234347479374</v>
      </c>
      <c r="X68" s="304">
        <v>48.872261920976861</v>
      </c>
      <c r="Y68" s="304"/>
      <c r="Z68" s="304">
        <v>52.375894884360847</v>
      </c>
      <c r="AA68" s="304">
        <v>53.686982125336108</v>
      </c>
      <c r="AB68" s="304">
        <v>59.188173194293391</v>
      </c>
      <c r="AC68" s="304"/>
      <c r="AD68" s="304">
        <v>66.853520458167395</v>
      </c>
      <c r="AE68" s="304">
        <v>65.89589351935264</v>
      </c>
      <c r="AF68" s="304">
        <v>64.406677178814533</v>
      </c>
      <c r="AG68" s="304"/>
      <c r="AH68" s="304">
        <v>36.535619491788282</v>
      </c>
      <c r="AI68" s="304">
        <v>34.14875691195445</v>
      </c>
      <c r="AJ68" s="304">
        <v>26.773868951954093</v>
      </c>
      <c r="AK68" s="304"/>
      <c r="AL68" s="304">
        <v>21.450232765369545</v>
      </c>
      <c r="AM68" s="304">
        <v>17.993588052469565</v>
      </c>
      <c r="AN68" s="304">
        <v>13.964668193584545</v>
      </c>
    </row>
    <row r="69" spans="1:40" x14ac:dyDescent="0.3">
      <c r="A69" s="13" t="str">
        <f t="shared" si="72"/>
        <v>Sales and customer service occupations</v>
      </c>
      <c r="B69" s="304">
        <f t="shared" si="75"/>
        <v>1928.6984577101359</v>
      </c>
      <c r="C69" s="304">
        <f t="shared" si="73"/>
        <v>1857.8209921763378</v>
      </c>
      <c r="D69" s="304">
        <f t="shared" si="74"/>
        <v>1819.1794744915028</v>
      </c>
      <c r="E69" s="304"/>
      <c r="F69" s="304">
        <v>2.4868280349872065</v>
      </c>
      <c r="G69" s="304">
        <v>3.4775658636713951</v>
      </c>
      <c r="H69" s="304">
        <v>5.5668263150313733</v>
      </c>
      <c r="I69" s="304"/>
      <c r="J69" s="304">
        <v>56.064436015004979</v>
      </c>
      <c r="K69" s="304">
        <v>78.063107323190948</v>
      </c>
      <c r="L69" s="304">
        <v>140.69460240608996</v>
      </c>
      <c r="M69" s="304"/>
      <c r="N69" s="304">
        <v>244.64464870301879</v>
      </c>
      <c r="O69" s="304">
        <v>281.74085824812721</v>
      </c>
      <c r="P69" s="304">
        <v>386.66278861212635</v>
      </c>
      <c r="Q69" s="304"/>
      <c r="R69" s="304">
        <v>79.544208354334955</v>
      </c>
      <c r="S69" s="304">
        <v>89.063456447226699</v>
      </c>
      <c r="T69" s="304">
        <v>118.13364945729028</v>
      </c>
      <c r="U69" s="304"/>
      <c r="V69" s="304">
        <v>63.739202428206156</v>
      </c>
      <c r="W69" s="304">
        <v>65.538752138292239</v>
      </c>
      <c r="X69" s="304">
        <v>80.774990275770946</v>
      </c>
      <c r="Y69" s="304"/>
      <c r="Z69" s="304">
        <v>533.90455686569931</v>
      </c>
      <c r="AA69" s="304">
        <v>531.3034209286709</v>
      </c>
      <c r="AB69" s="304">
        <v>559.66926712045699</v>
      </c>
      <c r="AC69" s="304"/>
      <c r="AD69" s="304">
        <v>496.21844405001207</v>
      </c>
      <c r="AE69" s="304">
        <v>449.55159986840164</v>
      </c>
      <c r="AF69" s="304">
        <v>355.77692777732176</v>
      </c>
      <c r="AG69" s="304"/>
      <c r="AH69" s="304">
        <v>325.43234829546168</v>
      </c>
      <c r="AI69" s="304">
        <v>268.21633733024595</v>
      </c>
      <c r="AJ69" s="304">
        <v>110.5480417489147</v>
      </c>
      <c r="AK69" s="304"/>
      <c r="AL69" s="304">
        <v>126.66378496341068</v>
      </c>
      <c r="AM69" s="304">
        <v>90.865894028510539</v>
      </c>
      <c r="AN69" s="304">
        <v>61.35238077850012</v>
      </c>
    </row>
    <row r="70" spans="1:40" x14ac:dyDescent="0.3">
      <c r="A70" s="13" t="str">
        <f t="shared" si="72"/>
        <v>Process, plant and machine operatives</v>
      </c>
      <c r="B70" s="304">
        <f t="shared" si="75"/>
        <v>944.15355952824598</v>
      </c>
      <c r="C70" s="304">
        <f t="shared" si="73"/>
        <v>1063.1176504004036</v>
      </c>
      <c r="D70" s="304">
        <f t="shared" si="74"/>
        <v>1077.1114843111327</v>
      </c>
      <c r="E70" s="304"/>
      <c r="F70" s="304">
        <v>3.129581906076198</v>
      </c>
      <c r="G70" s="304">
        <v>5.4167912927892443</v>
      </c>
      <c r="H70" s="304">
        <v>10.83176090424203</v>
      </c>
      <c r="I70" s="304"/>
      <c r="J70" s="304">
        <v>15.787823238626512</v>
      </c>
      <c r="K70" s="304">
        <v>25.066860556067901</v>
      </c>
      <c r="L70" s="304">
        <v>46.358097408239651</v>
      </c>
      <c r="M70" s="304"/>
      <c r="N70" s="304">
        <v>53.659489092566972</v>
      </c>
      <c r="O70" s="304">
        <v>72.374311278471311</v>
      </c>
      <c r="P70" s="304">
        <v>113.57800828975309</v>
      </c>
      <c r="Q70" s="304"/>
      <c r="R70" s="304">
        <v>23.406897118223561</v>
      </c>
      <c r="S70" s="304">
        <v>30.891015006365077</v>
      </c>
      <c r="T70" s="304">
        <v>42.644002061705365</v>
      </c>
      <c r="U70" s="304"/>
      <c r="V70" s="304">
        <v>37.748930929254385</v>
      </c>
      <c r="W70" s="304">
        <v>49.773586417921848</v>
      </c>
      <c r="X70" s="304">
        <v>69.599983629689703</v>
      </c>
      <c r="Y70" s="304"/>
      <c r="Z70" s="304">
        <v>174.87811955624358</v>
      </c>
      <c r="AA70" s="304">
        <v>204.93030357709932</v>
      </c>
      <c r="AB70" s="304">
        <v>223.03424373796761</v>
      </c>
      <c r="AC70" s="304"/>
      <c r="AD70" s="304">
        <v>288.06229633161695</v>
      </c>
      <c r="AE70" s="304">
        <v>335.93562416351074</v>
      </c>
      <c r="AF70" s="304">
        <v>337.95499979569593</v>
      </c>
      <c r="AG70" s="304"/>
      <c r="AH70" s="304">
        <v>242.36556238091734</v>
      </c>
      <c r="AI70" s="304">
        <v>254.64592393327692</v>
      </c>
      <c r="AJ70" s="304">
        <v>188.91356218170833</v>
      </c>
      <c r="AK70" s="304"/>
      <c r="AL70" s="304">
        <v>105.11485897472049</v>
      </c>
      <c r="AM70" s="304">
        <v>84.083234174901193</v>
      </c>
      <c r="AN70" s="304">
        <v>44.196826302131107</v>
      </c>
    </row>
    <row r="71" spans="1:40" x14ac:dyDescent="0.3">
      <c r="A71" s="13" t="str">
        <f t="shared" si="72"/>
        <v>Elementary occupations</v>
      </c>
      <c r="B71" s="304">
        <f t="shared" si="75"/>
        <v>1834.548340995902</v>
      </c>
      <c r="C71" s="304">
        <f t="shared" si="73"/>
        <v>1876.7360035864117</v>
      </c>
      <c r="D71" s="304">
        <f t="shared" si="74"/>
        <v>1858.7909619948828</v>
      </c>
      <c r="E71" s="304"/>
      <c r="F71" s="304">
        <v>0.6252750564392805</v>
      </c>
      <c r="G71" s="304">
        <v>0.85686822863798218</v>
      </c>
      <c r="H71" s="304">
        <v>1.3646741576876982</v>
      </c>
      <c r="I71" s="304"/>
      <c r="J71" s="304">
        <v>54.479058820716553</v>
      </c>
      <c r="K71" s="304">
        <v>81.407453475766957</v>
      </c>
      <c r="L71" s="304">
        <v>162.03699146117046</v>
      </c>
      <c r="M71" s="304"/>
      <c r="N71" s="304">
        <v>199.59404384226818</v>
      </c>
      <c r="O71" s="304">
        <v>239.89790011510826</v>
      </c>
      <c r="P71" s="304">
        <v>326.73098671951334</v>
      </c>
      <c r="Q71" s="304"/>
      <c r="R71" s="304">
        <v>85.400414110766576</v>
      </c>
      <c r="S71" s="304">
        <v>100.49200329134401</v>
      </c>
      <c r="T71" s="304">
        <v>142.83600078174442</v>
      </c>
      <c r="U71" s="304"/>
      <c r="V71" s="304">
        <v>92.247056610166567</v>
      </c>
      <c r="W71" s="304">
        <v>108.47359411203271</v>
      </c>
      <c r="X71" s="304">
        <v>147.83866953993584</v>
      </c>
      <c r="Y71" s="304"/>
      <c r="Z71" s="304">
        <v>360.68891988623983</v>
      </c>
      <c r="AA71" s="304">
        <v>359.38407383653754</v>
      </c>
      <c r="AB71" s="304">
        <v>356.83205411281637</v>
      </c>
      <c r="AC71" s="304"/>
      <c r="AD71" s="304">
        <v>493.46305470884755</v>
      </c>
      <c r="AE71" s="304">
        <v>497.09952591522017</v>
      </c>
      <c r="AF71" s="304">
        <v>427.44456632770715</v>
      </c>
      <c r="AG71" s="304"/>
      <c r="AH71" s="304">
        <v>362.29648993316641</v>
      </c>
      <c r="AI71" s="304">
        <v>329.839503056674</v>
      </c>
      <c r="AJ71" s="304">
        <v>170.68403159677723</v>
      </c>
      <c r="AK71" s="304"/>
      <c r="AL71" s="304">
        <v>185.75402802729116</v>
      </c>
      <c r="AM71" s="304">
        <v>159.2850815550901</v>
      </c>
      <c r="AN71" s="304">
        <v>123.02298729753016</v>
      </c>
    </row>
    <row r="72" spans="1:40" x14ac:dyDescent="0.3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3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3">
      <c r="A74" s="13" t="str">
        <f t="shared" ref="A74:A83" si="76">A8</f>
        <v>All occupations</v>
      </c>
      <c r="B74" s="305">
        <f>SUM(B75:B83)</f>
        <v>11274.012999979986</v>
      </c>
      <c r="C74" s="305">
        <f>SUM(C75:C83)</f>
        <v>11689.746000110054</v>
      </c>
      <c r="D74" s="305">
        <f>SUM(D75:D83)</f>
        <v>12346.753000035322</v>
      </c>
      <c r="E74" s="304"/>
      <c r="F74" s="305">
        <f>SUM(F75:F83)</f>
        <v>225.41480074819074</v>
      </c>
      <c r="G74" s="305">
        <f>SUM(G75:G83)</f>
        <v>293.23197651105852</v>
      </c>
      <c r="H74" s="305">
        <f>SUM(H75:H83)</f>
        <v>414.63502708296829</v>
      </c>
      <c r="I74" s="304"/>
      <c r="J74" s="305">
        <f>SUM(J75:J83)</f>
        <v>1852.3920684858199</v>
      </c>
      <c r="K74" s="305">
        <f>SUM(K75:K83)</f>
        <v>2400.6982086137095</v>
      </c>
      <c r="L74" s="305">
        <f>SUM(L75:L83)</f>
        <v>3381.6888754572533</v>
      </c>
      <c r="M74" s="304"/>
      <c r="N74" s="305">
        <f>SUM(N75:N83)</f>
        <v>3204.0809597268567</v>
      </c>
      <c r="O74" s="305">
        <f>SUM(O75:O83)</f>
        <v>3308.5459886146023</v>
      </c>
      <c r="P74" s="305">
        <f>SUM(P75:P83)</f>
        <v>3502.834759453905</v>
      </c>
      <c r="Q74" s="304"/>
      <c r="R74" s="305">
        <f>SUM(R75:R83)</f>
        <v>588.44428784378772</v>
      </c>
      <c r="S74" s="305">
        <f>SUM(S75:S83)</f>
        <v>623.00543776393056</v>
      </c>
      <c r="T74" s="305">
        <f>SUM(T75:T83)</f>
        <v>718.92571156336885</v>
      </c>
      <c r="U74" s="304"/>
      <c r="V74" s="305">
        <f>SUM(V75:V83)</f>
        <v>719.75158901990142</v>
      </c>
      <c r="W74" s="305">
        <f>SUM(W75:W83)</f>
        <v>735.51124315345862</v>
      </c>
      <c r="X74" s="305">
        <f>SUM(X75:X83)</f>
        <v>805.42789777806036</v>
      </c>
      <c r="Y74" s="304"/>
      <c r="Z74" s="305">
        <f>SUM(Z75:Z83)</f>
        <v>1576.3799574715695</v>
      </c>
      <c r="AA74" s="305">
        <f>SUM(AA75:AA83)</f>
        <v>1434.5363479281314</v>
      </c>
      <c r="AB74" s="305">
        <f>SUM(AB75:AB83)</f>
        <v>1245.1241739670356</v>
      </c>
      <c r="AC74" s="304"/>
      <c r="AD74" s="305">
        <f>SUM(AD75:AD83)</f>
        <v>1559.9306500611935</v>
      </c>
      <c r="AE74" s="305">
        <f>SUM(AE75:AE83)</f>
        <v>1456.8107842005875</v>
      </c>
      <c r="AF74" s="305">
        <f>SUM(AF75:AF83)</f>
        <v>1160.4326979554646</v>
      </c>
      <c r="AG74" s="304"/>
      <c r="AH74" s="305">
        <f>SUM(AH75:AH83)</f>
        <v>1147.3635077260271</v>
      </c>
      <c r="AI74" s="305">
        <f>SUM(AI75:AI83)</f>
        <v>1072.560944010376</v>
      </c>
      <c r="AJ74" s="305">
        <f>SUM(AJ75:AJ83)</f>
        <v>804.14659929692675</v>
      </c>
      <c r="AK74" s="304"/>
      <c r="AL74" s="305">
        <f>SUM(AL75:AL83)</f>
        <v>400.25517889664127</v>
      </c>
      <c r="AM74" s="305">
        <f>SUM(AM75:AM83)</f>
        <v>364.84506931419844</v>
      </c>
      <c r="AN74" s="305">
        <f>SUM(AN75:AN83)</f>
        <v>313.53725748033713</v>
      </c>
    </row>
    <row r="75" spans="1:40" x14ac:dyDescent="0.3">
      <c r="A75" s="13" t="str">
        <f t="shared" si="76"/>
        <v>Managers, directors and senior officials</v>
      </c>
      <c r="B75" s="305">
        <f>SUM(F75,J75,N75,R75,V75,Z75,AD75,AH75,AL75)</f>
        <v>1493.1752418487654</v>
      </c>
      <c r="C75" s="305">
        <f t="shared" ref="C75:C83" si="77">SUM(G75,K75,O75,S75,W75,AA75,AE75,AI75,AM75)</f>
        <v>1549.0928771208544</v>
      </c>
      <c r="D75" s="305">
        <f t="shared" ref="D75:D83" si="78">SUM(H75,L75,P75,T75,X75,AB75,AF75,AJ75,AN75)</f>
        <v>1717.1093676999233</v>
      </c>
      <c r="E75" s="304"/>
      <c r="F75" s="304">
        <v>37.911543036372379</v>
      </c>
      <c r="G75" s="304">
        <v>50.2016609892395</v>
      </c>
      <c r="H75" s="304">
        <v>75.113180230311116</v>
      </c>
      <c r="I75" s="304"/>
      <c r="J75" s="304">
        <v>269.84388807954554</v>
      </c>
      <c r="K75" s="304">
        <v>343.66316600325365</v>
      </c>
      <c r="L75" s="304">
        <v>500.9099678088528</v>
      </c>
      <c r="M75" s="304"/>
      <c r="N75" s="304">
        <v>488.23545503817712</v>
      </c>
      <c r="O75" s="304">
        <v>492.89528179571221</v>
      </c>
      <c r="P75" s="304">
        <v>533.78799229642505</v>
      </c>
      <c r="Q75" s="304"/>
      <c r="R75" s="304">
        <v>61.594281536357897</v>
      </c>
      <c r="S75" s="304">
        <v>62.390883363207614</v>
      </c>
      <c r="T75" s="304">
        <v>68.136483405938009</v>
      </c>
      <c r="U75" s="304"/>
      <c r="V75" s="304">
        <v>125.90045101837514</v>
      </c>
      <c r="W75" s="304">
        <v>128.65734667188661</v>
      </c>
      <c r="X75" s="304">
        <v>141.66055752944993</v>
      </c>
      <c r="Y75" s="304"/>
      <c r="Z75" s="304">
        <v>210.64309892423509</v>
      </c>
      <c r="AA75" s="304">
        <v>185.48843449606127</v>
      </c>
      <c r="AB75" s="304">
        <v>169.37817145325539</v>
      </c>
      <c r="AC75" s="304"/>
      <c r="AD75" s="304">
        <v>158.97487567813474</v>
      </c>
      <c r="AE75" s="304">
        <v>147.45043903482903</v>
      </c>
      <c r="AF75" s="304">
        <v>115.46599088161008</v>
      </c>
      <c r="AG75" s="304"/>
      <c r="AH75" s="304">
        <v>109.27672578574952</v>
      </c>
      <c r="AI75" s="304">
        <v>105.94158173260215</v>
      </c>
      <c r="AJ75" s="304">
        <v>79.674387388754923</v>
      </c>
      <c r="AK75" s="304"/>
      <c r="AL75" s="304">
        <v>30.794922751817925</v>
      </c>
      <c r="AM75" s="304">
        <v>32.404083034062353</v>
      </c>
      <c r="AN75" s="304">
        <v>32.982636705325788</v>
      </c>
    </row>
    <row r="76" spans="1:40" x14ac:dyDescent="0.3">
      <c r="A76" s="13" t="str">
        <f t="shared" si="76"/>
        <v>Professional occupations</v>
      </c>
      <c r="B76" s="305">
        <f t="shared" ref="B76:B83" si="79">SUM(F76,J76,N76,R76,V76,Z76,AD76,AH76,AL76)</f>
        <v>3062.7353773883042</v>
      </c>
      <c r="C76" s="305">
        <f t="shared" si="77"/>
        <v>3358.7192181315568</v>
      </c>
      <c r="D76" s="305">
        <f>SUM(H76,L76,P76,T76,X76,AB76,AF76,AJ76,AN76)</f>
        <v>3709.0486719384567</v>
      </c>
      <c r="E76" s="304"/>
      <c r="F76" s="304">
        <v>125.76241325527835</v>
      </c>
      <c r="G76" s="304">
        <v>162.42835113286415</v>
      </c>
      <c r="H76" s="304">
        <v>218.55870682943853</v>
      </c>
      <c r="I76" s="304"/>
      <c r="J76" s="304">
        <v>859.4422505975034</v>
      </c>
      <c r="K76" s="304">
        <v>1124.5450331132329</v>
      </c>
      <c r="L76" s="304">
        <v>1528.8730067417564</v>
      </c>
      <c r="M76" s="304"/>
      <c r="N76" s="304">
        <v>1182.7834262665078</v>
      </c>
      <c r="O76" s="304">
        <v>1204.6114367683538</v>
      </c>
      <c r="P76" s="304">
        <v>1166.9121516655027</v>
      </c>
      <c r="Q76" s="304"/>
      <c r="R76" s="304">
        <v>106.48008347818539</v>
      </c>
      <c r="S76" s="304">
        <v>110.19112260691898</v>
      </c>
      <c r="T76" s="304">
        <v>119.54083282396643</v>
      </c>
      <c r="U76" s="304"/>
      <c r="V76" s="304">
        <v>185.26903515537151</v>
      </c>
      <c r="W76" s="304">
        <v>186.25447570717233</v>
      </c>
      <c r="X76" s="304">
        <v>194.30997772110078</v>
      </c>
      <c r="Y76" s="304"/>
      <c r="Z76" s="304">
        <v>256.38947943296535</v>
      </c>
      <c r="AA76" s="304">
        <v>234.3503197088736</v>
      </c>
      <c r="AB76" s="304">
        <v>207.22368094623116</v>
      </c>
      <c r="AC76" s="304"/>
      <c r="AD76" s="304">
        <v>196.50517683858962</v>
      </c>
      <c r="AE76" s="304">
        <v>187.92403606330643</v>
      </c>
      <c r="AF76" s="304">
        <v>158.88648589249331</v>
      </c>
      <c r="AG76" s="304"/>
      <c r="AH76" s="304">
        <v>118.877492243508</v>
      </c>
      <c r="AI76" s="304">
        <v>110.9233211089872</v>
      </c>
      <c r="AJ76" s="304">
        <v>73.066358377096165</v>
      </c>
      <c r="AK76" s="304"/>
      <c r="AL76" s="304">
        <v>31.226020120394384</v>
      </c>
      <c r="AM76" s="304">
        <v>37.491121921846826</v>
      </c>
      <c r="AN76" s="304">
        <v>41.67747094087116</v>
      </c>
    </row>
    <row r="77" spans="1:40" x14ac:dyDescent="0.3">
      <c r="A77" s="13" t="str">
        <f t="shared" si="76"/>
        <v>Associate professional occupations</v>
      </c>
      <c r="B77" s="305">
        <f t="shared" si="79"/>
        <v>2191.539868428516</v>
      </c>
      <c r="C77" s="305">
        <f t="shared" si="77"/>
        <v>2147.4084109533992</v>
      </c>
      <c r="D77" s="305">
        <f t="shared" si="78"/>
        <v>2314.9764447386565</v>
      </c>
      <c r="E77" s="304"/>
      <c r="F77" s="304">
        <v>41.52346105106821</v>
      </c>
      <c r="G77" s="304">
        <v>52.409602418651041</v>
      </c>
      <c r="H77" s="304">
        <v>77.347921519239137</v>
      </c>
      <c r="I77" s="304"/>
      <c r="J77" s="304">
        <v>447.35243667289086</v>
      </c>
      <c r="K77" s="304">
        <v>550.9224205102912</v>
      </c>
      <c r="L77" s="304">
        <v>777.30988948413733</v>
      </c>
      <c r="M77" s="304"/>
      <c r="N77" s="304">
        <v>770.02867185057607</v>
      </c>
      <c r="O77" s="304">
        <v>738.59753387557407</v>
      </c>
      <c r="P77" s="304">
        <v>753.59967870105618</v>
      </c>
      <c r="Q77" s="304"/>
      <c r="R77" s="304">
        <v>140.55718124621265</v>
      </c>
      <c r="S77" s="304">
        <v>138.91440154163391</v>
      </c>
      <c r="T77" s="304">
        <v>159.25902281953609</v>
      </c>
      <c r="U77" s="304"/>
      <c r="V77" s="304">
        <v>135.8466605325103</v>
      </c>
      <c r="W77" s="304">
        <v>123.09145208079934</v>
      </c>
      <c r="X77" s="304">
        <v>118.56721900973805</v>
      </c>
      <c r="Y77" s="304"/>
      <c r="Z77" s="304">
        <v>273.21569298591686</v>
      </c>
      <c r="AA77" s="304">
        <v>224.99425307595774</v>
      </c>
      <c r="AB77" s="304">
        <v>188.34662429382749</v>
      </c>
      <c r="AC77" s="304"/>
      <c r="AD77" s="304">
        <v>200.7024393167095</v>
      </c>
      <c r="AE77" s="304">
        <v>160.72410584255078</v>
      </c>
      <c r="AF77" s="304">
        <v>110.75307151275659</v>
      </c>
      <c r="AG77" s="304"/>
      <c r="AH77" s="304">
        <v>143.98055300679994</v>
      </c>
      <c r="AI77" s="304">
        <v>119.80819094679997</v>
      </c>
      <c r="AJ77" s="304">
        <v>87.382197426225048</v>
      </c>
      <c r="AK77" s="304"/>
      <c r="AL77" s="304">
        <v>38.332771765831573</v>
      </c>
      <c r="AM77" s="304">
        <v>37.946450661141</v>
      </c>
      <c r="AN77" s="304">
        <v>42.410819972140928</v>
      </c>
    </row>
    <row r="78" spans="1:40" x14ac:dyDescent="0.3">
      <c r="A78" s="13" t="str">
        <f t="shared" si="76"/>
        <v>Administrative and secretarial occupations</v>
      </c>
      <c r="B78" s="305">
        <f t="shared" si="79"/>
        <v>1590.7096400159535</v>
      </c>
      <c r="C78" s="305">
        <f t="shared" si="77"/>
        <v>1513.571101736959</v>
      </c>
      <c r="D78" s="305">
        <f t="shared" si="78"/>
        <v>1421.2265885813513</v>
      </c>
      <c r="E78" s="304"/>
      <c r="F78" s="304">
        <v>10.322361607922437</v>
      </c>
      <c r="G78" s="304">
        <v>13.710369352760855</v>
      </c>
      <c r="H78" s="304">
        <v>21.091291483074396</v>
      </c>
      <c r="I78" s="304"/>
      <c r="J78" s="304">
        <v>133.16309637936916</v>
      </c>
      <c r="K78" s="304">
        <v>173.33073260287458</v>
      </c>
      <c r="L78" s="304">
        <v>252.65203810150962</v>
      </c>
      <c r="M78" s="304"/>
      <c r="N78" s="304">
        <v>385.89670374046858</v>
      </c>
      <c r="O78" s="304">
        <v>421.95286476123721</v>
      </c>
      <c r="P78" s="304">
        <v>489.82766196037477</v>
      </c>
      <c r="Q78" s="304"/>
      <c r="R78" s="304">
        <v>107.8039152722215</v>
      </c>
      <c r="S78" s="304">
        <v>111.27706049313566</v>
      </c>
      <c r="T78" s="304">
        <v>121.918584128847</v>
      </c>
      <c r="U78" s="304"/>
      <c r="V78" s="304">
        <v>125.77320932537776</v>
      </c>
      <c r="W78" s="304">
        <v>130.07998903390666</v>
      </c>
      <c r="X78" s="304">
        <v>144.08066674208311</v>
      </c>
      <c r="Y78" s="304"/>
      <c r="Z78" s="304">
        <v>276.86692551919026</v>
      </c>
      <c r="AA78" s="304">
        <v>231.20502642252984</v>
      </c>
      <c r="AB78" s="304">
        <v>148.09099520730294</v>
      </c>
      <c r="AC78" s="304"/>
      <c r="AD78" s="304">
        <v>310.00045787811968</v>
      </c>
      <c r="AE78" s="304">
        <v>248.10327415707363</v>
      </c>
      <c r="AF78" s="304">
        <v>141.65994071683917</v>
      </c>
      <c r="AG78" s="304"/>
      <c r="AH78" s="304">
        <v>171.2679060346286</v>
      </c>
      <c r="AI78" s="304">
        <v>114.12524785397252</v>
      </c>
      <c r="AJ78" s="304">
        <v>33.66835239734997</v>
      </c>
      <c r="AK78" s="304"/>
      <c r="AL78" s="304">
        <v>69.615064258655408</v>
      </c>
      <c r="AM78" s="304">
        <v>69.786537059468188</v>
      </c>
      <c r="AN78" s="304">
        <v>68.237057843970305</v>
      </c>
    </row>
    <row r="79" spans="1:40" x14ac:dyDescent="0.3">
      <c r="A79" s="13" t="str">
        <f t="shared" si="76"/>
        <v>Skilled trades occupations</v>
      </c>
      <c r="B79" s="305">
        <f t="shared" si="79"/>
        <v>402.95354962995287</v>
      </c>
      <c r="C79" s="305">
        <f t="shared" si="77"/>
        <v>433.8322164528563</v>
      </c>
      <c r="D79" s="305">
        <f t="shared" si="78"/>
        <v>447.87408051997892</v>
      </c>
      <c r="E79" s="304"/>
      <c r="F79" s="304">
        <v>2.3985167335791648</v>
      </c>
      <c r="G79" s="304">
        <v>3.4818715917921743</v>
      </c>
      <c r="H79" s="304">
        <v>5.4423312803801744</v>
      </c>
      <c r="I79" s="304"/>
      <c r="J79" s="304">
        <v>24.988476631169551</v>
      </c>
      <c r="K79" s="304">
        <v>37.455376959285971</v>
      </c>
      <c r="L79" s="304">
        <v>56.099562537642392</v>
      </c>
      <c r="M79" s="304"/>
      <c r="N79" s="304">
        <v>62.649543263722897</v>
      </c>
      <c r="O79" s="304">
        <v>73.720090746168353</v>
      </c>
      <c r="P79" s="304">
        <v>92.376489639056928</v>
      </c>
      <c r="Q79" s="304"/>
      <c r="R79" s="304">
        <v>23.789353015962593</v>
      </c>
      <c r="S79" s="304">
        <v>26.991068845247852</v>
      </c>
      <c r="T79" s="304">
        <v>35.286981352629532</v>
      </c>
      <c r="U79" s="304"/>
      <c r="V79" s="304">
        <v>29.921619111043391</v>
      </c>
      <c r="W79" s="304">
        <v>32.299405868716171</v>
      </c>
      <c r="X79" s="304">
        <v>37.135712144288185</v>
      </c>
      <c r="Y79" s="304"/>
      <c r="Z79" s="304">
        <v>92.533497266017775</v>
      </c>
      <c r="AA79" s="304">
        <v>89.413022535905725</v>
      </c>
      <c r="AB79" s="304">
        <v>76.749543823523524</v>
      </c>
      <c r="AC79" s="304"/>
      <c r="AD79" s="304">
        <v>86.359925892006331</v>
      </c>
      <c r="AE79" s="304">
        <v>86.479325215398106</v>
      </c>
      <c r="AF79" s="304">
        <v>75.680325705016955</v>
      </c>
      <c r="AG79" s="304"/>
      <c r="AH79" s="304">
        <v>49.543426632917452</v>
      </c>
      <c r="AI79" s="304">
        <v>49.493133537502203</v>
      </c>
      <c r="AJ79" s="304">
        <v>38.607399308807381</v>
      </c>
      <c r="AK79" s="304"/>
      <c r="AL79" s="304">
        <v>30.769191083533794</v>
      </c>
      <c r="AM79" s="304">
        <v>34.498921152839706</v>
      </c>
      <c r="AN79" s="304">
        <v>30.495734728633796</v>
      </c>
    </row>
    <row r="80" spans="1:40" x14ac:dyDescent="0.3">
      <c r="A80" s="13" t="str">
        <f t="shared" si="76"/>
        <v>Caring, leisure and other service occupations</v>
      </c>
      <c r="B80" s="305">
        <f t="shared" si="79"/>
        <v>679.36248816495765</v>
      </c>
      <c r="C80" s="305">
        <f t="shared" si="77"/>
        <v>709.12149212394502</v>
      </c>
      <c r="D80" s="305">
        <f t="shared" si="78"/>
        <v>747.35721681734822</v>
      </c>
      <c r="E80" s="304"/>
      <c r="F80" s="304">
        <v>0.75815510317996049</v>
      </c>
      <c r="G80" s="304">
        <v>1.1281614186971596</v>
      </c>
      <c r="H80" s="304">
        <v>2.0041059496095959</v>
      </c>
      <c r="I80" s="304"/>
      <c r="J80" s="304">
        <v>35.793077450236353</v>
      </c>
      <c r="K80" s="304">
        <v>50.115966718141429</v>
      </c>
      <c r="L80" s="304">
        <v>77.666438036295958</v>
      </c>
      <c r="M80" s="304"/>
      <c r="N80" s="304">
        <v>100.53296984575975</v>
      </c>
      <c r="O80" s="304">
        <v>122.99326416112886</v>
      </c>
      <c r="P80" s="304">
        <v>160.92044260503658</v>
      </c>
      <c r="Q80" s="304"/>
      <c r="R80" s="304">
        <v>64.139518495151165</v>
      </c>
      <c r="S80" s="304">
        <v>73.060509698334172</v>
      </c>
      <c r="T80" s="304">
        <v>88.968989450677597</v>
      </c>
      <c r="U80" s="304"/>
      <c r="V80" s="304">
        <v>44.882847598448151</v>
      </c>
      <c r="W80" s="304">
        <v>52.308624436521384</v>
      </c>
      <c r="X80" s="304">
        <v>71.072976201970761</v>
      </c>
      <c r="Y80" s="304"/>
      <c r="Z80" s="304">
        <v>168.47410643395114</v>
      </c>
      <c r="AA80" s="304">
        <v>165.8042380168763</v>
      </c>
      <c r="AB80" s="304">
        <v>159.52500066254254</v>
      </c>
      <c r="AC80" s="304"/>
      <c r="AD80" s="304">
        <v>142.43901751036267</v>
      </c>
      <c r="AE80" s="304">
        <v>126.94745307004182</v>
      </c>
      <c r="AF80" s="304">
        <v>93.296952170743623</v>
      </c>
      <c r="AG80" s="304"/>
      <c r="AH80" s="304">
        <v>95.355395299586718</v>
      </c>
      <c r="AI80" s="304">
        <v>92.410416115352177</v>
      </c>
      <c r="AJ80" s="304">
        <v>73.57590564949669</v>
      </c>
      <c r="AK80" s="304"/>
      <c r="AL80" s="304">
        <v>26.987400428281756</v>
      </c>
      <c r="AM80" s="304">
        <v>24.352858488851748</v>
      </c>
      <c r="AN80" s="304">
        <v>20.326406090974867</v>
      </c>
    </row>
    <row r="81" spans="1:40" x14ac:dyDescent="0.3">
      <c r="A81" s="13" t="str">
        <f t="shared" si="76"/>
        <v>Sales and customer service occupations</v>
      </c>
      <c r="B81" s="305">
        <f t="shared" si="79"/>
        <v>592.99337539508292</v>
      </c>
      <c r="C81" s="305">
        <f t="shared" si="77"/>
        <v>661.55611584549297</v>
      </c>
      <c r="D81" s="305">
        <f t="shared" si="78"/>
        <v>708.8685569479004</v>
      </c>
      <c r="E81" s="304"/>
      <c r="F81" s="304">
        <v>4.3994847539015156</v>
      </c>
      <c r="G81" s="304">
        <v>6.2625432615706806</v>
      </c>
      <c r="H81" s="304">
        <v>9.4981854548257516</v>
      </c>
      <c r="I81" s="304"/>
      <c r="J81" s="304">
        <v>38.908263201119794</v>
      </c>
      <c r="K81" s="304">
        <v>55.637981087886033</v>
      </c>
      <c r="L81" s="304">
        <v>86.005980612178774</v>
      </c>
      <c r="M81" s="304"/>
      <c r="N81" s="304">
        <v>123.07769738797788</v>
      </c>
      <c r="O81" s="304">
        <v>144.51157011703791</v>
      </c>
      <c r="P81" s="304">
        <v>174.16486212990472</v>
      </c>
      <c r="Q81" s="304"/>
      <c r="R81" s="304">
        <v>33.848495957919752</v>
      </c>
      <c r="S81" s="304">
        <v>38.94321909318387</v>
      </c>
      <c r="T81" s="304">
        <v>48.917122303140872</v>
      </c>
      <c r="U81" s="304"/>
      <c r="V81" s="304">
        <v>43.004900352035364</v>
      </c>
      <c r="W81" s="304">
        <v>52.28502588981916</v>
      </c>
      <c r="X81" s="304">
        <v>62.02460227846101</v>
      </c>
      <c r="Y81" s="304"/>
      <c r="Z81" s="304">
        <v>122.02708982260735</v>
      </c>
      <c r="AA81" s="304">
        <v>127.50479168656859</v>
      </c>
      <c r="AB81" s="304">
        <v>118.45301608654925</v>
      </c>
      <c r="AC81" s="304"/>
      <c r="AD81" s="304">
        <v>135.57506035143024</v>
      </c>
      <c r="AE81" s="304">
        <v>146.65364785173176</v>
      </c>
      <c r="AF81" s="304">
        <v>129.56045321528975</v>
      </c>
      <c r="AG81" s="304"/>
      <c r="AH81" s="304">
        <v>67.506154522112723</v>
      </c>
      <c r="AI81" s="304">
        <v>63.532058417362549</v>
      </c>
      <c r="AJ81" s="304">
        <v>52.295702851072811</v>
      </c>
      <c r="AK81" s="304"/>
      <c r="AL81" s="304">
        <v>24.646229045978291</v>
      </c>
      <c r="AM81" s="304">
        <v>26.225278440332456</v>
      </c>
      <c r="AN81" s="304">
        <v>27.948632016477273</v>
      </c>
    </row>
    <row r="82" spans="1:40" x14ac:dyDescent="0.3">
      <c r="A82" s="13" t="str">
        <f t="shared" si="76"/>
        <v>Process, plant and machine operatives</v>
      </c>
      <c r="B82" s="305">
        <f t="shared" si="79"/>
        <v>208.49158169936715</v>
      </c>
      <c r="C82" s="305">
        <f t="shared" si="77"/>
        <v>236.32581519084377</v>
      </c>
      <c r="D82" s="305">
        <f t="shared" si="78"/>
        <v>237.72674910288706</v>
      </c>
      <c r="E82" s="304"/>
      <c r="F82" s="304">
        <v>0.69356865756947761</v>
      </c>
      <c r="G82" s="304">
        <v>1.1485572771939787</v>
      </c>
      <c r="H82" s="304">
        <v>1.7337354128695173</v>
      </c>
      <c r="I82" s="304"/>
      <c r="J82" s="304">
        <v>9.5304640602357864</v>
      </c>
      <c r="K82" s="304">
        <v>14.105582304821937</v>
      </c>
      <c r="L82" s="304">
        <v>22.932078691654276</v>
      </c>
      <c r="M82" s="304"/>
      <c r="N82" s="304">
        <v>16.555901748842142</v>
      </c>
      <c r="O82" s="304">
        <v>21.37869065895482</v>
      </c>
      <c r="P82" s="304">
        <v>26.985717584519939</v>
      </c>
      <c r="Q82" s="304"/>
      <c r="R82" s="304">
        <v>6.2731918470670713</v>
      </c>
      <c r="S82" s="304">
        <v>7.9280126391994479</v>
      </c>
      <c r="T82" s="304">
        <v>10.733029414446783</v>
      </c>
      <c r="U82" s="304"/>
      <c r="V82" s="304">
        <v>7.0821284483426163</v>
      </c>
      <c r="W82" s="304">
        <v>8.6681147306248985</v>
      </c>
      <c r="X82" s="304">
        <v>10.774204851933673</v>
      </c>
      <c r="Y82" s="304"/>
      <c r="Z82" s="304">
        <v>50.402163406795616</v>
      </c>
      <c r="AA82" s="304">
        <v>58.464251512730378</v>
      </c>
      <c r="AB82" s="304">
        <v>67.265561525305671</v>
      </c>
      <c r="AC82" s="304"/>
      <c r="AD82" s="304">
        <v>44.272382672428172</v>
      </c>
      <c r="AE82" s="304">
        <v>49.766454071478329</v>
      </c>
      <c r="AF82" s="304">
        <v>48.928507193684837</v>
      </c>
      <c r="AG82" s="304"/>
      <c r="AH82" s="304">
        <v>41.165789221649909</v>
      </c>
      <c r="AI82" s="304">
        <v>41.68986755951498</v>
      </c>
      <c r="AJ82" s="304">
        <v>29.045743835248789</v>
      </c>
      <c r="AK82" s="304"/>
      <c r="AL82" s="304">
        <v>32.515991636436375</v>
      </c>
      <c r="AM82" s="304">
        <v>33.176284436325012</v>
      </c>
      <c r="AN82" s="304">
        <v>19.328170593223582</v>
      </c>
    </row>
    <row r="83" spans="1:40" x14ac:dyDescent="0.3">
      <c r="A83" s="38" t="str">
        <f t="shared" si="76"/>
        <v>Elementary occupations</v>
      </c>
      <c r="B83" s="307">
        <f t="shared" si="79"/>
        <v>1052.0518774090879</v>
      </c>
      <c r="C83" s="307">
        <f t="shared" si="77"/>
        <v>1080.1187525541459</v>
      </c>
      <c r="D83" s="307">
        <f t="shared" si="78"/>
        <v>1042.5653236888174</v>
      </c>
      <c r="E83" s="307"/>
      <c r="F83" s="307">
        <v>1.6452965493192913</v>
      </c>
      <c r="G83" s="307">
        <v>2.4608590682889786</v>
      </c>
      <c r="H83" s="307">
        <v>3.8455689232200121</v>
      </c>
      <c r="I83" s="307"/>
      <c r="J83" s="307">
        <v>33.370115413749602</v>
      </c>
      <c r="K83" s="307">
        <v>50.921949313922269</v>
      </c>
      <c r="L83" s="307">
        <v>79.239913443225547</v>
      </c>
      <c r="M83" s="307"/>
      <c r="N83" s="307">
        <v>74.320590584824046</v>
      </c>
      <c r="O83" s="307">
        <v>87.885255730434807</v>
      </c>
      <c r="P83" s="307">
        <v>104.25976287202815</v>
      </c>
      <c r="Q83" s="307"/>
      <c r="R83" s="307">
        <v>43.958266994709632</v>
      </c>
      <c r="S83" s="307">
        <v>53.309159483069045</v>
      </c>
      <c r="T83" s="307">
        <v>66.164665864186588</v>
      </c>
      <c r="U83" s="307"/>
      <c r="V83" s="307">
        <v>22.070737478397181</v>
      </c>
      <c r="W83" s="307">
        <v>21.866808734012114</v>
      </c>
      <c r="X83" s="307">
        <v>25.801981299035017</v>
      </c>
      <c r="Y83" s="307"/>
      <c r="Z83" s="307">
        <v>125.82790367988981</v>
      </c>
      <c r="AA83" s="307">
        <v>117.31201047262788</v>
      </c>
      <c r="AB83" s="307">
        <v>110.09157996849758</v>
      </c>
      <c r="AC83" s="307"/>
      <c r="AD83" s="307">
        <v>285.10131392341242</v>
      </c>
      <c r="AE83" s="307">
        <v>302.7620488941775</v>
      </c>
      <c r="AF83" s="307">
        <v>286.2009706670305</v>
      </c>
      <c r="AG83" s="307"/>
      <c r="AH83" s="307">
        <v>350.39006497907422</v>
      </c>
      <c r="AI83" s="307">
        <v>374.63712673828223</v>
      </c>
      <c r="AJ83" s="307">
        <v>336.83055206287492</v>
      </c>
      <c r="AK83" s="307"/>
      <c r="AL83" s="307">
        <v>115.36758780571176</v>
      </c>
      <c r="AM83" s="307">
        <v>68.963534119331129</v>
      </c>
      <c r="AN83" s="307">
        <v>30.130328588719383</v>
      </c>
    </row>
    <row r="84" spans="1:40" x14ac:dyDescent="0.3">
      <c r="B84" s="31"/>
      <c r="C84" s="31"/>
      <c r="D84" s="31"/>
    </row>
    <row r="85" spans="1:40" ht="15.45" x14ac:dyDescent="0.4">
      <c r="A85" s="18" t="str">
        <f>CONCATENATE(A1," (Continued)")</f>
        <v>Basic Table 1  Employment by Industry Sector, Occupation Group and Qualification, 2020-2035, United Kingdom (Continued)</v>
      </c>
    </row>
    <row r="86" spans="1:40" ht="12.75" customHeight="1" x14ac:dyDescent="0.4">
      <c r="A86" s="18"/>
    </row>
    <row r="87" spans="1:40" ht="12.75" customHeight="1" x14ac:dyDescent="0.4">
      <c r="A87" s="18"/>
    </row>
    <row r="88" spans="1:40" ht="26.25" customHeight="1" x14ac:dyDescent="0.3">
      <c r="A88" s="77"/>
      <c r="B88" s="77"/>
      <c r="C88" s="78" t="str">
        <f>B4</f>
        <v>All qualifications</v>
      </c>
      <c r="D88" s="77"/>
      <c r="E88" s="77"/>
      <c r="F88" s="77"/>
      <c r="G88" s="78" t="str">
        <f>F4</f>
        <v>RQF8 Doctorate</v>
      </c>
      <c r="H88" s="77"/>
      <c r="I88" s="77"/>
      <c r="J88" s="77"/>
      <c r="K88" s="78" t="str">
        <f>J4</f>
        <v>RQF7 Other higher degree</v>
      </c>
      <c r="L88" s="77"/>
      <c r="M88" s="77"/>
      <c r="N88" s="380" t="str">
        <f>N4</f>
        <v>RQF6 First degree</v>
      </c>
      <c r="O88" s="380"/>
      <c r="P88" s="380"/>
      <c r="Q88" s="77"/>
      <c r="R88" s="380" t="str">
        <f>R4</f>
        <v>RQF5 Foundation degree;Nursing;Teaching</v>
      </c>
      <c r="S88" s="380"/>
      <c r="T88" s="380"/>
      <c r="U88" s="77"/>
      <c r="V88" s="380" t="str">
        <f>V4</f>
        <v>RQF4 HE below degree level</v>
      </c>
      <c r="W88" s="380"/>
      <c r="X88" s="380"/>
      <c r="Y88" s="77"/>
      <c r="Z88" s="380" t="str">
        <f>Z4</f>
        <v>RQF3 A level &amp; equivalent</v>
      </c>
      <c r="AA88" s="380"/>
      <c r="AB88" s="380"/>
      <c r="AC88" s="77"/>
      <c r="AD88" s="380" t="str">
        <f>AD4</f>
        <v>RQF2 GCSE(A-C) &amp; equivalent</v>
      </c>
      <c r="AE88" s="380"/>
      <c r="AF88" s="380"/>
      <c r="AG88" s="77"/>
      <c r="AH88" s="380" t="str">
        <f>AH4</f>
        <v>RQF1 GCSE(below grade C) &amp; equivalent</v>
      </c>
      <c r="AI88" s="380"/>
      <c r="AJ88" s="380"/>
      <c r="AK88" s="77"/>
      <c r="AL88" s="77"/>
      <c r="AM88" s="78" t="str">
        <f>AL4</f>
        <v>No Qualification</v>
      </c>
      <c r="AN88" s="77"/>
    </row>
    <row r="89" spans="1:40" x14ac:dyDescent="0.3">
      <c r="A89" s="38"/>
      <c r="B89" s="41">
        <f>B5</f>
        <v>2020</v>
      </c>
      <c r="C89" s="41">
        <f>C5</f>
        <v>2025</v>
      </c>
      <c r="D89" s="41">
        <f>D5</f>
        <v>2035</v>
      </c>
      <c r="E89" s="38"/>
      <c r="F89" s="34">
        <f>B89</f>
        <v>2020</v>
      </c>
      <c r="G89" s="34">
        <f>C89</f>
        <v>2025</v>
      </c>
      <c r="H89" s="34">
        <f>D89</f>
        <v>2035</v>
      </c>
      <c r="I89" s="38"/>
      <c r="J89" s="34">
        <f>B89</f>
        <v>2020</v>
      </c>
      <c r="K89" s="34">
        <f>C89</f>
        <v>2025</v>
      </c>
      <c r="L89" s="34">
        <f>D89</f>
        <v>2035</v>
      </c>
      <c r="M89" s="38"/>
      <c r="N89" s="34">
        <f>B89</f>
        <v>2020</v>
      </c>
      <c r="O89" s="34">
        <f>C89</f>
        <v>2025</v>
      </c>
      <c r="P89" s="34">
        <f>D89</f>
        <v>2035</v>
      </c>
      <c r="Q89" s="38"/>
      <c r="R89" s="34">
        <f>F89</f>
        <v>2020</v>
      </c>
      <c r="S89" s="34">
        <f>G89</f>
        <v>2025</v>
      </c>
      <c r="T89" s="34">
        <f>H89</f>
        <v>2035</v>
      </c>
      <c r="U89" s="38"/>
      <c r="V89" s="34">
        <f>J89</f>
        <v>2020</v>
      </c>
      <c r="W89" s="34">
        <f>K89</f>
        <v>2025</v>
      </c>
      <c r="X89" s="34">
        <f>L89</f>
        <v>2035</v>
      </c>
      <c r="Y89" s="38"/>
      <c r="Z89" s="34">
        <f>N89</f>
        <v>2020</v>
      </c>
      <c r="AA89" s="34">
        <f>O89</f>
        <v>2025</v>
      </c>
      <c r="AB89" s="34">
        <f>P89</f>
        <v>2035</v>
      </c>
      <c r="AC89" s="38"/>
      <c r="AD89" s="34">
        <f>R89</f>
        <v>2020</v>
      </c>
      <c r="AE89" s="34">
        <f>S89</f>
        <v>2025</v>
      </c>
      <c r="AF89" s="34">
        <f>T89</f>
        <v>2035</v>
      </c>
      <c r="AG89" s="38"/>
      <c r="AH89" s="34">
        <f>V89</f>
        <v>2020</v>
      </c>
      <c r="AI89" s="34">
        <f>W89</f>
        <v>2025</v>
      </c>
      <c r="AJ89" s="34">
        <f>X89</f>
        <v>2035</v>
      </c>
      <c r="AK89" s="38"/>
      <c r="AL89" s="34">
        <f>Z89</f>
        <v>2020</v>
      </c>
      <c r="AM89" s="34">
        <f>AA89</f>
        <v>2025</v>
      </c>
      <c r="AN89" s="34">
        <f>AB89</f>
        <v>2035</v>
      </c>
    </row>
    <row r="90" spans="1:40" x14ac:dyDescent="0.3">
      <c r="B90" s="31"/>
      <c r="C90" s="31"/>
      <c r="D90" s="31"/>
    </row>
    <row r="91" spans="1:40" x14ac:dyDescent="0.3">
      <c r="A91" s="1" t="str">
        <f>name!C9</f>
        <v>Non-marketed services</v>
      </c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3">
      <c r="A92" s="13" t="str">
        <f t="shared" ref="A92:A101" si="80">A8</f>
        <v>All occupations</v>
      </c>
      <c r="B92" s="305">
        <f>SUM(B93:B101)</f>
        <v>8780.9900000097932</v>
      </c>
      <c r="C92" s="305">
        <f>SUM(C93:C101)</f>
        <v>9151.5599997551744</v>
      </c>
      <c r="D92" s="305">
        <f>SUM(D93:D101)</f>
        <v>9629.9070000282736</v>
      </c>
      <c r="E92" s="304"/>
      <c r="F92" s="305">
        <f>SUM(F93:F101)</f>
        <v>303.68534162065032</v>
      </c>
      <c r="G92" s="305">
        <f>SUM(G93:G101)</f>
        <v>375.71983939563052</v>
      </c>
      <c r="H92" s="305">
        <f>SUM(H93:H101)</f>
        <v>494.7284364570225</v>
      </c>
      <c r="I92" s="304"/>
      <c r="J92" s="305">
        <f>SUM(J93:J101)</f>
        <v>1720.6890622452172</v>
      </c>
      <c r="K92" s="305">
        <f>SUM(K93:K101)</f>
        <v>2088.3368702814955</v>
      </c>
      <c r="L92" s="305">
        <f>SUM(L93:L101)</f>
        <v>2657.8696524667839</v>
      </c>
      <c r="M92" s="304"/>
      <c r="N92" s="305">
        <f>SUM(N93:N101)</f>
        <v>2229.0914075109749</v>
      </c>
      <c r="O92" s="305">
        <f>SUM(O93:O101)</f>
        <v>2401.3105955900319</v>
      </c>
      <c r="P92" s="305">
        <f>SUM(P93:P101)</f>
        <v>2697.5913845302716</v>
      </c>
      <c r="Q92" s="304"/>
      <c r="R92" s="305">
        <f>SUM(R93:R101)</f>
        <v>829.6956933068866</v>
      </c>
      <c r="S92" s="305">
        <f>SUM(S93:S101)</f>
        <v>731.3575988343423</v>
      </c>
      <c r="T92" s="305">
        <f>SUM(T93:T101)</f>
        <v>651.09445746249662</v>
      </c>
      <c r="U92" s="304"/>
      <c r="V92" s="305">
        <f>SUM(V93:V101)</f>
        <v>402.10939462358556</v>
      </c>
      <c r="W92" s="305">
        <f>SUM(W93:W101)</f>
        <v>413.28311600947956</v>
      </c>
      <c r="X92" s="305">
        <f>SUM(X93:X101)</f>
        <v>448.03592208480069</v>
      </c>
      <c r="Y92" s="304"/>
      <c r="Z92" s="305">
        <f>SUM(Z93:Z101)</f>
        <v>1598.5235094780537</v>
      </c>
      <c r="AA92" s="305">
        <f>SUM(AA93:AA101)</f>
        <v>1671.9412343957183</v>
      </c>
      <c r="AB92" s="305">
        <f>SUM(AB93:AB101)</f>
        <v>1695.3270684503439</v>
      </c>
      <c r="AC92" s="304"/>
      <c r="AD92" s="305">
        <f>SUM(AD93:AD101)</f>
        <v>1176.3508369428976</v>
      </c>
      <c r="AE92" s="305">
        <f>SUM(AE93:AE101)</f>
        <v>1077.9540905624856</v>
      </c>
      <c r="AF92" s="305">
        <f>SUM(AF93:AF101)</f>
        <v>749.14035616119463</v>
      </c>
      <c r="AG92" s="304"/>
      <c r="AH92" s="305">
        <f>SUM(AH93:AH101)</f>
        <v>428.20249182288444</v>
      </c>
      <c r="AI92" s="305">
        <f>SUM(AI93:AI101)</f>
        <v>315.97482180536673</v>
      </c>
      <c r="AJ92" s="305">
        <f>SUM(AJ93:AJ101)</f>
        <v>160.7907776630982</v>
      </c>
      <c r="AK92" s="304"/>
      <c r="AL92" s="305">
        <f>SUM(AL93:AL101)</f>
        <v>92.642262458642222</v>
      </c>
      <c r="AM92" s="305">
        <f>SUM(AM93:AM101)</f>
        <v>75.681832880623091</v>
      </c>
      <c r="AN92" s="305">
        <f>SUM(AN93:AN101)</f>
        <v>75.32894475226054</v>
      </c>
    </row>
    <row r="93" spans="1:40" x14ac:dyDescent="0.3">
      <c r="A93" s="13" t="str">
        <f t="shared" si="80"/>
        <v>Managers, directors and senior officials</v>
      </c>
      <c r="B93" s="305">
        <f>SUM(F93,J93,N93,R93,V93,Z93,AD93,AH93,AL93)</f>
        <v>398.50356741772873</v>
      </c>
      <c r="C93" s="305">
        <f t="shared" ref="C93:D93" si="81">SUM(G93,K93,O93,S93,W93,AA93,AE93,AI93,AM93)</f>
        <v>408.70569279109679</v>
      </c>
      <c r="D93" s="305">
        <f t="shared" si="81"/>
        <v>454.73631935468472</v>
      </c>
      <c r="E93" s="304"/>
      <c r="F93" s="304">
        <v>8.6010183873577102</v>
      </c>
      <c r="G93" s="304">
        <v>10.594742589048083</v>
      </c>
      <c r="H93" s="304">
        <v>15.494136314780039</v>
      </c>
      <c r="I93" s="304"/>
      <c r="J93" s="304">
        <v>84.593291184008507</v>
      </c>
      <c r="K93" s="304">
        <v>99.018928536906031</v>
      </c>
      <c r="L93" s="304">
        <v>128.33315323507225</v>
      </c>
      <c r="M93" s="304"/>
      <c r="N93" s="304">
        <v>121.80813681012185</v>
      </c>
      <c r="O93" s="304">
        <v>126.29263962821859</v>
      </c>
      <c r="P93" s="304">
        <v>145.73806593583279</v>
      </c>
      <c r="Q93" s="304"/>
      <c r="R93" s="304">
        <v>68.301835656115429</v>
      </c>
      <c r="S93" s="304">
        <v>68.255281316926471</v>
      </c>
      <c r="T93" s="304">
        <v>72.559047268835442</v>
      </c>
      <c r="U93" s="304"/>
      <c r="V93" s="304">
        <v>17.080973417790453</v>
      </c>
      <c r="W93" s="304">
        <v>15.607979174214369</v>
      </c>
      <c r="X93" s="304">
        <v>15.326870419152286</v>
      </c>
      <c r="Y93" s="304"/>
      <c r="Z93" s="304">
        <v>56.183370970058526</v>
      </c>
      <c r="AA93" s="304">
        <v>50.394313342988546</v>
      </c>
      <c r="AB93" s="304">
        <v>44.846436517822454</v>
      </c>
      <c r="AC93" s="304"/>
      <c r="AD93" s="304">
        <v>26.062412528214907</v>
      </c>
      <c r="AE93" s="304">
        <v>23.249987741447022</v>
      </c>
      <c r="AF93" s="304">
        <v>18.668951491028817</v>
      </c>
      <c r="AG93" s="304"/>
      <c r="AH93" s="304">
        <v>9.6871974429560606</v>
      </c>
      <c r="AI93" s="304">
        <v>8.1131991052544343</v>
      </c>
      <c r="AJ93" s="304">
        <v>5.3755016561196101</v>
      </c>
      <c r="AK93" s="304"/>
      <c r="AL93" s="304">
        <v>6.1853310211052239</v>
      </c>
      <c r="AM93" s="304">
        <v>7.1786213560932826</v>
      </c>
      <c r="AN93" s="304">
        <v>8.3941565160411145</v>
      </c>
    </row>
    <row r="94" spans="1:40" x14ac:dyDescent="0.3">
      <c r="A94" s="13" t="str">
        <f t="shared" si="80"/>
        <v>Professional occupations</v>
      </c>
      <c r="B94" s="305">
        <f t="shared" ref="B94:B101" si="82">SUM(F94,J94,N94,R94,V94,Z94,AD94,AH94,AL94)</f>
        <v>3521.3723834872044</v>
      </c>
      <c r="C94" s="305">
        <f t="shared" ref="C94:C101" si="83">SUM(G94,K94,O94,S94,W94,AA94,AE94,AI94,AM94)</f>
        <v>3784.3050159292188</v>
      </c>
      <c r="D94" s="305">
        <f t="shared" ref="D94:D101" si="84">SUM(H94,L94,P94,T94,X94,AB94,AF94,AJ94,AN94)</f>
        <v>4174.3193920741887</v>
      </c>
      <c r="E94" s="305"/>
      <c r="F94" s="304">
        <v>272.41905167935568</v>
      </c>
      <c r="G94" s="304">
        <v>335.63183921415271</v>
      </c>
      <c r="H94" s="304">
        <v>434.58602541967963</v>
      </c>
      <c r="I94" s="304"/>
      <c r="J94" s="304">
        <v>1286.6373455990208</v>
      </c>
      <c r="K94" s="304">
        <v>1537.5708188465269</v>
      </c>
      <c r="L94" s="304">
        <v>1890.1439551007284</v>
      </c>
      <c r="M94" s="304"/>
      <c r="N94" s="304">
        <v>1219.3718387120091</v>
      </c>
      <c r="O94" s="304">
        <v>1267.7272701737888</v>
      </c>
      <c r="P94" s="304">
        <v>1337.2485953739465</v>
      </c>
      <c r="Q94" s="304"/>
      <c r="R94" s="304">
        <v>241.92680756988429</v>
      </c>
      <c r="S94" s="304">
        <v>145.6496725358563</v>
      </c>
      <c r="T94" s="304">
        <v>65.517735680723732</v>
      </c>
      <c r="U94" s="304"/>
      <c r="V94" s="304">
        <v>75.003009732601896</v>
      </c>
      <c r="W94" s="304">
        <v>75.634905458055812</v>
      </c>
      <c r="X94" s="304">
        <v>79.98492680612209</v>
      </c>
      <c r="Y94" s="304"/>
      <c r="Z94" s="304">
        <v>207.28621930583191</v>
      </c>
      <c r="AA94" s="304">
        <v>214.55563911270613</v>
      </c>
      <c r="AB94" s="304">
        <v>218.83746104717741</v>
      </c>
      <c r="AC94" s="304"/>
      <c r="AD94" s="304">
        <v>129.07826676557889</v>
      </c>
      <c r="AE94" s="304">
        <v>120.3308223531598</v>
      </c>
      <c r="AF94" s="304">
        <v>87.643727610449815</v>
      </c>
      <c r="AG94" s="304"/>
      <c r="AH94" s="304">
        <v>78.200506052855815</v>
      </c>
      <c r="AI94" s="304">
        <v>73.718293198339126</v>
      </c>
      <c r="AJ94" s="304">
        <v>45.170845516167695</v>
      </c>
      <c r="AK94" s="304"/>
      <c r="AL94" s="304">
        <v>11.449338070065885</v>
      </c>
      <c r="AM94" s="304">
        <v>13.48575503663324</v>
      </c>
      <c r="AN94" s="304">
        <v>15.186119519192985</v>
      </c>
    </row>
    <row r="95" spans="1:40" x14ac:dyDescent="0.3">
      <c r="A95" s="13" t="str">
        <f t="shared" si="80"/>
        <v>Associate professional occupations</v>
      </c>
      <c r="B95" s="305">
        <f t="shared" si="82"/>
        <v>1297.6607576737736</v>
      </c>
      <c r="C95" s="305">
        <f t="shared" si="83"/>
        <v>1322.0686756784642</v>
      </c>
      <c r="D95" s="305">
        <f t="shared" si="84"/>
        <v>1426.1917354671682</v>
      </c>
      <c r="E95" s="305"/>
      <c r="F95" s="304">
        <v>11.707877422118536</v>
      </c>
      <c r="G95" s="304">
        <v>15.122044879240475</v>
      </c>
      <c r="H95" s="304">
        <v>23.641852208287546</v>
      </c>
      <c r="I95" s="304"/>
      <c r="J95" s="304">
        <v>177.45853482192226</v>
      </c>
      <c r="K95" s="304">
        <v>217.46561763426919</v>
      </c>
      <c r="L95" s="304">
        <v>304.80244742253063</v>
      </c>
      <c r="M95" s="304"/>
      <c r="N95" s="304">
        <v>395.34026463852598</v>
      </c>
      <c r="O95" s="304">
        <v>437.46175927496881</v>
      </c>
      <c r="P95" s="304">
        <v>534.51891929258773</v>
      </c>
      <c r="Q95" s="304"/>
      <c r="R95" s="304">
        <v>168.10753105308689</v>
      </c>
      <c r="S95" s="304">
        <v>143.19900364202965</v>
      </c>
      <c r="T95" s="304">
        <v>118.67398629580198</v>
      </c>
      <c r="U95" s="304"/>
      <c r="V95" s="304">
        <v>74.126357624607422</v>
      </c>
      <c r="W95" s="304">
        <v>69.41530946631913</v>
      </c>
      <c r="X95" s="304">
        <v>75.013818064306889</v>
      </c>
      <c r="Y95" s="304"/>
      <c r="Z95" s="304">
        <v>229.91401659864059</v>
      </c>
      <c r="AA95" s="304">
        <v>222.24405374380692</v>
      </c>
      <c r="AB95" s="304">
        <v>217.80393266742337</v>
      </c>
      <c r="AC95" s="304"/>
      <c r="AD95" s="304">
        <v>158.99667757307833</v>
      </c>
      <c r="AE95" s="304">
        <v>142.81566493732913</v>
      </c>
      <c r="AF95" s="304">
        <v>99.470377602489592</v>
      </c>
      <c r="AG95" s="304"/>
      <c r="AH95" s="304">
        <v>71.403467571104656</v>
      </c>
      <c r="AI95" s="304">
        <v>64.494623053358481</v>
      </c>
      <c r="AJ95" s="304">
        <v>39.520943664231076</v>
      </c>
      <c r="AK95" s="304"/>
      <c r="AL95" s="304">
        <v>10.606030370688963</v>
      </c>
      <c r="AM95" s="304">
        <v>9.8505990471424063</v>
      </c>
      <c r="AN95" s="304">
        <v>12.745458249509269</v>
      </c>
    </row>
    <row r="96" spans="1:40" x14ac:dyDescent="0.3">
      <c r="A96" s="13" t="str">
        <f t="shared" si="80"/>
        <v>Administrative and secretarial occupations</v>
      </c>
      <c r="B96" s="305">
        <f t="shared" si="82"/>
        <v>861.22035139567072</v>
      </c>
      <c r="C96" s="305">
        <f t="shared" si="83"/>
        <v>771.65507517784772</v>
      </c>
      <c r="D96" s="305">
        <f t="shared" si="84"/>
        <v>591.87368779930057</v>
      </c>
      <c r="E96" s="305"/>
      <c r="F96" s="304">
        <v>6.4552659278562317</v>
      </c>
      <c r="G96" s="304">
        <v>7.7288615097227176</v>
      </c>
      <c r="H96" s="304">
        <v>10.881652714244106</v>
      </c>
      <c r="I96" s="304"/>
      <c r="J96" s="304">
        <v>63.925951116117716</v>
      </c>
      <c r="K96" s="304">
        <v>79.660568522813435</v>
      </c>
      <c r="L96" s="304">
        <v>90.491823390738162</v>
      </c>
      <c r="M96" s="304"/>
      <c r="N96" s="304">
        <v>174.72770370028871</v>
      </c>
      <c r="O96" s="304">
        <v>185.216696122131</v>
      </c>
      <c r="P96" s="304">
        <v>197.9943084602034</v>
      </c>
      <c r="Q96" s="304"/>
      <c r="R96" s="304">
        <v>99.980322813893849</v>
      </c>
      <c r="S96" s="304">
        <v>108.40418877250603</v>
      </c>
      <c r="T96" s="304">
        <v>113.30855279080396</v>
      </c>
      <c r="U96" s="304"/>
      <c r="V96" s="304">
        <v>62.754170956816303</v>
      </c>
      <c r="W96" s="304">
        <v>61.240229229019249</v>
      </c>
      <c r="X96" s="304">
        <v>56.869133275506947</v>
      </c>
      <c r="Y96" s="304"/>
      <c r="Z96" s="304">
        <v>186.46364944271099</v>
      </c>
      <c r="AA96" s="304">
        <v>173.98170214200891</v>
      </c>
      <c r="AB96" s="304">
        <v>91.212534391816732</v>
      </c>
      <c r="AC96" s="304"/>
      <c r="AD96" s="304">
        <v>162.92507056203951</v>
      </c>
      <c r="AE96" s="304">
        <v>109.34317888815912</v>
      </c>
      <c r="AF96" s="304">
        <v>26.162037121937043</v>
      </c>
      <c r="AG96" s="304"/>
      <c r="AH96" s="304">
        <v>91.357292865202055</v>
      </c>
      <c r="AI96" s="304">
        <v>39.934887888485413</v>
      </c>
      <c r="AJ96" s="304">
        <v>3.2026706792342274</v>
      </c>
      <c r="AK96" s="304"/>
      <c r="AL96" s="304">
        <v>12.630924010745414</v>
      </c>
      <c r="AM96" s="304">
        <v>6.1447621030019155</v>
      </c>
      <c r="AN96" s="304">
        <v>1.7509749748159853</v>
      </c>
    </row>
    <row r="97" spans="1:40" x14ac:dyDescent="0.3">
      <c r="A97" s="13" t="str">
        <f t="shared" si="80"/>
        <v>Skilled trades occupations</v>
      </c>
      <c r="B97" s="305">
        <f t="shared" si="82"/>
        <v>91.706208036866741</v>
      </c>
      <c r="C97" s="305">
        <f t="shared" si="83"/>
        <v>88.006931948504558</v>
      </c>
      <c r="D97" s="305">
        <f t="shared" si="84"/>
        <v>78.820973773934256</v>
      </c>
      <c r="E97" s="304"/>
      <c r="F97" s="304">
        <v>0.88947057570415222</v>
      </c>
      <c r="G97" s="304">
        <v>1.1223774133729958</v>
      </c>
      <c r="H97" s="304">
        <v>1.494397573663353</v>
      </c>
      <c r="I97" s="304"/>
      <c r="J97" s="304">
        <v>2.7118013417209705</v>
      </c>
      <c r="K97" s="304">
        <v>3.9158845356943637</v>
      </c>
      <c r="L97" s="304">
        <v>6.1687366414751397</v>
      </c>
      <c r="M97" s="304"/>
      <c r="N97" s="304">
        <v>11.475959077416995</v>
      </c>
      <c r="O97" s="304">
        <v>14.342092690584938</v>
      </c>
      <c r="P97" s="304">
        <v>16.936859417664301</v>
      </c>
      <c r="Q97" s="304"/>
      <c r="R97" s="304">
        <v>5.0910124851565728</v>
      </c>
      <c r="S97" s="304">
        <v>5.7005713741978337</v>
      </c>
      <c r="T97" s="304">
        <v>6.6511549219667687</v>
      </c>
      <c r="U97" s="304"/>
      <c r="V97" s="304">
        <v>4.379667962154242</v>
      </c>
      <c r="W97" s="304">
        <v>4.5730268549605348</v>
      </c>
      <c r="X97" s="304">
        <v>5.4040343168895157</v>
      </c>
      <c r="Y97" s="304"/>
      <c r="Z97" s="304">
        <v>20.377757537610787</v>
      </c>
      <c r="AA97" s="304">
        <v>17.201685122081166</v>
      </c>
      <c r="AB97" s="304">
        <v>13.078902166553853</v>
      </c>
      <c r="AC97" s="304"/>
      <c r="AD97" s="304">
        <v>28.099389234174492</v>
      </c>
      <c r="AE97" s="304">
        <v>23.790711172080123</v>
      </c>
      <c r="AF97" s="304">
        <v>14.48122851612537</v>
      </c>
      <c r="AG97" s="304"/>
      <c r="AH97" s="304">
        <v>14.370403428100763</v>
      </c>
      <c r="AI97" s="304">
        <v>13.597037402210528</v>
      </c>
      <c r="AJ97" s="304">
        <v>11.755651218150875</v>
      </c>
      <c r="AK97" s="304"/>
      <c r="AL97" s="304">
        <v>4.3107463948277811</v>
      </c>
      <c r="AM97" s="304">
        <v>3.7635453833220671</v>
      </c>
      <c r="AN97" s="304">
        <v>2.8500090014450752</v>
      </c>
    </row>
    <row r="98" spans="1:40" x14ac:dyDescent="0.3">
      <c r="A98" s="13" t="str">
        <f t="shared" si="80"/>
        <v>Caring, leisure and other service occupations</v>
      </c>
      <c r="B98" s="305">
        <f t="shared" si="82"/>
        <v>2101.9096151154681</v>
      </c>
      <c r="C98" s="305">
        <f t="shared" si="83"/>
        <v>2282.0098760374967</v>
      </c>
      <c r="D98" s="305">
        <f t="shared" si="84"/>
        <v>2476.1917099120687</v>
      </c>
      <c r="E98" s="304"/>
      <c r="F98" s="304">
        <v>1.7046395306448352</v>
      </c>
      <c r="G98" s="304">
        <v>2.643673838422492</v>
      </c>
      <c r="H98" s="304">
        <v>4.3664201319720526</v>
      </c>
      <c r="I98" s="304"/>
      <c r="J98" s="304">
        <v>87.518662879880992</v>
      </c>
      <c r="K98" s="304">
        <v>126.04536741110836</v>
      </c>
      <c r="L98" s="304">
        <v>204.46722952242749</v>
      </c>
      <c r="M98" s="304"/>
      <c r="N98" s="304">
        <v>257.0414316937289</v>
      </c>
      <c r="O98" s="304">
        <v>311.2465173626876</v>
      </c>
      <c r="P98" s="304">
        <v>394.88675209428919</v>
      </c>
      <c r="Q98" s="304"/>
      <c r="R98" s="304">
        <v>213.16105136483921</v>
      </c>
      <c r="S98" s="304">
        <v>223.18863266266675</v>
      </c>
      <c r="T98" s="304">
        <v>231.40434818443791</v>
      </c>
      <c r="U98" s="304"/>
      <c r="V98" s="304">
        <v>139.00597757054067</v>
      </c>
      <c r="W98" s="304">
        <v>152.15310410080707</v>
      </c>
      <c r="X98" s="304">
        <v>173.70412004926408</v>
      </c>
      <c r="Y98" s="304"/>
      <c r="Z98" s="304">
        <v>792.90674576865479</v>
      </c>
      <c r="AA98" s="304">
        <v>885.33699717489571</v>
      </c>
      <c r="AB98" s="304">
        <v>1011.5687575572755</v>
      </c>
      <c r="AC98" s="304"/>
      <c r="AD98" s="304">
        <v>533.86255918846689</v>
      </c>
      <c r="AE98" s="304">
        <v>529.75721685844928</v>
      </c>
      <c r="AF98" s="304">
        <v>417.37290043040019</v>
      </c>
      <c r="AG98" s="304"/>
      <c r="AH98" s="304">
        <v>64.142210151240576</v>
      </c>
      <c r="AI98" s="304">
        <v>39.780544569829388</v>
      </c>
      <c r="AJ98" s="304">
        <v>27.066071516818386</v>
      </c>
      <c r="AK98" s="304"/>
      <c r="AL98" s="304">
        <v>12.566336967470605</v>
      </c>
      <c r="AM98" s="304">
        <v>11.857822058630159</v>
      </c>
      <c r="AN98" s="304">
        <v>11.355110425184137</v>
      </c>
    </row>
    <row r="99" spans="1:40" x14ac:dyDescent="0.3">
      <c r="A99" s="13" t="str">
        <f t="shared" si="80"/>
        <v>Sales and customer service occupations</v>
      </c>
      <c r="B99" s="305">
        <f t="shared" si="82"/>
        <v>102.48833015205248</v>
      </c>
      <c r="C99" s="305">
        <f t="shared" si="83"/>
        <v>114.85026945306197</v>
      </c>
      <c r="D99" s="305">
        <f>SUM(H99,L99,P99,T99,X99,AB99,AF99,AJ99,AN99)</f>
        <v>116.20304542029203</v>
      </c>
      <c r="E99" s="304"/>
      <c r="F99" s="304">
        <v>0.64025758034576485</v>
      </c>
      <c r="G99" s="304">
        <v>0.90565612423104425</v>
      </c>
      <c r="H99" s="304">
        <v>1.2840185604410237</v>
      </c>
      <c r="I99" s="304"/>
      <c r="J99" s="304">
        <v>10.967435975521514</v>
      </c>
      <c r="K99" s="304">
        <v>14.800289887801993</v>
      </c>
      <c r="L99" s="304">
        <v>19.201565855345013</v>
      </c>
      <c r="M99" s="304"/>
      <c r="N99" s="304">
        <v>24.657478222957284</v>
      </c>
      <c r="O99" s="304">
        <v>29.000229252984944</v>
      </c>
      <c r="P99" s="304">
        <v>32.583431736535083</v>
      </c>
      <c r="Q99" s="304"/>
      <c r="R99" s="304">
        <v>13.549910339077565</v>
      </c>
      <c r="S99" s="304">
        <v>13.769527749686016</v>
      </c>
      <c r="T99" s="304">
        <v>13.911648695259682</v>
      </c>
      <c r="U99" s="304"/>
      <c r="V99" s="304">
        <v>8.5072635081537626</v>
      </c>
      <c r="W99" s="304">
        <v>9.786676071999814</v>
      </c>
      <c r="X99" s="304">
        <v>10.99817979573198</v>
      </c>
      <c r="Y99" s="304"/>
      <c r="Z99" s="304">
        <v>20.578865546879253</v>
      </c>
      <c r="AA99" s="304">
        <v>22.940629214082087</v>
      </c>
      <c r="AB99" s="304">
        <v>22.632348441323469</v>
      </c>
      <c r="AC99" s="304"/>
      <c r="AD99" s="304">
        <v>15.969204688789906</v>
      </c>
      <c r="AE99" s="304">
        <v>15.767412069539997</v>
      </c>
      <c r="AF99" s="304">
        <v>9.1543842947989997</v>
      </c>
      <c r="AG99" s="304"/>
      <c r="AH99" s="304">
        <v>5.2783446005415522</v>
      </c>
      <c r="AI99" s="304">
        <v>4.87971755159169</v>
      </c>
      <c r="AJ99" s="304">
        <v>2.7392611672627885</v>
      </c>
      <c r="AK99" s="304"/>
      <c r="AL99" s="304">
        <v>2.3395696897858778</v>
      </c>
      <c r="AM99" s="304">
        <v>3.0001315311443584</v>
      </c>
      <c r="AN99" s="304">
        <v>3.6982068735939957</v>
      </c>
    </row>
    <row r="100" spans="1:40" x14ac:dyDescent="0.3">
      <c r="A100" s="13" t="str">
        <f t="shared" si="80"/>
        <v>Process, plant and machine operatives</v>
      </c>
      <c r="B100" s="305">
        <f t="shared" si="82"/>
        <v>96.135725356035138</v>
      </c>
      <c r="C100" s="305">
        <f t="shared" si="83"/>
        <v>109.88246901908059</v>
      </c>
      <c r="D100" s="305">
        <f t="shared" si="84"/>
        <v>102.69847404899072</v>
      </c>
      <c r="E100" s="304"/>
      <c r="F100" s="304">
        <v>0.84405722823275564</v>
      </c>
      <c r="G100" s="304">
        <v>1.385876874224514</v>
      </c>
      <c r="H100" s="304">
        <v>2.1589679562290609</v>
      </c>
      <c r="I100" s="304"/>
      <c r="J100" s="304">
        <v>2.5231934884003491</v>
      </c>
      <c r="K100" s="304">
        <v>4.2754795770308087</v>
      </c>
      <c r="L100" s="304">
        <v>6.7181521044754051</v>
      </c>
      <c r="M100" s="304"/>
      <c r="N100" s="304">
        <v>8.5368386514596271</v>
      </c>
      <c r="O100" s="304">
        <v>11.29959824803486</v>
      </c>
      <c r="P100" s="304">
        <v>13.650518637087901</v>
      </c>
      <c r="Q100" s="304"/>
      <c r="R100" s="304">
        <v>4.5437578446491278</v>
      </c>
      <c r="S100" s="304">
        <v>6.6805883499871124</v>
      </c>
      <c r="T100" s="304">
        <v>8.9140597786696762</v>
      </c>
      <c r="U100" s="304"/>
      <c r="V100" s="304">
        <v>10.540480798508618</v>
      </c>
      <c r="W100" s="304">
        <v>13.174932080185176</v>
      </c>
      <c r="X100" s="304">
        <v>16.879405301802482</v>
      </c>
      <c r="Y100" s="304"/>
      <c r="Z100" s="304">
        <v>24.248007681670718</v>
      </c>
      <c r="AA100" s="304">
        <v>26.893974313773167</v>
      </c>
      <c r="AB100" s="304">
        <v>25.791651454254669</v>
      </c>
      <c r="AC100" s="304"/>
      <c r="AD100" s="304">
        <v>18.273859103859358</v>
      </c>
      <c r="AE100" s="304">
        <v>19.393099456971765</v>
      </c>
      <c r="AF100" s="304">
        <v>10.997163071133851</v>
      </c>
      <c r="AG100" s="304"/>
      <c r="AH100" s="304">
        <v>21.349294832451722</v>
      </c>
      <c r="AI100" s="304">
        <v>21.428066421589172</v>
      </c>
      <c r="AJ100" s="304">
        <v>11.671908856083304</v>
      </c>
      <c r="AK100" s="304"/>
      <c r="AL100" s="304">
        <v>5.2762357268028657</v>
      </c>
      <c r="AM100" s="304">
        <v>5.3508536972840028</v>
      </c>
      <c r="AN100" s="304">
        <v>5.9166468892543618</v>
      </c>
    </row>
    <row r="101" spans="1:40" x14ac:dyDescent="0.3">
      <c r="A101" s="38" t="str">
        <f t="shared" si="80"/>
        <v>Elementary occupations</v>
      </c>
      <c r="B101" s="307">
        <f t="shared" si="82"/>
        <v>309.99306137499354</v>
      </c>
      <c r="C101" s="307">
        <f t="shared" si="83"/>
        <v>270.07599372040278</v>
      </c>
      <c r="D101" s="307">
        <f t="shared" si="84"/>
        <v>208.87166217764516</v>
      </c>
      <c r="E101" s="307"/>
      <c r="F101" s="307">
        <v>0.42370328903460797</v>
      </c>
      <c r="G101" s="307">
        <v>0.5847669532154921</v>
      </c>
      <c r="H101" s="307">
        <v>0.82096557772556777</v>
      </c>
      <c r="I101" s="307"/>
      <c r="J101" s="307">
        <v>4.3528458386242717</v>
      </c>
      <c r="K101" s="307">
        <v>5.5839153293444141</v>
      </c>
      <c r="L101" s="307">
        <v>7.5425891939911462</v>
      </c>
      <c r="M101" s="307"/>
      <c r="N101" s="307">
        <v>16.13175600446678</v>
      </c>
      <c r="O101" s="307">
        <v>18.723792836632743</v>
      </c>
      <c r="P101" s="307">
        <v>24.033933582125115</v>
      </c>
      <c r="Q101" s="307"/>
      <c r="R101" s="307">
        <v>15.033464180183696</v>
      </c>
      <c r="S101" s="307">
        <v>16.510132430486181</v>
      </c>
      <c r="T101" s="307">
        <v>20.153923845997451</v>
      </c>
      <c r="U101" s="307"/>
      <c r="V101" s="307">
        <v>10.711493052412207</v>
      </c>
      <c r="W101" s="307">
        <v>11.696953573918439</v>
      </c>
      <c r="X101" s="307">
        <v>13.855434056024409</v>
      </c>
      <c r="Y101" s="307"/>
      <c r="Z101" s="307">
        <v>60.564876625995964</v>
      </c>
      <c r="AA101" s="307">
        <v>58.392240229375936</v>
      </c>
      <c r="AB101" s="307">
        <v>49.555044206696564</v>
      </c>
      <c r="AC101" s="307"/>
      <c r="AD101" s="307">
        <v>103.08339729869525</v>
      </c>
      <c r="AE101" s="307">
        <v>93.505997085349435</v>
      </c>
      <c r="AF101" s="307">
        <v>65.189586022831037</v>
      </c>
      <c r="AG101" s="307"/>
      <c r="AH101" s="307">
        <v>72.41377487843117</v>
      </c>
      <c r="AI101" s="307">
        <v>50.028452614708485</v>
      </c>
      <c r="AJ101" s="307">
        <v>14.287923389030246</v>
      </c>
      <c r="AK101" s="307"/>
      <c r="AL101" s="307">
        <v>27.277750207149616</v>
      </c>
      <c r="AM101" s="307">
        <v>15.049742667371655</v>
      </c>
      <c r="AN101" s="307">
        <v>13.432262303223618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3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5234375" defaultRowHeight="12.45" x14ac:dyDescent="0.3"/>
  <cols>
    <col min="1" max="1" width="54.69140625" customWidth="1"/>
    <col min="2" max="6" width="8" customWidth="1"/>
    <col min="7" max="7" width="6.69140625" customWidth="1"/>
    <col min="8" max="10" width="10.69140625" customWidth="1"/>
    <col min="11" max="11" width="9.15234375" customWidth="1"/>
    <col min="12" max="12" width="17.53515625" customWidth="1"/>
    <col min="13" max="17" width="8" customWidth="1"/>
    <col min="18" max="18" width="6.69140625" customWidth="1"/>
    <col min="19" max="21" width="10.69140625" customWidth="1"/>
    <col min="23" max="23" width="17.69140625" customWidth="1"/>
    <col min="24" max="28" width="8" customWidth="1"/>
    <col min="29" max="29" width="6.69140625" customWidth="1"/>
    <col min="30" max="32" width="10.69140625" customWidth="1"/>
    <col min="34" max="34" width="17.69140625" customWidth="1"/>
    <col min="35" max="39" width="7" customWidth="1"/>
    <col min="40" max="40" width="6.69140625" customWidth="1"/>
    <col min="41" max="43" width="10.69140625" customWidth="1"/>
    <col min="44" max="44" width="9.15234375" customWidth="1"/>
    <col min="45" max="45" width="17.69140625" customWidth="1"/>
    <col min="46" max="50" width="8" customWidth="1"/>
    <col min="51" max="51" width="6.69140625" customWidth="1"/>
    <col min="52" max="54" width="10.69140625" customWidth="1"/>
    <col min="56" max="56" width="17.69140625" customWidth="1"/>
    <col min="57" max="61" width="8" customWidth="1"/>
    <col min="62" max="62" width="6.69140625" customWidth="1"/>
    <col min="63" max="65" width="10.69140625" customWidth="1"/>
    <col min="67" max="67" width="17.69140625" customWidth="1"/>
    <col min="68" max="72" width="8" customWidth="1"/>
    <col min="73" max="73" width="6.69140625" customWidth="1"/>
    <col min="74" max="76" width="10.69140625" customWidth="1"/>
    <col min="78" max="78" width="17.53515625" customWidth="1"/>
    <col min="79" max="83" width="8" customWidth="1"/>
    <col min="84" max="84" width="5.84375" customWidth="1"/>
    <col min="85" max="87" width="10.69140625" customWidth="1"/>
    <col min="88" max="88" width="5.84375" customWidth="1"/>
    <col min="89" max="89" width="17.69140625" customWidth="1"/>
    <col min="90" max="94" width="8" customWidth="1"/>
    <col min="95" max="95" width="6.84375" customWidth="1"/>
    <col min="96" max="98" width="10.69140625" customWidth="1"/>
  </cols>
  <sheetData>
    <row r="1" spans="1:98" ht="49.5" customHeight="1" x14ac:dyDescent="0.3">
      <c r="A1" s="379" t="str">
        <f>CONCATENATE("Basic Table 2  Employment Change by Occupation and Replacement Demand, ",name!F4,", ",B$6,"-",F$6,", ",Info!B5)</f>
        <v>Basic Table 2  Employment Change by Occupation and Replacement Demand, RQF8 Doctorate, 2015-2035, United Kingdom</v>
      </c>
      <c r="B1" s="379"/>
      <c r="C1" s="379"/>
      <c r="D1" s="379"/>
      <c r="E1" s="379"/>
      <c r="F1" s="379"/>
      <c r="G1" s="379"/>
      <c r="H1" s="379"/>
      <c r="I1" s="379"/>
      <c r="J1" s="379"/>
      <c r="L1" s="379" t="str">
        <f>CONCATENATE("Basic Table 2.1  Employment Change by Occupation and Replacement Demand, ",name!F5,", ",M$6,"-",Q$6,", ",Info!B5)</f>
        <v>Basic Table 2.1  Employment Change by Occupation and Replacement Demand, RQF7 Other higher degree, 2015-2035, United Kingdom</v>
      </c>
      <c r="M1" s="379"/>
      <c r="N1" s="379"/>
      <c r="O1" s="379"/>
      <c r="P1" s="379"/>
      <c r="Q1" s="379"/>
      <c r="R1" s="379"/>
      <c r="S1" s="379"/>
      <c r="T1" s="379"/>
      <c r="U1" s="379"/>
      <c r="W1" s="379" t="str">
        <f>CONCATENATE("Basic Table 2.2  Employment Change by Occupation and Replacement Demand, ",name!F6,", ",X$6,"-",AB$6,", ",Info!B5)</f>
        <v>Basic Table 2.2  Employment Change by Occupation and Replacement Demand, RQF6 First degree, 2015-2035, United Kingdom</v>
      </c>
      <c r="X1" s="379"/>
      <c r="Y1" s="379"/>
      <c r="Z1" s="379"/>
      <c r="AA1" s="379"/>
      <c r="AB1" s="379"/>
      <c r="AC1" s="379"/>
      <c r="AD1" s="379"/>
      <c r="AE1" s="379"/>
      <c r="AF1" s="379"/>
      <c r="AH1" s="379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United Kingdom</v>
      </c>
      <c r="AI1" s="379"/>
      <c r="AJ1" s="379"/>
      <c r="AK1" s="379"/>
      <c r="AL1" s="379"/>
      <c r="AM1" s="379"/>
      <c r="AN1" s="379"/>
      <c r="AO1" s="379"/>
      <c r="AP1" s="379"/>
      <c r="AQ1" s="379"/>
      <c r="AS1" s="379" t="str">
        <f>CONCATENATE("Basic Table 2.4  Employment Change by Occupation and Replacement Demand, ",name!F8,", ",AT$6,"-",AX$6,", ",Info!B5)</f>
        <v>Basic Table 2.4  Employment Change by Occupation and Replacement Demand, RQF4 HE below degree level, 2015-2035, United Kingdom</v>
      </c>
      <c r="AT1" s="379"/>
      <c r="AU1" s="379"/>
      <c r="AV1" s="379"/>
      <c r="AW1" s="379"/>
      <c r="AX1" s="379"/>
      <c r="AY1" s="379"/>
      <c r="AZ1" s="379"/>
      <c r="BA1" s="379"/>
      <c r="BB1" s="379"/>
      <c r="BD1" s="379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United Kingdom</v>
      </c>
      <c r="BE1" s="379"/>
      <c r="BF1" s="379"/>
      <c r="BG1" s="379"/>
      <c r="BH1" s="379"/>
      <c r="BI1" s="379"/>
      <c r="BJ1" s="379"/>
      <c r="BK1" s="379"/>
      <c r="BL1" s="379"/>
      <c r="BM1" s="379"/>
      <c r="BO1" s="379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United Kingdom</v>
      </c>
      <c r="BP1" s="379"/>
      <c r="BQ1" s="379"/>
      <c r="BR1" s="379"/>
      <c r="BS1" s="379"/>
      <c r="BT1" s="379"/>
      <c r="BU1" s="379"/>
      <c r="BV1" s="379"/>
      <c r="BW1" s="379"/>
      <c r="BX1" s="379"/>
      <c r="BZ1" s="379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United Kingdom</v>
      </c>
      <c r="CA1" s="379"/>
      <c r="CB1" s="379"/>
      <c r="CC1" s="379"/>
      <c r="CD1" s="379"/>
      <c r="CE1" s="379"/>
      <c r="CF1" s="379"/>
      <c r="CG1" s="379"/>
      <c r="CH1" s="379"/>
      <c r="CI1" s="379"/>
      <c r="CK1" s="379" t="str">
        <f>CONCATENATE("Basic Table 2.8  Employment Change by Occupation and Replacement Demand, ",name!F12,", ",CL$6,"-",CP$6,", ",Info!B5)</f>
        <v>Basic Table 2.8  Employment Change by Occupation and Replacement Demand, No Qualification, 2015-2035, United Kingdom</v>
      </c>
      <c r="CL1" s="379"/>
      <c r="CM1" s="379"/>
      <c r="CN1" s="379"/>
      <c r="CO1" s="379"/>
      <c r="CP1" s="379"/>
      <c r="CQ1" s="379"/>
      <c r="CR1" s="379"/>
      <c r="CS1" s="379"/>
      <c r="CT1" s="379"/>
    </row>
    <row r="2" spans="1:98" ht="12.75" customHeight="1" x14ac:dyDescent="0.35">
      <c r="A2" s="181" t="s">
        <v>538</v>
      </c>
      <c r="L2" s="85"/>
      <c r="W2" s="85"/>
      <c r="AH2" s="85"/>
      <c r="AS2" s="85"/>
      <c r="BD2" s="85"/>
      <c r="BO2" s="85"/>
      <c r="BZ2" s="85"/>
      <c r="CK2" s="85"/>
    </row>
    <row r="3" spans="1:98" x14ac:dyDescent="0.3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  <c r="AM3" s="15" t="s">
        <v>35</v>
      </c>
      <c r="AQ3" s="15" t="s">
        <v>35</v>
      </c>
      <c r="AX3" s="15" t="s">
        <v>35</v>
      </c>
      <c r="BB3" s="15" t="s">
        <v>35</v>
      </c>
      <c r="BI3" s="15" t="s">
        <v>35</v>
      </c>
      <c r="BM3" s="15" t="s">
        <v>35</v>
      </c>
      <c r="BT3" s="15" t="s">
        <v>35</v>
      </c>
      <c r="BX3" s="15" t="s">
        <v>35</v>
      </c>
      <c r="CE3" s="15" t="s">
        <v>35</v>
      </c>
      <c r="CI3" s="15" t="s">
        <v>35</v>
      </c>
      <c r="CP3" s="15" t="s">
        <v>35</v>
      </c>
      <c r="CT3" s="15" t="s">
        <v>35</v>
      </c>
    </row>
    <row r="4" spans="1:98" x14ac:dyDescent="0.3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35"/>
      <c r="M4" s="35"/>
      <c r="N4" s="35"/>
      <c r="O4" s="35"/>
      <c r="P4" s="35"/>
      <c r="Q4" s="35"/>
      <c r="S4" s="27" t="str">
        <f>H4</f>
        <v>2020-2035</v>
      </c>
      <c r="T4" s="35"/>
      <c r="U4" s="35"/>
      <c r="W4" s="35"/>
      <c r="X4" s="35"/>
      <c r="Y4" s="35"/>
      <c r="Z4" s="35"/>
      <c r="AA4" s="35"/>
      <c r="AB4" s="35"/>
      <c r="AD4" s="27" t="str">
        <f>S4</f>
        <v>2020-2035</v>
      </c>
      <c r="AE4" s="35"/>
      <c r="AF4" s="35"/>
      <c r="AH4" s="35"/>
      <c r="AI4" s="35"/>
      <c r="AJ4" s="35"/>
      <c r="AK4" s="35"/>
      <c r="AL4" s="35"/>
      <c r="AM4" s="35"/>
      <c r="AO4" s="27" t="str">
        <f>AD4</f>
        <v>2020-2035</v>
      </c>
      <c r="AP4" s="35"/>
      <c r="AQ4" s="35"/>
      <c r="AS4" s="35"/>
      <c r="AT4" s="35"/>
      <c r="AU4" s="35"/>
      <c r="AV4" s="35"/>
      <c r="AW4" s="35"/>
      <c r="AX4" s="35"/>
      <c r="AZ4" s="27" t="str">
        <f>AO4</f>
        <v>2020-2035</v>
      </c>
      <c r="BA4" s="35"/>
      <c r="BB4" s="35"/>
      <c r="BD4" s="35"/>
      <c r="BE4" s="35"/>
      <c r="BF4" s="35"/>
      <c r="BG4" s="35"/>
      <c r="BH4" s="35"/>
      <c r="BI4" s="35"/>
      <c r="BK4" s="27" t="str">
        <f>AZ4</f>
        <v>2020-2035</v>
      </c>
      <c r="BL4" s="35"/>
      <c r="BM4" s="35"/>
      <c r="BO4" s="35"/>
      <c r="BP4" s="35"/>
      <c r="BQ4" s="35"/>
      <c r="BR4" s="35"/>
      <c r="BS4" s="35"/>
      <c r="BT4" s="35"/>
      <c r="BV4" s="27" t="str">
        <f>BK4</f>
        <v>2020-2035</v>
      </c>
      <c r="BW4" s="35"/>
      <c r="BX4" s="35"/>
      <c r="BZ4" s="35"/>
      <c r="CA4" s="35"/>
      <c r="CB4" s="35"/>
      <c r="CC4" s="35"/>
      <c r="CD4" s="35"/>
      <c r="CE4" s="35"/>
      <c r="CG4" s="27" t="str">
        <f>BV4</f>
        <v>2020-2035</v>
      </c>
      <c r="CH4" s="35"/>
      <c r="CI4" s="35"/>
      <c r="CK4" s="35"/>
      <c r="CL4" s="35"/>
      <c r="CM4" s="35"/>
      <c r="CN4" s="35"/>
      <c r="CO4" s="35"/>
      <c r="CP4" s="35"/>
      <c r="CR4" s="27" t="str">
        <f>CG4</f>
        <v>2020-2035</v>
      </c>
      <c r="CS4" s="35"/>
      <c r="CT4" s="35"/>
    </row>
    <row r="5" spans="1:98" x14ac:dyDescent="0.3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  <c r="AO5" s="15" t="s">
        <v>29</v>
      </c>
      <c r="AP5" s="15" t="s">
        <v>30</v>
      </c>
      <c r="AQ5" s="15" t="s">
        <v>32</v>
      </c>
      <c r="AZ5" s="15" t="s">
        <v>29</v>
      </c>
      <c r="BA5" s="15" t="s">
        <v>30</v>
      </c>
      <c r="BB5" s="15" t="s">
        <v>32</v>
      </c>
      <c r="BK5" s="15" t="s">
        <v>29</v>
      </c>
      <c r="BL5" s="15" t="s">
        <v>30</v>
      </c>
      <c r="BM5" s="15" t="s">
        <v>32</v>
      </c>
      <c r="BV5" s="15" t="s">
        <v>29</v>
      </c>
      <c r="BW5" s="15" t="s">
        <v>30</v>
      </c>
      <c r="BX5" s="15" t="s">
        <v>32</v>
      </c>
      <c r="CG5" s="15" t="s">
        <v>29</v>
      </c>
      <c r="CH5" s="15" t="s">
        <v>30</v>
      </c>
      <c r="CI5" s="15" t="s">
        <v>32</v>
      </c>
      <c r="CR5" s="15" t="s">
        <v>29</v>
      </c>
      <c r="CS5" s="15" t="s">
        <v>30</v>
      </c>
      <c r="CT5" s="15" t="s">
        <v>32</v>
      </c>
    </row>
    <row r="6" spans="1:98" x14ac:dyDescent="0.3">
      <c r="A6" s="40" t="s">
        <v>13</v>
      </c>
      <c r="B6" s="34">
        <v>2015</v>
      </c>
      <c r="C6" s="34">
        <v>2019</v>
      </c>
      <c r="D6" s="34">
        <v>2020</v>
      </c>
      <c r="E6" s="34">
        <v>2025</v>
      </c>
      <c r="F6" s="34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34">
        <f>B6</f>
        <v>2015</v>
      </c>
      <c r="N6" s="34">
        <f t="shared" ref="N6:Q6" si="0">C6</f>
        <v>2019</v>
      </c>
      <c r="O6" s="34">
        <f t="shared" si="0"/>
        <v>2020</v>
      </c>
      <c r="P6" s="34">
        <f t="shared" si="0"/>
        <v>2025</v>
      </c>
      <c r="Q6" s="34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34">
        <f>M6</f>
        <v>2015</v>
      </c>
      <c r="Y6" s="34">
        <f t="shared" ref="Y6:AB6" si="1">N6</f>
        <v>2019</v>
      </c>
      <c r="Z6" s="34">
        <f t="shared" si="1"/>
        <v>2020</v>
      </c>
      <c r="AA6" s="34">
        <f t="shared" si="1"/>
        <v>2025</v>
      </c>
      <c r="AB6" s="34">
        <f t="shared" si="1"/>
        <v>2035</v>
      </c>
      <c r="AD6" s="62" t="s">
        <v>18</v>
      </c>
      <c r="AE6" s="62" t="s">
        <v>31</v>
      </c>
      <c r="AF6" s="62" t="s">
        <v>33</v>
      </c>
      <c r="AH6" s="40" t="s">
        <v>13</v>
      </c>
      <c r="AI6" s="34">
        <f>X6</f>
        <v>2015</v>
      </c>
      <c r="AJ6" s="34">
        <f t="shared" ref="AJ6" si="2">Y6</f>
        <v>2019</v>
      </c>
      <c r="AK6" s="34">
        <f t="shared" ref="AK6" si="3">Z6</f>
        <v>2020</v>
      </c>
      <c r="AL6" s="34">
        <f t="shared" ref="AL6" si="4">AA6</f>
        <v>2025</v>
      </c>
      <c r="AM6" s="34">
        <f t="shared" ref="AM6" si="5">AB6</f>
        <v>2035</v>
      </c>
      <c r="AO6" s="62" t="s">
        <v>18</v>
      </c>
      <c r="AP6" s="62" t="s">
        <v>31</v>
      </c>
      <c r="AQ6" s="62" t="s">
        <v>33</v>
      </c>
      <c r="AS6" s="40" t="s">
        <v>13</v>
      </c>
      <c r="AT6" s="34">
        <f>AI6</f>
        <v>2015</v>
      </c>
      <c r="AU6" s="34">
        <f t="shared" ref="AU6" si="6">AJ6</f>
        <v>2019</v>
      </c>
      <c r="AV6" s="34">
        <f t="shared" ref="AV6" si="7">AK6</f>
        <v>2020</v>
      </c>
      <c r="AW6" s="34">
        <f t="shared" ref="AW6" si="8">AL6</f>
        <v>2025</v>
      </c>
      <c r="AX6" s="34">
        <f t="shared" ref="AX6" si="9">AM6</f>
        <v>2035</v>
      </c>
      <c r="AZ6" s="62" t="s">
        <v>18</v>
      </c>
      <c r="BA6" s="62" t="s">
        <v>31</v>
      </c>
      <c r="BB6" s="62" t="s">
        <v>33</v>
      </c>
      <c r="BD6" s="40" t="s">
        <v>13</v>
      </c>
      <c r="BE6" s="34">
        <f>AT6</f>
        <v>2015</v>
      </c>
      <c r="BF6" s="34">
        <f t="shared" ref="BF6" si="10">AU6</f>
        <v>2019</v>
      </c>
      <c r="BG6" s="34">
        <f t="shared" ref="BG6" si="11">AV6</f>
        <v>2020</v>
      </c>
      <c r="BH6" s="34">
        <f t="shared" ref="BH6" si="12">AW6</f>
        <v>2025</v>
      </c>
      <c r="BI6" s="34">
        <f t="shared" ref="BI6" si="13">AX6</f>
        <v>2035</v>
      </c>
      <c r="BK6" s="62" t="s">
        <v>18</v>
      </c>
      <c r="BL6" s="62" t="s">
        <v>31</v>
      </c>
      <c r="BM6" s="62" t="s">
        <v>33</v>
      </c>
      <c r="BO6" s="40" t="s">
        <v>13</v>
      </c>
      <c r="BP6" s="34">
        <f>BE6</f>
        <v>2015</v>
      </c>
      <c r="BQ6" s="34">
        <f t="shared" ref="BQ6" si="14">BF6</f>
        <v>2019</v>
      </c>
      <c r="BR6" s="34">
        <f t="shared" ref="BR6" si="15">BG6</f>
        <v>2020</v>
      </c>
      <c r="BS6" s="34">
        <f t="shared" ref="BS6" si="16">BH6</f>
        <v>2025</v>
      </c>
      <c r="BT6" s="34">
        <f t="shared" ref="BT6" si="17">BI6</f>
        <v>2035</v>
      </c>
      <c r="BV6" s="62" t="s">
        <v>18</v>
      </c>
      <c r="BW6" s="62" t="s">
        <v>31</v>
      </c>
      <c r="BX6" s="62" t="s">
        <v>33</v>
      </c>
      <c r="BZ6" s="40" t="s">
        <v>13</v>
      </c>
      <c r="CA6" s="34">
        <f>BP6</f>
        <v>2015</v>
      </c>
      <c r="CB6" s="34">
        <f t="shared" ref="CB6" si="18">BQ6</f>
        <v>2019</v>
      </c>
      <c r="CC6" s="34">
        <f t="shared" ref="CC6" si="19">BR6</f>
        <v>2020</v>
      </c>
      <c r="CD6" s="34">
        <f t="shared" ref="CD6" si="20">BS6</f>
        <v>2025</v>
      </c>
      <c r="CE6" s="34">
        <f t="shared" ref="CE6" si="21">BT6</f>
        <v>2035</v>
      </c>
      <c r="CG6" s="62" t="s">
        <v>18</v>
      </c>
      <c r="CH6" s="62" t="s">
        <v>31</v>
      </c>
      <c r="CI6" s="62" t="s">
        <v>33</v>
      </c>
      <c r="CK6" s="40" t="s">
        <v>13</v>
      </c>
      <c r="CL6" s="34">
        <f>CA6</f>
        <v>2015</v>
      </c>
      <c r="CM6" s="34">
        <f t="shared" ref="CM6" si="22">CB6</f>
        <v>2019</v>
      </c>
      <c r="CN6" s="34">
        <f t="shared" ref="CN6" si="23">CC6</f>
        <v>2020</v>
      </c>
      <c r="CO6" s="34">
        <f t="shared" ref="CO6" si="24">CD6</f>
        <v>2025</v>
      </c>
      <c r="CP6" s="34">
        <f t="shared" ref="CP6" si="25">CE6</f>
        <v>2035</v>
      </c>
      <c r="CR6" s="62" t="s">
        <v>18</v>
      </c>
      <c r="CS6" s="62" t="s">
        <v>31</v>
      </c>
      <c r="CT6" s="62" t="s">
        <v>33</v>
      </c>
    </row>
    <row r="8" spans="1:98" x14ac:dyDescent="0.3">
      <c r="A8" s="10" t="str">
        <f>name!D4</f>
        <v>11 Corporate managers and directors</v>
      </c>
      <c r="B8" s="68">
        <v>30.620249742217251</v>
      </c>
      <c r="C8" s="68">
        <v>42.152322294868647</v>
      </c>
      <c r="D8" s="68">
        <v>44.40005408566455</v>
      </c>
      <c r="E8" s="68">
        <v>53.029207915119279</v>
      </c>
      <c r="F8" s="68">
        <v>77.429826670031517</v>
      </c>
      <c r="G8" s="10"/>
      <c r="H8" s="68">
        <f>F8-D8</f>
        <v>33.029772584366967</v>
      </c>
      <c r="I8" s="68">
        <f>'RD T1'!E36</f>
        <v>31.835031611750399</v>
      </c>
      <c r="J8" s="68">
        <f>SUM(H8:I8)</f>
        <v>64.864804196117362</v>
      </c>
      <c r="L8" t="str">
        <f>A8</f>
        <v>11 Corporate managers and directors</v>
      </c>
      <c r="M8" s="68">
        <v>255.23602232637074</v>
      </c>
      <c r="N8" s="68">
        <v>359.64028387743605</v>
      </c>
      <c r="O8" s="68">
        <v>375.78522463827409</v>
      </c>
      <c r="P8" s="68">
        <v>436.19527861660964</v>
      </c>
      <c r="Q8" s="68">
        <v>625.97200248215609</v>
      </c>
      <c r="R8" s="10"/>
      <c r="S8" s="68">
        <f>Q8-O8</f>
        <v>250.186777843882</v>
      </c>
      <c r="T8" s="68">
        <f>'RD T1'!E65</f>
        <v>262.27935789076525</v>
      </c>
      <c r="U8" s="68">
        <f>SUM(S8:T8)</f>
        <v>512.4661357346472</v>
      </c>
      <c r="W8" t="str">
        <f>A8</f>
        <v>11 Corporate managers and directors</v>
      </c>
      <c r="X8" s="68">
        <v>632.34106015903831</v>
      </c>
      <c r="Y8" s="68">
        <v>756.66088174965682</v>
      </c>
      <c r="Z8" s="68">
        <v>774.67498681637198</v>
      </c>
      <c r="AA8" s="68">
        <v>746.64704939738351</v>
      </c>
      <c r="AB8" s="68">
        <v>845.02188575404705</v>
      </c>
      <c r="AC8" s="68"/>
      <c r="AD8" s="68">
        <f>AB8-Z8</f>
        <v>70.346898937675064</v>
      </c>
      <c r="AE8" s="68">
        <f>'RD T1'!E94</f>
        <v>450.16284324435139</v>
      </c>
      <c r="AF8" s="68">
        <f>SUM(AD8:AE8)</f>
        <v>520.50974218202646</v>
      </c>
      <c r="AH8" t="str">
        <f>L8</f>
        <v>11 Corporate managers and directors</v>
      </c>
      <c r="AI8" s="68">
        <v>121.36158269697044</v>
      </c>
      <c r="AJ8" s="68">
        <v>136.53842981352642</v>
      </c>
      <c r="AK8" s="68">
        <v>146.02380990628563</v>
      </c>
      <c r="AL8" s="68">
        <v>133.97861009778129</v>
      </c>
      <c r="AM8" s="68">
        <v>145.4514943436607</v>
      </c>
      <c r="AN8" s="68"/>
      <c r="AO8" s="68">
        <f>AM8-AK8</f>
        <v>-0.57231556262493655</v>
      </c>
      <c r="AP8" s="68">
        <f>'RD T1'!E123</f>
        <v>73.695776551017204</v>
      </c>
      <c r="AQ8" s="68">
        <f>SUM(AO8:AP8)</f>
        <v>73.123460988392267</v>
      </c>
      <c r="AS8" t="str">
        <f>W8</f>
        <v>11 Corporate managers and directors</v>
      </c>
      <c r="AT8" s="68">
        <v>176.69711791766406</v>
      </c>
      <c r="AU8" s="68">
        <v>200.23601290638075</v>
      </c>
      <c r="AV8" s="68">
        <v>211.99833621270926</v>
      </c>
      <c r="AW8" s="68">
        <v>191.46498747757803</v>
      </c>
      <c r="AX8" s="68">
        <v>208.71008300915722</v>
      </c>
      <c r="AY8" s="68"/>
      <c r="AZ8" s="68">
        <f>AX8-AV8</f>
        <v>-3.2882532035520455</v>
      </c>
      <c r="BA8" s="68">
        <f>'RD T1'!E152</f>
        <v>106.25061261143848</v>
      </c>
      <c r="BB8" s="68">
        <f>SUM(AZ8:BA8)</f>
        <v>102.96235940788644</v>
      </c>
      <c r="BD8" t="str">
        <f>AH8</f>
        <v>11 Corporate managers and directors</v>
      </c>
      <c r="BE8" s="68">
        <v>371.41874005423853</v>
      </c>
      <c r="BF8" s="68">
        <v>429.1931504999626</v>
      </c>
      <c r="BG8" s="68">
        <v>443.68100619806694</v>
      </c>
      <c r="BH8" s="68">
        <v>376.77430935059152</v>
      </c>
      <c r="BI8" s="68">
        <v>381.05234169538846</v>
      </c>
      <c r="BJ8" s="68"/>
      <c r="BK8" s="68">
        <f>BI8-BG8</f>
        <v>-62.628664502678475</v>
      </c>
      <c r="BL8" s="68">
        <f>'RD T1'!E181</f>
        <v>167.90401563587614</v>
      </c>
      <c r="BM8" s="68">
        <f>SUM(BK8:BL8)</f>
        <v>105.27535113319766</v>
      </c>
      <c r="BO8" t="str">
        <f>AS8</f>
        <v>11 Corporate managers and directors</v>
      </c>
      <c r="BP8" s="68">
        <v>305.76536164378865</v>
      </c>
      <c r="BQ8" s="68">
        <v>336.60325641205401</v>
      </c>
      <c r="BR8" s="68">
        <v>328.68418195709381</v>
      </c>
      <c r="BS8" s="68">
        <v>266.51451209560332</v>
      </c>
      <c r="BT8" s="68">
        <v>205.40561553034919</v>
      </c>
      <c r="BU8" s="68"/>
      <c r="BV8" s="68">
        <f>BT8-BR8</f>
        <v>-123.27856642674462</v>
      </c>
      <c r="BW8" s="68">
        <f>'RD T1'!E210</f>
        <v>113.91277093476374</v>
      </c>
      <c r="BX8" s="68">
        <f>SUM(BV8:BW8)</f>
        <v>-9.3657954919808759</v>
      </c>
      <c r="BZ8" t="str">
        <f>BD8</f>
        <v>11 Corporate managers and directors</v>
      </c>
      <c r="CA8" s="68">
        <v>209.63939574857548</v>
      </c>
      <c r="CB8" s="68">
        <v>230.86400923031104</v>
      </c>
      <c r="CC8" s="68">
        <v>230.56296247997116</v>
      </c>
      <c r="CD8" s="68">
        <v>202.66971610437281</v>
      </c>
      <c r="CE8" s="68">
        <v>151.65976484484369</v>
      </c>
      <c r="CF8" s="68"/>
      <c r="CG8" s="68">
        <f>CE8-CC8</f>
        <v>-78.903197635127469</v>
      </c>
      <c r="CH8" s="68">
        <f>'RD T1'!E239</f>
        <v>80.580207599836925</v>
      </c>
      <c r="CI8" s="68">
        <f>SUM(CG8:CH8)</f>
        <v>1.6770099647094554</v>
      </c>
      <c r="CK8" t="str">
        <f>BO8</f>
        <v>11 Corporate managers and directors</v>
      </c>
      <c r="CL8" s="68">
        <v>44.891793454499044</v>
      </c>
      <c r="CM8" s="68">
        <v>52.518914642416938</v>
      </c>
      <c r="CN8" s="68">
        <v>47.804401192343256</v>
      </c>
      <c r="CO8" s="68">
        <v>39.299489192565083</v>
      </c>
      <c r="CP8" s="68">
        <v>40.574520286207886</v>
      </c>
      <c r="CQ8" s="68"/>
      <c r="CR8" s="68">
        <f>CP8-CN8</f>
        <v>-7.2298809061353708</v>
      </c>
      <c r="CS8" s="68">
        <f>'RD T1'!E268</f>
        <v>13.469181061201402</v>
      </c>
      <c r="CT8" s="68">
        <f>SUM(CR8:CS8)</f>
        <v>6.2393001550660312</v>
      </c>
    </row>
    <row r="9" spans="1:98" x14ac:dyDescent="0.3">
      <c r="A9" s="10" t="str">
        <f>name!D5</f>
        <v>12 Other managers and proprietors</v>
      </c>
      <c r="B9" s="68">
        <v>12.264422642917514</v>
      </c>
      <c r="C9" s="68">
        <v>16.174724784926092</v>
      </c>
      <c r="D9" s="68">
        <v>15.898703429878939</v>
      </c>
      <c r="E9" s="68">
        <v>25.764836820635683</v>
      </c>
      <c r="F9" s="68">
        <v>41.325668220122338</v>
      </c>
      <c r="H9" s="68">
        <f>F9-D9</f>
        <v>25.4269647902434</v>
      </c>
      <c r="I9" s="68">
        <f>'RD T1'!E37</f>
        <v>17.971687534031343</v>
      </c>
      <c r="J9" s="68">
        <f t="shared" ref="J9:J32" si="26">SUM(H9:I9)</f>
        <v>43.398652324274742</v>
      </c>
      <c r="L9" t="str">
        <f t="shared" ref="L9:L32" si="27">A9</f>
        <v>12 Other managers and proprietors</v>
      </c>
      <c r="M9" s="68">
        <v>101.7838337922412</v>
      </c>
      <c r="N9" s="68">
        <v>133.58938757028707</v>
      </c>
      <c r="O9" s="68">
        <v>139.16586964614694</v>
      </c>
      <c r="P9" s="68">
        <v>215.474689744203</v>
      </c>
      <c r="Q9" s="68">
        <v>337.50260545814695</v>
      </c>
      <c r="S9" s="68">
        <f t="shared" ref="S9:S32" si="28">Q9-O9</f>
        <v>198.336735812</v>
      </c>
      <c r="T9" s="68">
        <f>'RD T1'!E66</f>
        <v>147.34415374195376</v>
      </c>
      <c r="U9" s="68">
        <f t="shared" ref="U9:U32" si="29">SUM(S9:T9)</f>
        <v>345.68088955395376</v>
      </c>
      <c r="W9" t="str">
        <f t="shared" ref="W9:W32" si="30">A9</f>
        <v>12 Other managers and proprietors</v>
      </c>
      <c r="X9" s="68">
        <v>242.26491356060083</v>
      </c>
      <c r="Y9" s="68">
        <v>265.65105632045891</v>
      </c>
      <c r="Z9" s="68">
        <v>273.16306357144077</v>
      </c>
      <c r="AA9" s="68">
        <v>354.52381098265704</v>
      </c>
      <c r="AB9" s="68">
        <v>438.04839340707196</v>
      </c>
      <c r="AC9" s="68"/>
      <c r="AD9" s="68">
        <f t="shared" ref="AD9:AD32" si="31">AB9-Z9</f>
        <v>164.88532983563118</v>
      </c>
      <c r="AE9" s="68">
        <f>'RD T1'!E95</f>
        <v>239.2096520504723</v>
      </c>
      <c r="AF9" s="68">
        <f t="shared" ref="AF9:AF32" si="32">SUM(AD9:AE9)</f>
        <v>404.09498188610348</v>
      </c>
      <c r="AH9" t="str">
        <f t="shared" ref="AH9:AH32" si="33">L9</f>
        <v>12 Other managers and proprietors</v>
      </c>
      <c r="AI9" s="68">
        <v>66.282793043763476</v>
      </c>
      <c r="AJ9" s="68">
        <v>73.03504114047017</v>
      </c>
      <c r="AK9" s="68">
        <v>79.37545616924902</v>
      </c>
      <c r="AL9" s="68">
        <v>96.490873537871238</v>
      </c>
      <c r="AM9" s="68">
        <v>119.64852460869604</v>
      </c>
      <c r="AN9" s="68"/>
      <c r="AO9" s="68">
        <f t="shared" ref="AO9:AO32" si="34">AM9-AK9</f>
        <v>40.273068439447016</v>
      </c>
      <c r="AP9" s="68">
        <f>'RD T1'!E124</f>
        <v>65.396696634886979</v>
      </c>
      <c r="AQ9" s="68">
        <f t="shared" ref="AQ9:AQ32" si="35">SUM(AO9:AP9)</f>
        <v>105.66976507433399</v>
      </c>
      <c r="AS9" t="str">
        <f t="shared" ref="AS9:AS32" si="36">W9</f>
        <v>12 Other managers and proprietors</v>
      </c>
      <c r="AT9" s="68">
        <v>77.567540623838582</v>
      </c>
      <c r="AU9" s="68">
        <v>83.794231075631075</v>
      </c>
      <c r="AV9" s="68">
        <v>87.640574351380366</v>
      </c>
      <c r="AW9" s="68">
        <v>110.51381100222672</v>
      </c>
      <c r="AX9" s="68">
        <v>130.10435534148689</v>
      </c>
      <c r="AY9" s="68"/>
      <c r="AZ9" s="68">
        <f t="shared" ref="AZ9:AZ32" si="37">AX9-AV9</f>
        <v>42.463780990106528</v>
      </c>
      <c r="BA9" s="68">
        <f>'RD T1'!E153</f>
        <v>69.214602124610721</v>
      </c>
      <c r="BB9" s="68">
        <f t="shared" ref="BB9:BB32" si="38">SUM(AZ9:BA9)</f>
        <v>111.67838311471725</v>
      </c>
      <c r="BD9" t="str">
        <f t="shared" ref="BD9:BD32" si="39">AH9</f>
        <v>12 Other managers and proprietors</v>
      </c>
      <c r="BE9" s="68">
        <v>190.41419545058156</v>
      </c>
      <c r="BF9" s="68">
        <v>187.35323892980179</v>
      </c>
      <c r="BG9" s="68">
        <v>191.64126303091484</v>
      </c>
      <c r="BH9" s="68">
        <v>212.95611253571096</v>
      </c>
      <c r="BI9" s="68">
        <v>221.50372569768521</v>
      </c>
      <c r="BJ9" s="68"/>
      <c r="BK9" s="68">
        <f t="shared" ref="BK9:BK32" si="40">BI9-BG9</f>
        <v>29.862462666770369</v>
      </c>
      <c r="BL9" s="68">
        <f>'RD T1'!E182</f>
        <v>100.25840988598652</v>
      </c>
      <c r="BM9" s="68">
        <f t="shared" ref="BM9:BM32" si="41">SUM(BK9:BL9)</f>
        <v>130.12087255275691</v>
      </c>
      <c r="BO9" t="str">
        <f t="shared" ref="BO9:BO32" si="42">AS9</f>
        <v>12 Other managers and proprietors</v>
      </c>
      <c r="BP9" s="68">
        <v>189.81329841603295</v>
      </c>
      <c r="BQ9" s="68">
        <v>195.35759726821044</v>
      </c>
      <c r="BR9" s="68">
        <v>190.88542933797575</v>
      </c>
      <c r="BS9" s="68">
        <v>217.47803065193193</v>
      </c>
      <c r="BT9" s="68">
        <v>196.99008293081164</v>
      </c>
      <c r="BU9" s="68"/>
      <c r="BV9" s="68">
        <f t="shared" ref="BV9:BV32" si="43">BT9-BR9</f>
        <v>6.1046535928358878</v>
      </c>
      <c r="BW9" s="68">
        <f>'RD T1'!E211</f>
        <v>111.2991673813565</v>
      </c>
      <c r="BX9" s="68">
        <f t="shared" ref="BX9:BX32" si="44">SUM(BV9:BW9)</f>
        <v>117.40382097419239</v>
      </c>
      <c r="BZ9" t="str">
        <f t="shared" ref="BZ9:BZ32" si="45">BD9</f>
        <v>12 Other managers and proprietors</v>
      </c>
      <c r="CA9" s="68">
        <v>128.54348054092571</v>
      </c>
      <c r="CB9" s="68">
        <v>131.32053196438864</v>
      </c>
      <c r="CC9" s="68">
        <v>123.23442880946008</v>
      </c>
      <c r="CD9" s="68">
        <v>132.23850392103267</v>
      </c>
      <c r="CE9" s="68">
        <v>99.493510343916498</v>
      </c>
      <c r="CF9" s="68"/>
      <c r="CG9" s="68">
        <f t="shared" ref="CG9:CG32" si="46">CE9-CC9</f>
        <v>-23.740918465543587</v>
      </c>
      <c r="CH9" s="68">
        <f>'RD T1'!E240</f>
        <v>55.207090386822799</v>
      </c>
      <c r="CI9" s="68">
        <f t="shared" ref="CI9:CI32" si="47">SUM(CG9:CH9)</f>
        <v>31.466171921279212</v>
      </c>
      <c r="CK9" t="str">
        <f t="shared" ref="CK9:CK32" si="48">BO9</f>
        <v>12 Other managers and proprietors</v>
      </c>
      <c r="CL9" s="68">
        <v>48.519336521913338</v>
      </c>
      <c r="CM9" s="68">
        <v>47.042465510363961</v>
      </c>
      <c r="CN9" s="68">
        <v>41.939450221507428</v>
      </c>
      <c r="CO9" s="68">
        <v>50.630433099022049</v>
      </c>
      <c r="CP9" s="68">
        <v>52.35446973000407</v>
      </c>
      <c r="CQ9" s="68"/>
      <c r="CR9" s="68">
        <f t="shared" ref="CR9:CR32" si="49">CP9-CN9</f>
        <v>10.415019508496641</v>
      </c>
      <c r="CS9" s="68">
        <f>'RD T1'!E269</f>
        <v>18.30784052502543</v>
      </c>
      <c r="CT9" s="68">
        <f t="shared" ref="CT9:CT32" si="50">SUM(CR9:CS9)</f>
        <v>28.722860033522071</v>
      </c>
    </row>
    <row r="10" spans="1:98" x14ac:dyDescent="0.3">
      <c r="A10" s="10" t="str">
        <f>name!D6</f>
        <v>21 Science, research, engineering and technology professionals</v>
      </c>
      <c r="B10" s="68">
        <v>83.338293229180366</v>
      </c>
      <c r="C10" s="68">
        <v>109.27010899886923</v>
      </c>
      <c r="D10" s="68">
        <v>112.62771391731624</v>
      </c>
      <c r="E10" s="68">
        <v>139.67712339638919</v>
      </c>
      <c r="F10" s="68">
        <v>185.79747060477172</v>
      </c>
      <c r="G10" s="11"/>
      <c r="H10" s="68">
        <f t="shared" ref="H10:H32" si="51">F10-D10</f>
        <v>73.169756687455475</v>
      </c>
      <c r="I10" s="68">
        <f>'RD T1'!E38</f>
        <v>58.314031409163647</v>
      </c>
      <c r="J10" s="68">
        <f t="shared" si="26"/>
        <v>131.48378809661912</v>
      </c>
      <c r="L10" t="str">
        <f t="shared" si="27"/>
        <v>21 Science, research, engineering and technology professionals</v>
      </c>
      <c r="M10" s="68">
        <v>329.25542656837416</v>
      </c>
      <c r="N10" s="68">
        <v>451.10765354160952</v>
      </c>
      <c r="O10" s="68">
        <v>481.12971538360688</v>
      </c>
      <c r="P10" s="68">
        <v>623.35778397862487</v>
      </c>
      <c r="Q10" s="68">
        <v>866.8080849492851</v>
      </c>
      <c r="R10" s="11"/>
      <c r="S10" s="68">
        <f t="shared" si="28"/>
        <v>385.67836956567822</v>
      </c>
      <c r="T10" s="68">
        <f>'RD T1'!E67</f>
        <v>275.39494724014241</v>
      </c>
      <c r="U10" s="68">
        <f t="shared" si="29"/>
        <v>661.0733168058207</v>
      </c>
      <c r="W10" t="str">
        <f t="shared" si="30"/>
        <v>21 Science, research, engineering and technology professionals</v>
      </c>
      <c r="X10" s="68">
        <v>642.91963066181472</v>
      </c>
      <c r="Y10" s="68">
        <v>707.92347516969437</v>
      </c>
      <c r="Z10" s="68">
        <v>735.45901868176668</v>
      </c>
      <c r="AA10" s="68">
        <v>756.763048352684</v>
      </c>
      <c r="AB10" s="68">
        <v>786.26141761508222</v>
      </c>
      <c r="AC10" s="68"/>
      <c r="AD10" s="68">
        <f t="shared" si="31"/>
        <v>50.802398933315544</v>
      </c>
      <c r="AE10" s="68">
        <f>'RD T1'!E96</f>
        <v>304.96662941313184</v>
      </c>
      <c r="AF10" s="68">
        <f t="shared" si="32"/>
        <v>355.76902834644739</v>
      </c>
      <c r="AH10" t="str">
        <f t="shared" si="33"/>
        <v>21 Science, research, engineering and technology professionals</v>
      </c>
      <c r="AI10" s="68">
        <v>67.357918457570662</v>
      </c>
      <c r="AJ10" s="68">
        <v>72.372968740053921</v>
      </c>
      <c r="AK10" s="68">
        <v>79.841372074017443</v>
      </c>
      <c r="AL10" s="68">
        <v>82.774857150089105</v>
      </c>
      <c r="AM10" s="68">
        <v>91.083351944880434</v>
      </c>
      <c r="AN10" s="68"/>
      <c r="AO10" s="68">
        <f t="shared" si="34"/>
        <v>11.241979870862991</v>
      </c>
      <c r="AP10" s="68">
        <f>'RD T1'!E125</f>
        <v>33.195624945399416</v>
      </c>
      <c r="AQ10" s="68">
        <f t="shared" si="35"/>
        <v>44.437604816262407</v>
      </c>
      <c r="AS10" t="str">
        <f t="shared" si="36"/>
        <v>21 Science, research, engineering and technology professionals</v>
      </c>
      <c r="AT10" s="68">
        <v>169.55352119517372</v>
      </c>
      <c r="AU10" s="68">
        <v>180.85243938476512</v>
      </c>
      <c r="AV10" s="68">
        <v>188.96999281039101</v>
      </c>
      <c r="AW10" s="68">
        <v>178.87301078198018</v>
      </c>
      <c r="AX10" s="68">
        <v>179.2044324131229</v>
      </c>
      <c r="AY10" s="68"/>
      <c r="AZ10" s="68">
        <f t="shared" si="37"/>
        <v>-9.7655603972681035</v>
      </c>
      <c r="BA10" s="68">
        <f>'RD T1'!E154</f>
        <v>66.188354209173141</v>
      </c>
      <c r="BB10" s="68">
        <f t="shared" si="38"/>
        <v>56.422793811905038</v>
      </c>
      <c r="BD10" t="str">
        <f t="shared" si="39"/>
        <v>21 Science, research, engineering and technology professionals</v>
      </c>
      <c r="BE10" s="68">
        <v>224.71552590366326</v>
      </c>
      <c r="BF10" s="68">
        <v>242.92088016529371</v>
      </c>
      <c r="BG10" s="68">
        <v>254.7767162962684</v>
      </c>
      <c r="BH10" s="68">
        <v>226.87650854938596</v>
      </c>
      <c r="BI10" s="68">
        <v>211.00539584120762</v>
      </c>
      <c r="BJ10" s="68"/>
      <c r="BK10" s="68">
        <f t="shared" si="40"/>
        <v>-43.771320455060788</v>
      </c>
      <c r="BL10" s="68">
        <f>'RD T1'!E183</f>
        <v>65.852010908234462</v>
      </c>
      <c r="BM10" s="68">
        <f t="shared" si="41"/>
        <v>22.080690453173673</v>
      </c>
      <c r="BO10" t="str">
        <f t="shared" si="42"/>
        <v>21 Science, research, engineering and technology professionals</v>
      </c>
      <c r="BP10" s="68">
        <v>165.229660779048</v>
      </c>
      <c r="BQ10" s="68">
        <v>177.63039844820608</v>
      </c>
      <c r="BR10" s="68">
        <v>180.79173700826033</v>
      </c>
      <c r="BS10" s="68">
        <v>165.8987019196727</v>
      </c>
      <c r="BT10" s="68">
        <v>139.53008202386772</v>
      </c>
      <c r="BU10" s="68"/>
      <c r="BV10" s="68">
        <f t="shared" si="43"/>
        <v>-41.261654984392607</v>
      </c>
      <c r="BW10" s="68">
        <f>'RD T1'!E212</f>
        <v>53.273162095998529</v>
      </c>
      <c r="BX10" s="68">
        <f t="shared" si="44"/>
        <v>12.011507111605923</v>
      </c>
      <c r="BZ10" t="str">
        <f t="shared" si="45"/>
        <v>21 Science, research, engineering and technology professionals</v>
      </c>
      <c r="CA10" s="68">
        <v>100.0249877428401</v>
      </c>
      <c r="CB10" s="68">
        <v>108.51341138893757</v>
      </c>
      <c r="CC10" s="68">
        <v>107.48401557761045</v>
      </c>
      <c r="CD10" s="68">
        <v>100.54100513692529</v>
      </c>
      <c r="CE10" s="68">
        <v>67.802661658583304</v>
      </c>
      <c r="CF10" s="68"/>
      <c r="CG10" s="68">
        <f t="shared" si="46"/>
        <v>-39.681353919027146</v>
      </c>
      <c r="CH10" s="68">
        <f>'RD T1'!E241</f>
        <v>26.929721371197864</v>
      </c>
      <c r="CI10" s="68">
        <f t="shared" si="47"/>
        <v>-12.751632547829281</v>
      </c>
      <c r="CK10" t="str">
        <f t="shared" si="48"/>
        <v>21 Science, research, engineering and technology professionals</v>
      </c>
      <c r="CL10" s="68">
        <v>22.049468810434881</v>
      </c>
      <c r="CM10" s="68">
        <v>28.012210592183674</v>
      </c>
      <c r="CN10" s="68">
        <v>27.409116718438028</v>
      </c>
      <c r="CO10" s="68">
        <v>31.96803860014662</v>
      </c>
      <c r="CP10" s="68">
        <v>35.489926153271497</v>
      </c>
      <c r="CQ10" s="68"/>
      <c r="CR10" s="68">
        <f t="shared" si="49"/>
        <v>8.0808094348334691</v>
      </c>
      <c r="CS10" s="68">
        <f>'RD T1'!E270</f>
        <v>9.7989596373622465</v>
      </c>
      <c r="CT10" s="68">
        <f t="shared" si="50"/>
        <v>17.879769072195714</v>
      </c>
    </row>
    <row r="11" spans="1:98" x14ac:dyDescent="0.3">
      <c r="A11" s="10" t="str">
        <f>name!D7</f>
        <v>22 Health professionals</v>
      </c>
      <c r="B11" s="68">
        <v>78.084951625846486</v>
      </c>
      <c r="C11" s="68">
        <v>107.98192828569215</v>
      </c>
      <c r="D11" s="68">
        <v>111.57959940232023</v>
      </c>
      <c r="E11" s="68">
        <v>146.84653058164304</v>
      </c>
      <c r="F11" s="68">
        <v>202.03069954758726</v>
      </c>
      <c r="G11" s="11"/>
      <c r="H11" s="68">
        <f t="shared" si="51"/>
        <v>90.451100145267034</v>
      </c>
      <c r="I11" s="68">
        <f>'RD T1'!E39</f>
        <v>79.842504391949646</v>
      </c>
      <c r="J11" s="68">
        <f t="shared" si="26"/>
        <v>170.29360453721668</v>
      </c>
      <c r="L11" t="str">
        <f t="shared" si="27"/>
        <v>22 Health professionals</v>
      </c>
      <c r="M11" s="68">
        <v>233.14903579374609</v>
      </c>
      <c r="N11" s="68">
        <v>322.4664425038788</v>
      </c>
      <c r="O11" s="68">
        <v>327.69546625784898</v>
      </c>
      <c r="P11" s="68">
        <v>417.77548131107977</v>
      </c>
      <c r="Q11" s="68">
        <v>552.58843824363146</v>
      </c>
      <c r="R11" s="11"/>
      <c r="S11" s="68">
        <f t="shared" si="28"/>
        <v>224.89297198578248</v>
      </c>
      <c r="T11" s="68">
        <f>'RD T1'!E68</f>
        <v>239.09631391790987</v>
      </c>
      <c r="U11" s="68">
        <f t="shared" si="29"/>
        <v>463.98928590369235</v>
      </c>
      <c r="W11" t="str">
        <f t="shared" si="30"/>
        <v>22 Health professionals</v>
      </c>
      <c r="X11" s="68">
        <v>521.92640797690581</v>
      </c>
      <c r="Y11" s="68">
        <v>609.55006566248699</v>
      </c>
      <c r="Z11" s="68">
        <v>625.28238298149176</v>
      </c>
      <c r="AA11" s="68">
        <v>699.25004951473716</v>
      </c>
      <c r="AB11" s="68">
        <v>783.39416017298618</v>
      </c>
      <c r="AC11" s="68"/>
      <c r="AD11" s="68">
        <f t="shared" si="31"/>
        <v>158.11177719149441</v>
      </c>
      <c r="AE11" s="68">
        <f>'RD T1'!E97</f>
        <v>415.08321086242086</v>
      </c>
      <c r="AF11" s="68">
        <f t="shared" si="32"/>
        <v>573.19498805391527</v>
      </c>
      <c r="AH11" t="str">
        <f t="shared" si="33"/>
        <v>22 Health professionals</v>
      </c>
      <c r="AI11" s="68">
        <v>277.20866988719564</v>
      </c>
      <c r="AJ11" s="68">
        <v>219.09667424697724</v>
      </c>
      <c r="AK11" s="68">
        <v>203.77516065505532</v>
      </c>
      <c r="AL11" s="68">
        <v>123.76987381655597</v>
      </c>
      <c r="AM11" s="68">
        <v>47.24865389481333</v>
      </c>
      <c r="AN11" s="68"/>
      <c r="AO11" s="68">
        <f t="shared" si="34"/>
        <v>-156.526506760242</v>
      </c>
      <c r="AP11" s="68">
        <f>'RD T1'!E126</f>
        <v>41.353554228774797</v>
      </c>
      <c r="AQ11" s="68">
        <f t="shared" si="35"/>
        <v>-115.1729525314672</v>
      </c>
      <c r="AS11" t="str">
        <f t="shared" si="36"/>
        <v>22 Health professionals</v>
      </c>
      <c r="AT11" s="68">
        <v>35.569070498748985</v>
      </c>
      <c r="AU11" s="68">
        <v>40.751719183288003</v>
      </c>
      <c r="AV11" s="68">
        <v>45.957141866235567</v>
      </c>
      <c r="AW11" s="68">
        <v>48.968114539300643</v>
      </c>
      <c r="AX11" s="68">
        <v>54.842635574685389</v>
      </c>
      <c r="AY11" s="68"/>
      <c r="AZ11" s="68">
        <f t="shared" si="37"/>
        <v>8.8854937084498218</v>
      </c>
      <c r="BA11" s="68">
        <f>'RD T1'!E155</f>
        <v>25.91552206910135</v>
      </c>
      <c r="BB11" s="68">
        <f t="shared" si="38"/>
        <v>34.801015777551171</v>
      </c>
      <c r="BD11" t="str">
        <f t="shared" si="39"/>
        <v>22 Health professionals</v>
      </c>
      <c r="BE11" s="68">
        <v>124.85212906447609</v>
      </c>
      <c r="BF11" s="68">
        <v>157.00655446997447</v>
      </c>
      <c r="BG11" s="68">
        <v>159.81336498863058</v>
      </c>
      <c r="BH11" s="68">
        <v>175.65715355548295</v>
      </c>
      <c r="BI11" s="68">
        <v>186.60243569989041</v>
      </c>
      <c r="BJ11" s="68"/>
      <c r="BK11" s="68">
        <f t="shared" si="40"/>
        <v>26.789070711259825</v>
      </c>
      <c r="BL11" s="68">
        <f>'RD T1'!E184</f>
        <v>97.745649589024495</v>
      </c>
      <c r="BM11" s="68">
        <f t="shared" si="41"/>
        <v>124.53472030028432</v>
      </c>
      <c r="BO11" t="str">
        <f t="shared" si="42"/>
        <v>22 Health professionals</v>
      </c>
      <c r="BP11" s="68">
        <v>96.479384251498985</v>
      </c>
      <c r="BQ11" s="68">
        <v>111.84506492504184</v>
      </c>
      <c r="BR11" s="68">
        <v>109.87875362127042</v>
      </c>
      <c r="BS11" s="68">
        <v>108.41769685346341</v>
      </c>
      <c r="BT11" s="68">
        <v>84.321993718361782</v>
      </c>
      <c r="BU11" s="68"/>
      <c r="BV11" s="68">
        <f t="shared" si="43"/>
        <v>-25.556759902908638</v>
      </c>
      <c r="BW11" s="68">
        <f>'RD T1'!E213</f>
        <v>48.254466324043285</v>
      </c>
      <c r="BX11" s="68">
        <f t="shared" si="44"/>
        <v>22.697706421134647</v>
      </c>
      <c r="BZ11" t="str">
        <f t="shared" si="45"/>
        <v>22 Health professionals</v>
      </c>
      <c r="CA11" s="68">
        <v>56.843695804844472</v>
      </c>
      <c r="CB11" s="68">
        <v>66.575487714046574</v>
      </c>
      <c r="CC11" s="68">
        <v>58.433703801385057</v>
      </c>
      <c r="CD11" s="68">
        <v>56.506743294331571</v>
      </c>
      <c r="CE11" s="68">
        <v>34.018811672170656</v>
      </c>
      <c r="CF11" s="68"/>
      <c r="CG11" s="68">
        <f t="shared" si="46"/>
        <v>-24.414892129214401</v>
      </c>
      <c r="CH11" s="68">
        <f>'RD T1'!E242</f>
        <v>20.575524599177641</v>
      </c>
      <c r="CI11" s="68">
        <f t="shared" si="47"/>
        <v>-3.8393675300367605</v>
      </c>
      <c r="CK11" t="str">
        <f t="shared" si="48"/>
        <v>22 Health professionals</v>
      </c>
      <c r="CL11" s="68">
        <v>7.5914053500965357</v>
      </c>
      <c r="CM11" s="68">
        <v>10.248773166687874</v>
      </c>
      <c r="CN11" s="68">
        <v>10.273910629174058</v>
      </c>
      <c r="CO11" s="68">
        <v>13.021742903969072</v>
      </c>
      <c r="CP11" s="68">
        <v>17.730145702248397</v>
      </c>
      <c r="CQ11" s="68"/>
      <c r="CR11" s="68">
        <f t="shared" si="49"/>
        <v>7.456235073074339</v>
      </c>
      <c r="CS11" s="68">
        <f>'RD T1'!E271</f>
        <v>5.7897722728039094</v>
      </c>
      <c r="CT11" s="68">
        <f t="shared" si="50"/>
        <v>13.246007345878247</v>
      </c>
    </row>
    <row r="12" spans="1:98" x14ac:dyDescent="0.3">
      <c r="A12" s="10" t="str">
        <f>name!D8</f>
        <v>23 Teaching and other educational professionals</v>
      </c>
      <c r="B12" s="68">
        <v>133.4206975379519</v>
      </c>
      <c r="C12" s="68">
        <v>155.64254041037603</v>
      </c>
      <c r="D12" s="68">
        <v>161.6155427826894</v>
      </c>
      <c r="E12" s="68">
        <v>189.37457946236333</v>
      </c>
      <c r="F12" s="68">
        <v>230.71455562314728</v>
      </c>
      <c r="G12" s="11"/>
      <c r="H12" s="68">
        <f t="shared" si="51"/>
        <v>69.099012840457874</v>
      </c>
      <c r="I12" s="68">
        <f>'RD T1'!E40</f>
        <v>100.08400051366891</v>
      </c>
      <c r="J12" s="68">
        <f t="shared" si="26"/>
        <v>169.18301335412679</v>
      </c>
      <c r="L12" t="str">
        <f t="shared" si="27"/>
        <v>23 Teaching and other educational professionals</v>
      </c>
      <c r="M12" s="68">
        <v>740.94570336190384</v>
      </c>
      <c r="N12" s="68">
        <v>887.44384444023058</v>
      </c>
      <c r="O12" s="68">
        <v>918.95121416254005</v>
      </c>
      <c r="P12" s="68">
        <v>1066.7006837978806</v>
      </c>
      <c r="Q12" s="68">
        <v>1273.7308523236406</v>
      </c>
      <c r="R12" s="11"/>
      <c r="S12" s="68">
        <f t="shared" si="28"/>
        <v>354.77963816110059</v>
      </c>
      <c r="T12" s="68">
        <f>'RD T1'!E69</f>
        <v>584.31062340202027</v>
      </c>
      <c r="U12" s="68">
        <f t="shared" si="29"/>
        <v>939.09026156312086</v>
      </c>
      <c r="W12" t="str">
        <f t="shared" si="30"/>
        <v>23 Teaching and other educational professionals</v>
      </c>
      <c r="X12" s="68">
        <v>520.40905261457181</v>
      </c>
      <c r="Y12" s="68">
        <v>468.51829227108431</v>
      </c>
      <c r="Z12" s="68">
        <v>495.33354268650936</v>
      </c>
      <c r="AA12" s="68">
        <v>430.00440527112187</v>
      </c>
      <c r="AB12" s="68">
        <v>361.04168779807566</v>
      </c>
      <c r="AC12" s="68"/>
      <c r="AD12" s="68">
        <f t="shared" si="31"/>
        <v>-134.2918548884337</v>
      </c>
      <c r="AE12" s="68">
        <f>'RD T1'!E98</f>
        <v>214.85512558743886</v>
      </c>
      <c r="AF12" s="68">
        <f t="shared" si="32"/>
        <v>80.563270699005159</v>
      </c>
      <c r="AH12" t="str">
        <f t="shared" si="33"/>
        <v>23 Teaching and other educational professionals</v>
      </c>
      <c r="AI12" s="68">
        <v>70.215749082330788</v>
      </c>
      <c r="AJ12" s="68">
        <v>41.526170893942748</v>
      </c>
      <c r="AK12" s="68">
        <v>39.246094641017578</v>
      </c>
      <c r="AL12" s="68">
        <v>28.130046383525013</v>
      </c>
      <c r="AM12" s="68">
        <v>29.52821309019842</v>
      </c>
      <c r="AN12" s="68"/>
      <c r="AO12" s="68">
        <f t="shared" si="34"/>
        <v>-9.7178815508191576</v>
      </c>
      <c r="AP12" s="68">
        <f>'RD T1'!E127</f>
        <v>9.3365370015697291</v>
      </c>
      <c r="AQ12" s="68">
        <f t="shared" si="35"/>
        <v>-0.38134454924942851</v>
      </c>
      <c r="AS12" t="str">
        <f t="shared" si="36"/>
        <v>23 Teaching and other educational professionals</v>
      </c>
      <c r="AT12" s="68">
        <v>19.593488197075892</v>
      </c>
      <c r="AU12" s="68">
        <v>19.750197595942911</v>
      </c>
      <c r="AV12" s="68">
        <v>21.041277502438806</v>
      </c>
      <c r="AW12" s="68">
        <v>18.808073668490696</v>
      </c>
      <c r="AX12" s="68">
        <v>17.797534354874699</v>
      </c>
      <c r="AY12" s="68"/>
      <c r="AZ12" s="68">
        <f t="shared" si="37"/>
        <v>-3.243743147564107</v>
      </c>
      <c r="BA12" s="68">
        <f>'RD T1'!E156</f>
        <v>9.4487054074796504</v>
      </c>
      <c r="BB12" s="68">
        <f t="shared" si="38"/>
        <v>6.2049622599155434</v>
      </c>
      <c r="BD12" t="str">
        <f t="shared" si="39"/>
        <v>23 Teaching and other educational professionals</v>
      </c>
      <c r="BE12" s="68">
        <v>66.552280254811038</v>
      </c>
      <c r="BF12" s="68">
        <v>68.914767462888506</v>
      </c>
      <c r="BG12" s="68">
        <v>76.208042156895388</v>
      </c>
      <c r="BH12" s="68">
        <v>77.643719951127949</v>
      </c>
      <c r="BI12" s="68">
        <v>84.909681604589764</v>
      </c>
      <c r="BJ12" s="68"/>
      <c r="BK12" s="68">
        <f t="shared" si="40"/>
        <v>8.7016394476943759</v>
      </c>
      <c r="BL12" s="68">
        <f>'RD T1'!E185</f>
        <v>33.792067323140145</v>
      </c>
      <c r="BM12" s="68">
        <f t="shared" si="41"/>
        <v>42.493706770834521</v>
      </c>
      <c r="BO12" t="str">
        <f t="shared" si="42"/>
        <v>23 Teaching and other educational professionals</v>
      </c>
      <c r="BP12" s="68">
        <v>51.659415880555727</v>
      </c>
      <c r="BQ12" s="68">
        <v>52.414526182463298</v>
      </c>
      <c r="BR12" s="68">
        <v>53.391490821091018</v>
      </c>
      <c r="BS12" s="68">
        <v>50.373981401037291</v>
      </c>
      <c r="BT12" s="68">
        <v>43.616129676309377</v>
      </c>
      <c r="BU12" s="68"/>
      <c r="BV12" s="68">
        <f t="shared" si="43"/>
        <v>-9.7753611447816411</v>
      </c>
      <c r="BW12" s="68">
        <f>'RD T1'!E214</f>
        <v>22.549671570573281</v>
      </c>
      <c r="BX12" s="68">
        <f t="shared" si="44"/>
        <v>12.77431042579164</v>
      </c>
      <c r="BZ12" t="str">
        <f t="shared" si="45"/>
        <v>23 Teaching and other educational professionals</v>
      </c>
      <c r="CA12" s="68">
        <v>36.65035604751472</v>
      </c>
      <c r="CB12" s="68">
        <v>37.501524743711656</v>
      </c>
      <c r="CC12" s="68">
        <v>38.380498402110035</v>
      </c>
      <c r="CD12" s="68">
        <v>36.957714918471396</v>
      </c>
      <c r="CE12" s="68">
        <v>28.738437623026467</v>
      </c>
      <c r="CF12" s="68"/>
      <c r="CG12" s="68">
        <f t="shared" si="46"/>
        <v>-9.6420607790835682</v>
      </c>
      <c r="CH12" s="68">
        <f>'RD T1'!E243</f>
        <v>14.767093899847161</v>
      </c>
      <c r="CI12" s="68">
        <f t="shared" si="47"/>
        <v>5.1250331207635931</v>
      </c>
      <c r="CK12" t="str">
        <f t="shared" si="48"/>
        <v>23 Teaching and other educational professionals</v>
      </c>
      <c r="CL12" s="68">
        <v>7.5319467814137733</v>
      </c>
      <c r="CM12" s="68">
        <v>9.0154861941957947</v>
      </c>
      <c r="CN12" s="68">
        <v>10.227288487539926</v>
      </c>
      <c r="CO12" s="68">
        <v>11.778812778381454</v>
      </c>
      <c r="CP12" s="68">
        <v>11.948385661785833</v>
      </c>
      <c r="CQ12" s="68"/>
      <c r="CR12" s="68">
        <f t="shared" si="49"/>
        <v>1.7210971742459069</v>
      </c>
      <c r="CS12" s="68">
        <f>'RD T1'!E272</f>
        <v>4.618292437277665</v>
      </c>
      <c r="CT12" s="68">
        <f t="shared" si="50"/>
        <v>6.3393896115235719</v>
      </c>
    </row>
    <row r="13" spans="1:98" x14ac:dyDescent="0.3">
      <c r="A13" s="10" t="str">
        <f>name!D9</f>
        <v>24 Business, media and public service professionals</v>
      </c>
      <c r="B13" s="68">
        <v>34.989475116248002</v>
      </c>
      <c r="C13" s="68">
        <v>48.635654831782524</v>
      </c>
      <c r="D13" s="68">
        <v>52.668050464785047</v>
      </c>
      <c r="E13" s="68">
        <v>74.781052993603666</v>
      </c>
      <c r="F13" s="68">
        <v>111.15496225290505</v>
      </c>
      <c r="G13" s="11"/>
      <c r="H13" s="68">
        <f t="shared" si="51"/>
        <v>58.486911788120004</v>
      </c>
      <c r="I13" s="68">
        <f>'RD T1'!E41</f>
        <v>41.273066260019419</v>
      </c>
      <c r="J13" s="68">
        <f t="shared" si="26"/>
        <v>99.75997804813943</v>
      </c>
      <c r="L13" t="str">
        <f t="shared" si="27"/>
        <v>24 Business, media and public service professionals</v>
      </c>
      <c r="M13" s="68">
        <v>437.6471106399211</v>
      </c>
      <c r="N13" s="68">
        <v>609.94569995304369</v>
      </c>
      <c r="O13" s="68">
        <v>655.17047617734863</v>
      </c>
      <c r="P13" s="68">
        <v>870.0679545225496</v>
      </c>
      <c r="Q13" s="68">
        <v>1193.0044931216864</v>
      </c>
      <c r="R13" s="11"/>
      <c r="S13" s="68">
        <f t="shared" si="28"/>
        <v>537.8340169443378</v>
      </c>
      <c r="T13" s="68">
        <f>'RD T1'!E70</f>
        <v>469.38575797738662</v>
      </c>
      <c r="U13" s="68">
        <f t="shared" si="29"/>
        <v>1007.2197749217244</v>
      </c>
      <c r="W13" t="str">
        <f t="shared" si="30"/>
        <v>24 Business, media and public service professionals</v>
      </c>
      <c r="X13" s="68">
        <v>790.71991856447971</v>
      </c>
      <c r="Y13" s="68">
        <v>897.72182026009762</v>
      </c>
      <c r="Z13" s="68">
        <v>979.11705471202504</v>
      </c>
      <c r="AA13" s="68">
        <v>1054.878585146759</v>
      </c>
      <c r="AB13" s="68">
        <v>1105.3157414804468</v>
      </c>
      <c r="AC13" s="68"/>
      <c r="AD13" s="68">
        <f t="shared" si="31"/>
        <v>126.19868676842179</v>
      </c>
      <c r="AE13" s="68">
        <f>'RD T1'!E99</f>
        <v>551.70672857239754</v>
      </c>
      <c r="AF13" s="68">
        <f t="shared" si="32"/>
        <v>677.90541534081933</v>
      </c>
      <c r="AH13" t="str">
        <f t="shared" si="33"/>
        <v>24 Business, media and public service professionals</v>
      </c>
      <c r="AI13" s="68">
        <v>80.477055696808833</v>
      </c>
      <c r="AJ13" s="68">
        <v>78.130918275932686</v>
      </c>
      <c r="AK13" s="68">
        <v>88.003313247754008</v>
      </c>
      <c r="AL13" s="68">
        <v>85.116360875952438</v>
      </c>
      <c r="AM13" s="68">
        <v>89.037086905676219</v>
      </c>
      <c r="AN13" s="68"/>
      <c r="AO13" s="68">
        <f t="shared" si="34"/>
        <v>1.033773657922211</v>
      </c>
      <c r="AP13" s="68">
        <f>'RD T1'!E128</f>
        <v>33.070858067525002</v>
      </c>
      <c r="AQ13" s="68">
        <f t="shared" si="35"/>
        <v>34.104631725447213</v>
      </c>
      <c r="AS13" t="str">
        <f t="shared" si="36"/>
        <v>24 Business, media and public service professionals</v>
      </c>
      <c r="AT13" s="68">
        <v>121.02238399057038</v>
      </c>
      <c r="AU13" s="68">
        <v>133.92894115638438</v>
      </c>
      <c r="AV13" s="68">
        <v>149.19842394789072</v>
      </c>
      <c r="AW13" s="68">
        <v>159.99333844898081</v>
      </c>
      <c r="AX13" s="68">
        <v>172.92972730120707</v>
      </c>
      <c r="AY13" s="68"/>
      <c r="AZ13" s="68">
        <f t="shared" si="37"/>
        <v>23.731303353316349</v>
      </c>
      <c r="BA13" s="68">
        <f>'RD T1'!E157</f>
        <v>79.792137736533093</v>
      </c>
      <c r="BB13" s="68">
        <f t="shared" si="38"/>
        <v>103.52344108984944</v>
      </c>
      <c r="BD13" t="str">
        <f t="shared" si="39"/>
        <v>24 Business, media and public service professionals</v>
      </c>
      <c r="BE13" s="68">
        <v>235.73945952339125</v>
      </c>
      <c r="BF13" s="68">
        <v>269.55489699469877</v>
      </c>
      <c r="BG13" s="68">
        <v>296.36346384786555</v>
      </c>
      <c r="BH13" s="68">
        <v>306.08657497526991</v>
      </c>
      <c r="BI13" s="68">
        <v>307.09588448592893</v>
      </c>
      <c r="BJ13" s="68"/>
      <c r="BK13" s="68">
        <f t="shared" si="40"/>
        <v>10.732420638063388</v>
      </c>
      <c r="BL13" s="68">
        <f>'RD T1'!E186</f>
        <v>124.72390107469778</v>
      </c>
      <c r="BM13" s="68">
        <f t="shared" si="41"/>
        <v>135.45632171276117</v>
      </c>
      <c r="BO13" t="str">
        <f t="shared" si="42"/>
        <v>24 Business, media and public service professionals</v>
      </c>
      <c r="BP13" s="68">
        <v>171.34278219214909</v>
      </c>
      <c r="BQ13" s="68">
        <v>186.01366739396565</v>
      </c>
      <c r="BR13" s="68">
        <v>192.88112889641317</v>
      </c>
      <c r="BS13" s="68">
        <v>184.40803831509055</v>
      </c>
      <c r="BT13" s="68">
        <v>147.4681800635324</v>
      </c>
      <c r="BU13" s="68"/>
      <c r="BV13" s="68">
        <f t="shared" si="43"/>
        <v>-45.412948832880772</v>
      </c>
      <c r="BW13" s="68">
        <f>'RD T1'!E215</f>
        <v>69.438119056737577</v>
      </c>
      <c r="BX13" s="68">
        <f t="shared" si="44"/>
        <v>24.025170223856804</v>
      </c>
      <c r="BZ13" t="str">
        <f t="shared" si="45"/>
        <v>24 Business, media and public service professionals</v>
      </c>
      <c r="CA13" s="68">
        <v>105.20958023804427</v>
      </c>
      <c r="CB13" s="68">
        <v>116.590433580751</v>
      </c>
      <c r="CC13" s="68">
        <v>120.20194174560416</v>
      </c>
      <c r="CD13" s="68">
        <v>114.28037176099608</v>
      </c>
      <c r="CE13" s="68">
        <v>74.346286657347477</v>
      </c>
      <c r="CF13" s="68"/>
      <c r="CG13" s="68">
        <f t="shared" si="46"/>
        <v>-45.855655088256682</v>
      </c>
      <c r="CH13" s="68">
        <f>'RD T1'!E244</f>
        <v>38.113680693958287</v>
      </c>
      <c r="CI13" s="68">
        <f t="shared" si="47"/>
        <v>-7.7419743942983956</v>
      </c>
      <c r="CK13" t="str">
        <f t="shared" si="48"/>
        <v>24 Business, media and public service professionals</v>
      </c>
      <c r="CL13" s="68">
        <v>25.206206212507109</v>
      </c>
      <c r="CM13" s="68">
        <v>31.058359253726533</v>
      </c>
      <c r="CN13" s="68">
        <v>30.401982846778346</v>
      </c>
      <c r="CO13" s="68">
        <v>32.166917806110973</v>
      </c>
      <c r="CP13" s="68">
        <v>33.678442998980707</v>
      </c>
      <c r="CQ13" s="68"/>
      <c r="CR13" s="68">
        <f t="shared" si="49"/>
        <v>3.2764601522023611</v>
      </c>
      <c r="CS13" s="68">
        <f>'RD T1'!E273</f>
        <v>11.356523833374641</v>
      </c>
      <c r="CT13" s="68">
        <f t="shared" si="50"/>
        <v>14.632983985577003</v>
      </c>
    </row>
    <row r="14" spans="1:98" x14ac:dyDescent="0.3">
      <c r="A14" s="10" t="str">
        <f>name!D10</f>
        <v>31 Science, engineering and technology associate professionals</v>
      </c>
      <c r="B14" s="68">
        <v>9.9811295915278428</v>
      </c>
      <c r="C14" s="68">
        <v>14.444071192936413</v>
      </c>
      <c r="D14" s="68">
        <v>15.845449839294641</v>
      </c>
      <c r="E14" s="68">
        <v>18.661508130040378</v>
      </c>
      <c r="F14" s="68">
        <v>28.511852878035562</v>
      </c>
      <c r="G14" s="11"/>
      <c r="H14" s="68">
        <f t="shared" si="51"/>
        <v>12.666403038740921</v>
      </c>
      <c r="I14" s="68">
        <f>'RD T1'!E42</f>
        <v>10.077082059273653</v>
      </c>
      <c r="J14" s="68">
        <f t="shared" si="26"/>
        <v>22.743485098014574</v>
      </c>
      <c r="L14" t="str">
        <f t="shared" si="27"/>
        <v>31 Science, engineering and technology associate professionals</v>
      </c>
      <c r="M14" s="68">
        <v>58.171608452859509</v>
      </c>
      <c r="N14" s="68">
        <v>80.883844945826922</v>
      </c>
      <c r="O14" s="68">
        <v>89.185157393206367</v>
      </c>
      <c r="P14" s="68">
        <v>96.29500797221263</v>
      </c>
      <c r="Q14" s="68">
        <v>133.61404406247803</v>
      </c>
      <c r="R14" s="11"/>
      <c r="S14" s="68">
        <f t="shared" si="28"/>
        <v>44.428886669271662</v>
      </c>
      <c r="T14" s="68">
        <f>'RD T1'!E71</f>
        <v>47.144570337063072</v>
      </c>
      <c r="U14" s="68">
        <f t="shared" si="29"/>
        <v>91.573457006334735</v>
      </c>
      <c r="W14" t="str">
        <f t="shared" si="30"/>
        <v>31 Science, engineering and technology associate professionals</v>
      </c>
      <c r="X14" s="68">
        <v>147.13637680046804</v>
      </c>
      <c r="Y14" s="68">
        <v>176.53348442576518</v>
      </c>
      <c r="Z14" s="68">
        <v>189.79410765028632</v>
      </c>
      <c r="AA14" s="68">
        <v>174.79496246377315</v>
      </c>
      <c r="AB14" s="68">
        <v>192.11125438703479</v>
      </c>
      <c r="AC14" s="68"/>
      <c r="AD14" s="68">
        <f t="shared" si="31"/>
        <v>2.3171467367484695</v>
      </c>
      <c r="AE14" s="68">
        <f>'RD T1'!E100</f>
        <v>81.603642720382339</v>
      </c>
      <c r="AF14" s="68">
        <f t="shared" si="32"/>
        <v>83.920789457130809</v>
      </c>
      <c r="AH14" t="str">
        <f t="shared" si="33"/>
        <v>31 Science, engineering and technology associate professionals</v>
      </c>
      <c r="AI14" s="68">
        <v>24.571614313492542</v>
      </c>
      <c r="AJ14" s="68">
        <v>30.086434703225706</v>
      </c>
      <c r="AK14" s="68">
        <v>33.800633269241054</v>
      </c>
      <c r="AL14" s="68">
        <v>34.506994242917955</v>
      </c>
      <c r="AM14" s="68">
        <v>44.699202922497129</v>
      </c>
      <c r="AN14" s="68"/>
      <c r="AO14" s="68">
        <f t="shared" si="34"/>
        <v>10.898569653256075</v>
      </c>
      <c r="AP14" s="68">
        <f>'RD T1'!E129</f>
        <v>17.902884499590861</v>
      </c>
      <c r="AQ14" s="68">
        <f t="shared" si="35"/>
        <v>28.801454152846937</v>
      </c>
      <c r="AS14" t="str">
        <f t="shared" si="36"/>
        <v>31 Science, engineering and technology associate professionals</v>
      </c>
      <c r="AT14" s="68">
        <v>64.392959729657164</v>
      </c>
      <c r="AU14" s="68">
        <v>69.619584773571489</v>
      </c>
      <c r="AV14" s="68">
        <v>74.501540508382689</v>
      </c>
      <c r="AW14" s="68">
        <v>61.680890581007731</v>
      </c>
      <c r="AX14" s="68">
        <v>61.2256187968216</v>
      </c>
      <c r="AY14" s="68"/>
      <c r="AZ14" s="68">
        <f t="shared" si="37"/>
        <v>-13.275921711561089</v>
      </c>
      <c r="BA14" s="68">
        <f>'RD T1'!E158</f>
        <v>24.223467126405048</v>
      </c>
      <c r="BB14" s="68">
        <f t="shared" si="38"/>
        <v>10.947545414843958</v>
      </c>
      <c r="BD14" t="str">
        <f t="shared" si="39"/>
        <v>31 Science, engineering and technology associate professionals</v>
      </c>
      <c r="BE14" s="68">
        <v>98.831590825897862</v>
      </c>
      <c r="BF14" s="68">
        <v>105.33177323334445</v>
      </c>
      <c r="BG14" s="68">
        <v>115.73831431100692</v>
      </c>
      <c r="BH14" s="68">
        <v>84.576761193172402</v>
      </c>
      <c r="BI14" s="68">
        <v>67.744135410413747</v>
      </c>
      <c r="BJ14" s="68"/>
      <c r="BK14" s="68">
        <f t="shared" si="40"/>
        <v>-47.99417890059317</v>
      </c>
      <c r="BL14" s="68">
        <f>'RD T1'!E187</f>
        <v>28.37735852489277</v>
      </c>
      <c r="BM14" s="68">
        <f t="shared" si="41"/>
        <v>-19.616820375700399</v>
      </c>
      <c r="BO14" t="str">
        <f t="shared" si="42"/>
        <v>31 Science, engineering and technology associate professionals</v>
      </c>
      <c r="BP14" s="68">
        <v>72.890586053328278</v>
      </c>
      <c r="BQ14" s="68">
        <v>82.623513965633506</v>
      </c>
      <c r="BR14" s="68">
        <v>88.300927671721411</v>
      </c>
      <c r="BS14" s="68">
        <v>70.324964008203949</v>
      </c>
      <c r="BT14" s="68">
        <v>63.013767018728792</v>
      </c>
      <c r="BU14" s="68"/>
      <c r="BV14" s="68">
        <f t="shared" si="43"/>
        <v>-25.287160652992618</v>
      </c>
      <c r="BW14" s="68">
        <f>'RD T1'!E216</f>
        <v>26.002353908368285</v>
      </c>
      <c r="BX14" s="68">
        <f t="shared" si="44"/>
        <v>0.71519325537566658</v>
      </c>
      <c r="BZ14" t="str">
        <f t="shared" si="45"/>
        <v>31 Science, engineering and technology associate professionals</v>
      </c>
      <c r="CA14" s="68">
        <v>55.847712327399584</v>
      </c>
      <c r="CB14" s="68">
        <v>65.037474035228854</v>
      </c>
      <c r="CC14" s="68">
        <v>69.843026829072997</v>
      </c>
      <c r="CD14" s="68">
        <v>56.457667252838355</v>
      </c>
      <c r="CE14" s="68">
        <v>44.455134900929231</v>
      </c>
      <c r="CF14" s="68"/>
      <c r="CG14" s="68">
        <f t="shared" si="46"/>
        <v>-25.387891928143766</v>
      </c>
      <c r="CH14" s="68">
        <f>'RD T1'!E245</f>
        <v>18.714516860410452</v>
      </c>
      <c r="CI14" s="68">
        <f t="shared" si="47"/>
        <v>-6.6733750677333141</v>
      </c>
      <c r="CK14" t="str">
        <f t="shared" si="48"/>
        <v>31 Science, engineering and technology associate professionals</v>
      </c>
      <c r="CL14" s="68">
        <v>11.310535236562743</v>
      </c>
      <c r="CM14" s="68">
        <v>15.409665522491519</v>
      </c>
      <c r="CN14" s="68">
        <v>17.151068765830342</v>
      </c>
      <c r="CO14" s="68">
        <v>18.191120484746687</v>
      </c>
      <c r="CP14" s="68">
        <v>24.77970857778104</v>
      </c>
      <c r="CQ14" s="68"/>
      <c r="CR14" s="68">
        <f t="shared" si="49"/>
        <v>7.6286398119506984</v>
      </c>
      <c r="CS14" s="68">
        <f>'RD T1'!E274</f>
        <v>7.6647970835712531</v>
      </c>
      <c r="CT14" s="68">
        <f t="shared" si="50"/>
        <v>15.293436895521952</v>
      </c>
    </row>
    <row r="15" spans="1:98" x14ac:dyDescent="0.3">
      <c r="A15" s="10" t="str">
        <f>name!D11</f>
        <v>32 Health and social care associate professionals</v>
      </c>
      <c r="B15" s="68">
        <v>2.5159000266083495</v>
      </c>
      <c r="C15" s="68">
        <v>3.5010907747310966</v>
      </c>
      <c r="D15" s="68">
        <v>3.3002709838085149</v>
      </c>
      <c r="E15" s="68">
        <v>4.5588203741983735</v>
      </c>
      <c r="F15" s="68">
        <v>7.3395232154360723</v>
      </c>
      <c r="G15" s="11"/>
      <c r="H15" s="68">
        <f t="shared" si="51"/>
        <v>4.0392522316275574</v>
      </c>
      <c r="I15" s="68">
        <f>'RD T1'!E43</f>
        <v>3.1984181432230945</v>
      </c>
      <c r="J15" s="68">
        <f t="shared" si="26"/>
        <v>7.2376703748506515</v>
      </c>
      <c r="L15" t="str">
        <f t="shared" si="27"/>
        <v>32 Health and social care associate professionals</v>
      </c>
      <c r="M15" s="68">
        <v>56.549426484862096</v>
      </c>
      <c r="N15" s="68">
        <v>78.708140419522834</v>
      </c>
      <c r="O15" s="68">
        <v>81.864050039796453</v>
      </c>
      <c r="P15" s="68">
        <v>104.93127636714414</v>
      </c>
      <c r="Q15" s="68">
        <v>157.92988063520647</v>
      </c>
      <c r="R15" s="11"/>
      <c r="S15" s="68">
        <f t="shared" si="28"/>
        <v>76.06583059541002</v>
      </c>
      <c r="T15" s="68">
        <f>'RD T1'!E72</f>
        <v>69.431036203497101</v>
      </c>
      <c r="U15" s="68">
        <f t="shared" si="29"/>
        <v>145.49686679890712</v>
      </c>
      <c r="W15" t="str">
        <f t="shared" si="30"/>
        <v>32 Health and social care associate professionals</v>
      </c>
      <c r="X15" s="68">
        <v>176.26816043083844</v>
      </c>
      <c r="Y15" s="68">
        <v>207.41427298739615</v>
      </c>
      <c r="Z15" s="68">
        <v>218.19430079087982</v>
      </c>
      <c r="AA15" s="68">
        <v>242.08254068921318</v>
      </c>
      <c r="AB15" s="68">
        <v>292.95123345513429</v>
      </c>
      <c r="AC15" s="68"/>
      <c r="AD15" s="68">
        <f t="shared" si="31"/>
        <v>74.756932664254464</v>
      </c>
      <c r="AE15" s="68">
        <f>'RD T1'!E101</f>
        <v>162.88754133338497</v>
      </c>
      <c r="AF15" s="68">
        <f t="shared" si="32"/>
        <v>237.64447399763944</v>
      </c>
      <c r="AH15" t="str">
        <f t="shared" si="33"/>
        <v>32 Health and social care associate professionals</v>
      </c>
      <c r="AI15" s="68">
        <v>124.59925940075406</v>
      </c>
      <c r="AJ15" s="68">
        <v>107.97026253132161</v>
      </c>
      <c r="AK15" s="68">
        <v>107.58005552009256</v>
      </c>
      <c r="AL15" s="68">
        <v>80.051965998508251</v>
      </c>
      <c r="AM15" s="68">
        <v>46.583632557768475</v>
      </c>
      <c r="AN15" s="68"/>
      <c r="AO15" s="68">
        <f t="shared" si="34"/>
        <v>-60.996422962324083</v>
      </c>
      <c r="AP15" s="68">
        <f>'RD T1'!E130</f>
        <v>31.513782964269659</v>
      </c>
      <c r="AQ15" s="68">
        <f t="shared" si="35"/>
        <v>-29.482639998054424</v>
      </c>
      <c r="AS15" t="str">
        <f t="shared" si="36"/>
        <v>32 Health and social care associate professionals</v>
      </c>
      <c r="AT15" s="68">
        <v>26.57276049315038</v>
      </c>
      <c r="AU15" s="68">
        <v>29.971883538422055</v>
      </c>
      <c r="AV15" s="68">
        <v>34.025233873412326</v>
      </c>
      <c r="AW15" s="68">
        <v>33.074759011294887</v>
      </c>
      <c r="AX15" s="68">
        <v>36.989304798848991</v>
      </c>
      <c r="AY15" s="68"/>
      <c r="AZ15" s="68">
        <f t="shared" si="37"/>
        <v>2.9640709254366655</v>
      </c>
      <c r="BA15" s="68">
        <f>'RD T1'!E159</f>
        <v>19.848291596079736</v>
      </c>
      <c r="BB15" s="68">
        <f t="shared" si="38"/>
        <v>22.812362521516402</v>
      </c>
      <c r="BD15" t="str">
        <f t="shared" si="39"/>
        <v>32 Health and social care associate professionals</v>
      </c>
      <c r="BE15" s="68">
        <v>93.799937529179743</v>
      </c>
      <c r="BF15" s="68">
        <v>115.12408164278382</v>
      </c>
      <c r="BG15" s="68">
        <v>120.87190538692816</v>
      </c>
      <c r="BH15" s="68">
        <v>123.83666238764611</v>
      </c>
      <c r="BI15" s="68">
        <v>139.42981090700675</v>
      </c>
      <c r="BJ15" s="68"/>
      <c r="BK15" s="68">
        <f t="shared" si="40"/>
        <v>18.557905520078592</v>
      </c>
      <c r="BL15" s="68">
        <f>'RD T1'!E188</f>
        <v>73.852320765565096</v>
      </c>
      <c r="BM15" s="68">
        <f t="shared" si="41"/>
        <v>92.410226285643688</v>
      </c>
      <c r="BO15" t="str">
        <f t="shared" si="42"/>
        <v>32 Health and social care associate professionals</v>
      </c>
      <c r="BP15" s="68">
        <v>78.075972684258943</v>
      </c>
      <c r="BQ15" s="68">
        <v>86.913480600390145</v>
      </c>
      <c r="BR15" s="68">
        <v>85.784254614830402</v>
      </c>
      <c r="BS15" s="68">
        <v>78.964393982762147</v>
      </c>
      <c r="BT15" s="68">
        <v>62.425282441744741</v>
      </c>
      <c r="BU15" s="68"/>
      <c r="BV15" s="68">
        <f t="shared" si="43"/>
        <v>-23.358972173085661</v>
      </c>
      <c r="BW15" s="68">
        <f>'RD T1'!E217</f>
        <v>38.577285428231939</v>
      </c>
      <c r="BX15" s="68">
        <f t="shared" si="44"/>
        <v>15.218313255146278</v>
      </c>
      <c r="BZ15" t="str">
        <f t="shared" si="45"/>
        <v>32 Health and social care associate professionals</v>
      </c>
      <c r="CA15" s="68">
        <v>31.686818612725688</v>
      </c>
      <c r="CB15" s="68">
        <v>29.922168696562295</v>
      </c>
      <c r="CC15" s="68">
        <v>27.082918238438118</v>
      </c>
      <c r="CD15" s="68">
        <v>22.817653084872898</v>
      </c>
      <c r="CE15" s="68">
        <v>13.969021315781205</v>
      </c>
      <c r="CF15" s="68"/>
      <c r="CG15" s="68">
        <f t="shared" si="46"/>
        <v>-13.113896922656913</v>
      </c>
      <c r="CH15" s="68">
        <f>'RD T1'!E246</f>
        <v>8.6097451965799969</v>
      </c>
      <c r="CI15" s="68">
        <f t="shared" si="47"/>
        <v>-4.5041517260769162</v>
      </c>
      <c r="CK15" t="str">
        <f t="shared" si="48"/>
        <v>32 Health and social care associate professionals</v>
      </c>
      <c r="CL15" s="68">
        <v>4.8803139371474211</v>
      </c>
      <c r="CM15" s="68">
        <v>5.6352168600420951</v>
      </c>
      <c r="CN15" s="68">
        <v>5.6437190512339823</v>
      </c>
      <c r="CO15" s="68">
        <v>6.247346121446963</v>
      </c>
      <c r="CP15" s="68">
        <v>8.4059346654791032</v>
      </c>
      <c r="CQ15" s="68"/>
      <c r="CR15" s="68">
        <f t="shared" si="49"/>
        <v>2.7622156142451209</v>
      </c>
      <c r="CS15" s="68">
        <f>'RD T1'!E275</f>
        <v>2.865365608326667</v>
      </c>
      <c r="CT15" s="68">
        <f t="shared" si="50"/>
        <v>5.6275812225717878</v>
      </c>
    </row>
    <row r="16" spans="1:98" x14ac:dyDescent="0.3">
      <c r="A16" s="10" t="str">
        <f>name!D12</f>
        <v>33 Protective service occupations</v>
      </c>
      <c r="B16" s="68">
        <v>1.2452437049839689</v>
      </c>
      <c r="C16" s="68">
        <v>1.4936786442737513</v>
      </c>
      <c r="D16" s="68">
        <v>1.5984521788013528</v>
      </c>
      <c r="E16" s="68">
        <v>2.5981661866712518</v>
      </c>
      <c r="F16" s="68">
        <v>4.4161112911514246</v>
      </c>
      <c r="G16" s="11"/>
      <c r="H16" s="68">
        <f t="shared" si="51"/>
        <v>2.8176591123500718</v>
      </c>
      <c r="I16" s="68">
        <f>'RD T1'!E44</f>
        <v>1.1102586544793436</v>
      </c>
      <c r="J16" s="68">
        <f t="shared" si="26"/>
        <v>3.9279177668294154</v>
      </c>
      <c r="L16" t="str">
        <f t="shared" si="27"/>
        <v>33 Protective service occupations</v>
      </c>
      <c r="M16" s="68">
        <v>19.700048404157304</v>
      </c>
      <c r="N16" s="68">
        <v>25.030059099621209</v>
      </c>
      <c r="O16" s="68">
        <v>27.929803983852711</v>
      </c>
      <c r="P16" s="68">
        <v>43.499921237103592</v>
      </c>
      <c r="Q16" s="68">
        <v>75.296942029012158</v>
      </c>
      <c r="R16" s="11"/>
      <c r="S16" s="68">
        <f t="shared" si="28"/>
        <v>47.36713804515945</v>
      </c>
      <c r="T16" s="68">
        <f>'RD T1'!E73</f>
        <v>17.167414143428729</v>
      </c>
      <c r="U16" s="68">
        <f t="shared" si="29"/>
        <v>64.534552188588179</v>
      </c>
      <c r="W16" t="str">
        <f t="shared" si="30"/>
        <v>33 Protective service occupations</v>
      </c>
      <c r="X16" s="68">
        <v>86.66432894895695</v>
      </c>
      <c r="Y16" s="68">
        <v>97.901562726634253</v>
      </c>
      <c r="Z16" s="68">
        <v>109.61709132132559</v>
      </c>
      <c r="AA16" s="68">
        <v>143.73964152101411</v>
      </c>
      <c r="AB16" s="68">
        <v>200.30778670018861</v>
      </c>
      <c r="AC16" s="68"/>
      <c r="AD16" s="68">
        <f t="shared" si="31"/>
        <v>90.690695378863026</v>
      </c>
      <c r="AE16" s="68">
        <f>'RD T1'!E102</f>
        <v>66.873927389196609</v>
      </c>
      <c r="AF16" s="68">
        <f t="shared" si="32"/>
        <v>157.56462276805962</v>
      </c>
      <c r="AH16" t="str">
        <f t="shared" si="33"/>
        <v>33 Protective service occupations</v>
      </c>
      <c r="AI16" s="68">
        <v>23.666478567095883</v>
      </c>
      <c r="AJ16" s="68">
        <v>25.913620210935125</v>
      </c>
      <c r="AK16" s="68">
        <v>29.349640829556503</v>
      </c>
      <c r="AL16" s="68">
        <v>37.723298204062495</v>
      </c>
      <c r="AM16" s="68">
        <v>51.525939264179989</v>
      </c>
      <c r="AN16" s="68"/>
      <c r="AO16" s="68">
        <f t="shared" si="34"/>
        <v>22.176298434623487</v>
      </c>
      <c r="AP16" s="68">
        <f>'RD T1'!E131</f>
        <v>15.581449272811124</v>
      </c>
      <c r="AQ16" s="68">
        <f t="shared" si="35"/>
        <v>37.757747707434611</v>
      </c>
      <c r="AS16" t="str">
        <f t="shared" si="36"/>
        <v>33 Protective service occupations</v>
      </c>
      <c r="AT16" s="68">
        <v>22.096743551857926</v>
      </c>
      <c r="AU16" s="68">
        <v>20.655806590198651</v>
      </c>
      <c r="AV16" s="68">
        <v>22.647405543847277</v>
      </c>
      <c r="AW16" s="68">
        <v>24.899657084087554</v>
      </c>
      <c r="AX16" s="68">
        <v>28.146055221497043</v>
      </c>
      <c r="AY16" s="68"/>
      <c r="AZ16" s="68">
        <f t="shared" si="37"/>
        <v>5.498649677649766</v>
      </c>
      <c r="BA16" s="68">
        <f>'RD T1'!E160</f>
        <v>9.466016155943402</v>
      </c>
      <c r="BB16" s="68">
        <f t="shared" si="38"/>
        <v>14.964665833593168</v>
      </c>
      <c r="BD16" t="str">
        <f t="shared" si="39"/>
        <v>33 Protective service occupations</v>
      </c>
      <c r="BE16" s="68">
        <v>73.829288937038541</v>
      </c>
      <c r="BF16" s="68">
        <v>69.990132276186429</v>
      </c>
      <c r="BG16" s="68">
        <v>73.040410392538305</v>
      </c>
      <c r="BH16" s="68">
        <v>78.152063131589728</v>
      </c>
      <c r="BI16" s="68">
        <v>71.144894338774307</v>
      </c>
      <c r="BJ16" s="68"/>
      <c r="BK16" s="68">
        <f t="shared" si="40"/>
        <v>-1.8955160537639983</v>
      </c>
      <c r="BL16" s="68">
        <f>'RD T1'!E189</f>
        <v>18.809960836820871</v>
      </c>
      <c r="BM16" s="68">
        <f t="shared" si="41"/>
        <v>16.914444783056872</v>
      </c>
      <c r="BO16" t="str">
        <f t="shared" si="42"/>
        <v>33 Protective service occupations</v>
      </c>
      <c r="BP16" s="68">
        <v>81.81560068410009</v>
      </c>
      <c r="BQ16" s="68">
        <v>81.673168905699157</v>
      </c>
      <c r="BR16" s="68">
        <v>81.193211948670751</v>
      </c>
      <c r="BS16" s="68">
        <v>86.089578676649097</v>
      </c>
      <c r="BT16" s="68">
        <v>67.676100070013064</v>
      </c>
      <c r="BU16" s="68"/>
      <c r="BV16" s="68">
        <f t="shared" si="43"/>
        <v>-13.517111878657687</v>
      </c>
      <c r="BW16" s="68">
        <f>'RD T1'!E218</f>
        <v>22.973852845792461</v>
      </c>
      <c r="BX16" s="68">
        <f t="shared" si="44"/>
        <v>9.456740967134774</v>
      </c>
      <c r="BZ16" t="str">
        <f t="shared" si="45"/>
        <v>33 Protective service occupations</v>
      </c>
      <c r="CA16" s="68">
        <v>45.817250057157082</v>
      </c>
      <c r="CB16" s="68">
        <v>44.497409655278695</v>
      </c>
      <c r="CC16" s="68">
        <v>44.709830997588298</v>
      </c>
      <c r="CD16" s="68">
        <v>48.681941494392227</v>
      </c>
      <c r="CE16" s="68">
        <v>36.940589375716144</v>
      </c>
      <c r="CF16" s="68"/>
      <c r="CG16" s="68">
        <f t="shared" si="46"/>
        <v>-7.7692416218721547</v>
      </c>
      <c r="CH16" s="68">
        <f>'RD T1'!E247</f>
        <v>15.498443791105133</v>
      </c>
      <c r="CI16" s="68">
        <f t="shared" si="47"/>
        <v>7.7292021692329786</v>
      </c>
      <c r="CK16" t="str">
        <f t="shared" si="48"/>
        <v>33 Protective service occupations</v>
      </c>
      <c r="CL16" s="68">
        <v>8.5117465929475618</v>
      </c>
      <c r="CM16" s="68">
        <v>7.2947264570912331</v>
      </c>
      <c r="CN16" s="68">
        <v>6.8665563791098965</v>
      </c>
      <c r="CO16" s="68">
        <v>5.7881432567232682</v>
      </c>
      <c r="CP16" s="68">
        <v>5.2863524382172633</v>
      </c>
      <c r="CQ16" s="68"/>
      <c r="CR16" s="68">
        <f t="shared" si="49"/>
        <v>-1.5802039408926332</v>
      </c>
      <c r="CS16" s="68">
        <f>'RD T1'!E276</f>
        <v>1.3067051090598121</v>
      </c>
      <c r="CT16" s="68">
        <f t="shared" si="50"/>
        <v>-0.27349883183282109</v>
      </c>
    </row>
    <row r="17" spans="1:98" x14ac:dyDescent="0.3">
      <c r="A17" s="10" t="str">
        <f>name!D13</f>
        <v>34 Culture, media and sports occupations</v>
      </c>
      <c r="B17" s="68">
        <v>6.5655182126906135</v>
      </c>
      <c r="C17" s="68">
        <v>9.2886910628455901</v>
      </c>
      <c r="D17" s="68">
        <v>9.7965159369052692</v>
      </c>
      <c r="E17" s="68">
        <v>11.819774556351389</v>
      </c>
      <c r="F17" s="68">
        <v>16.410655466485583</v>
      </c>
      <c r="G17" s="11"/>
      <c r="H17" s="68">
        <f t="shared" si="51"/>
        <v>6.6141395295803136</v>
      </c>
      <c r="I17" s="68">
        <f>'RD T1'!E45</f>
        <v>7.0578361128035567</v>
      </c>
      <c r="J17" s="68">
        <f t="shared" si="26"/>
        <v>13.67197564238387</v>
      </c>
      <c r="L17" t="str">
        <f t="shared" si="27"/>
        <v>34 Culture, media and sports occupations</v>
      </c>
      <c r="M17" s="68">
        <v>119.41679393793653</v>
      </c>
      <c r="N17" s="68">
        <v>145.62930706762231</v>
      </c>
      <c r="O17" s="68">
        <v>167.55468927034528</v>
      </c>
      <c r="P17" s="68">
        <v>205.92668718654826</v>
      </c>
      <c r="Q17" s="68">
        <v>289.45374804447374</v>
      </c>
      <c r="R17" s="11"/>
      <c r="S17" s="68">
        <f t="shared" si="28"/>
        <v>121.89905877412846</v>
      </c>
      <c r="T17" s="68">
        <f>'RD T1'!E74</f>
        <v>116.39034654956848</v>
      </c>
      <c r="U17" s="68">
        <f t="shared" si="29"/>
        <v>238.28940532369694</v>
      </c>
      <c r="W17" t="str">
        <f t="shared" si="30"/>
        <v>34 Culture, media and sports occupations</v>
      </c>
      <c r="X17" s="68">
        <v>274.38591336690041</v>
      </c>
      <c r="Y17" s="68">
        <v>275.4349529678102</v>
      </c>
      <c r="Z17" s="68">
        <v>294.92961311730181</v>
      </c>
      <c r="AA17" s="68">
        <v>287.23282832617383</v>
      </c>
      <c r="AB17" s="68">
        <v>302.31424565979398</v>
      </c>
      <c r="AC17" s="68"/>
      <c r="AD17" s="68">
        <f t="shared" si="31"/>
        <v>7.3846325424921702</v>
      </c>
      <c r="AE17" s="68">
        <f>'RD T1'!E103</f>
        <v>142.58507188706196</v>
      </c>
      <c r="AF17" s="68">
        <f t="shared" si="32"/>
        <v>149.96970442955413</v>
      </c>
      <c r="AH17" t="str">
        <f t="shared" si="33"/>
        <v>34 Culture, media and sports occupations</v>
      </c>
      <c r="AI17" s="68">
        <v>35.189886079753784</v>
      </c>
      <c r="AJ17" s="68">
        <v>35.38938295731819</v>
      </c>
      <c r="AK17" s="68">
        <v>41.520445045370721</v>
      </c>
      <c r="AL17" s="68">
        <v>40.600993576322431</v>
      </c>
      <c r="AM17" s="68">
        <v>49.423535662346197</v>
      </c>
      <c r="AN17" s="68"/>
      <c r="AO17" s="68">
        <f t="shared" si="34"/>
        <v>7.9030906169754758</v>
      </c>
      <c r="AP17" s="68">
        <f>'RD T1'!E132</f>
        <v>21.225594729717503</v>
      </c>
      <c r="AQ17" s="68">
        <f t="shared" si="35"/>
        <v>29.128685346692979</v>
      </c>
      <c r="AS17" t="str">
        <f t="shared" si="36"/>
        <v>34 Culture, media and sports occupations</v>
      </c>
      <c r="AT17" s="68">
        <v>43.866642044168493</v>
      </c>
      <c r="AU17" s="68">
        <v>41.536089312402332</v>
      </c>
      <c r="AV17" s="68">
        <v>43.944924844073213</v>
      </c>
      <c r="AW17" s="68">
        <v>39.553837663601627</v>
      </c>
      <c r="AX17" s="68">
        <v>39.343477010461257</v>
      </c>
      <c r="AY17" s="68"/>
      <c r="AZ17" s="68">
        <f t="shared" si="37"/>
        <v>-4.6014478336119566</v>
      </c>
      <c r="BA17" s="68">
        <f>'RD T1'!E161</f>
        <v>18.712638906933158</v>
      </c>
      <c r="BB17" s="68">
        <f t="shared" si="38"/>
        <v>14.111191073321201</v>
      </c>
      <c r="BD17" t="str">
        <f t="shared" si="39"/>
        <v>34 Culture, media and sports occupations</v>
      </c>
      <c r="BE17" s="68">
        <v>98.420152399915992</v>
      </c>
      <c r="BF17" s="68">
        <v>93.782692740708413</v>
      </c>
      <c r="BG17" s="68">
        <v>97.111336990024967</v>
      </c>
      <c r="BH17" s="68">
        <v>84.10004891973287</v>
      </c>
      <c r="BI17" s="68">
        <v>80.718461131293552</v>
      </c>
      <c r="BJ17" s="68"/>
      <c r="BK17" s="68">
        <f t="shared" si="40"/>
        <v>-16.392875858731415</v>
      </c>
      <c r="BL17" s="68">
        <f>'RD T1'!E190</f>
        <v>31.563997141512449</v>
      </c>
      <c r="BM17" s="68">
        <f t="shared" si="41"/>
        <v>15.171121282781034</v>
      </c>
      <c r="BO17" t="str">
        <f t="shared" si="42"/>
        <v>34 Culture, media and sports occupations</v>
      </c>
      <c r="BP17" s="68">
        <v>54.891211680889363</v>
      </c>
      <c r="BQ17" s="68">
        <v>47.995257154157002</v>
      </c>
      <c r="BR17" s="68">
        <v>44.516962261696804</v>
      </c>
      <c r="BS17" s="68">
        <v>33.453647167707807</v>
      </c>
      <c r="BT17" s="68">
        <v>19.849799337936261</v>
      </c>
      <c r="BU17" s="68"/>
      <c r="BV17" s="68">
        <f t="shared" si="43"/>
        <v>-24.667162923760543</v>
      </c>
      <c r="BW17" s="68">
        <f>'RD T1'!E219</f>
        <v>10.8456922878293</v>
      </c>
      <c r="BX17" s="68">
        <f t="shared" si="44"/>
        <v>-13.821470635931243</v>
      </c>
      <c r="BZ17" t="str">
        <f t="shared" si="45"/>
        <v>34 Culture, media and sports occupations</v>
      </c>
      <c r="CA17" s="68">
        <v>44.455407423964999</v>
      </c>
      <c r="CB17" s="68">
        <v>41.340012768139339</v>
      </c>
      <c r="CC17" s="68">
        <v>39.055880832125581</v>
      </c>
      <c r="CD17" s="68">
        <v>31.707115212969679</v>
      </c>
      <c r="CE17" s="68">
        <v>20.475950246266894</v>
      </c>
      <c r="CF17" s="68"/>
      <c r="CG17" s="68">
        <f t="shared" si="46"/>
        <v>-18.579930585858687</v>
      </c>
      <c r="CH17" s="68">
        <f>'RD T1'!E248</f>
        <v>10.086230439144709</v>
      </c>
      <c r="CI17" s="68">
        <f t="shared" si="47"/>
        <v>-8.4937001467139783</v>
      </c>
      <c r="CK17" t="str">
        <f t="shared" si="48"/>
        <v>34 Culture, media and sports occupations</v>
      </c>
      <c r="CL17" s="68">
        <v>13.802456084631958</v>
      </c>
      <c r="CM17" s="68">
        <v>15.891341348963504</v>
      </c>
      <c r="CN17" s="68">
        <v>14.266652012506963</v>
      </c>
      <c r="CO17" s="68">
        <v>13.666816632187329</v>
      </c>
      <c r="CP17" s="68">
        <v>13.247788798091577</v>
      </c>
      <c r="CQ17" s="68"/>
      <c r="CR17" s="68">
        <f t="shared" si="49"/>
        <v>-1.0188632144153864</v>
      </c>
      <c r="CS17" s="68">
        <f>'RD T1'!E277</f>
        <v>4.654335127964627</v>
      </c>
      <c r="CT17" s="68">
        <f t="shared" si="50"/>
        <v>3.6354719135492406</v>
      </c>
    </row>
    <row r="18" spans="1:98" x14ac:dyDescent="0.3">
      <c r="A18" s="10" t="str">
        <f>name!D14</f>
        <v>35 Business and public service associate professionals</v>
      </c>
      <c r="B18" s="68">
        <v>24.865593173305136</v>
      </c>
      <c r="C18" s="68">
        <v>32.556310323610568</v>
      </c>
      <c r="D18" s="68">
        <v>34.152557477952243</v>
      </c>
      <c r="E18" s="68">
        <v>43.759457866782341</v>
      </c>
      <c r="F18" s="68">
        <v>65.62671968480916</v>
      </c>
      <c r="G18" s="11"/>
      <c r="H18" s="68">
        <f t="shared" si="51"/>
        <v>31.474162206856917</v>
      </c>
      <c r="I18" s="68">
        <f>'RD T1'!E46</f>
        <v>23.757322128252895</v>
      </c>
      <c r="J18" s="68">
        <f t="shared" si="26"/>
        <v>55.231484335109812</v>
      </c>
      <c r="L18" t="str">
        <f t="shared" si="27"/>
        <v>35 Business and public service associate professionals</v>
      </c>
      <c r="M18" s="68">
        <v>262.34239186721157</v>
      </c>
      <c r="N18" s="68">
        <v>343.47966914933107</v>
      </c>
      <c r="O18" s="68">
        <v>359.13874718595901</v>
      </c>
      <c r="P18" s="68">
        <v>439.07475859226042</v>
      </c>
      <c r="Q18" s="68">
        <v>605.20500280542012</v>
      </c>
      <c r="R18" s="11"/>
      <c r="S18" s="68">
        <f t="shared" si="28"/>
        <v>246.06625561946112</v>
      </c>
      <c r="T18" s="68">
        <f>'RD T1'!E75</f>
        <v>238.08909403267793</v>
      </c>
      <c r="U18" s="68">
        <f t="shared" si="29"/>
        <v>484.15534965213908</v>
      </c>
      <c r="W18" t="str">
        <f t="shared" si="30"/>
        <v>35 Business and public service associate professionals</v>
      </c>
      <c r="X18" s="68">
        <v>577.84060976479918</v>
      </c>
      <c r="Y18" s="68">
        <v>616.20819995471447</v>
      </c>
      <c r="Z18" s="68">
        <v>638.23425057316183</v>
      </c>
      <c r="AA18" s="68">
        <v>617.93885411235806</v>
      </c>
      <c r="AB18" s="68">
        <v>637.10357289245746</v>
      </c>
      <c r="AC18" s="68"/>
      <c r="AD18" s="68">
        <f t="shared" si="31"/>
        <v>-1.1306776807043661</v>
      </c>
      <c r="AE18" s="68">
        <f>'RD T1'!E104</f>
        <v>318.16548596158037</v>
      </c>
      <c r="AF18" s="68">
        <f t="shared" si="32"/>
        <v>317.03480828087601</v>
      </c>
      <c r="AH18" t="str">
        <f t="shared" si="33"/>
        <v>35 Business and public service associate professionals</v>
      </c>
      <c r="AI18" s="68">
        <v>148.03029897706332</v>
      </c>
      <c r="AJ18" s="68">
        <v>157.07130948099561</v>
      </c>
      <c r="AK18" s="68">
        <v>173.02372673756076</v>
      </c>
      <c r="AL18" s="68">
        <v>168.6933915114453</v>
      </c>
      <c r="AM18" s="68">
        <v>183.59484647947809</v>
      </c>
      <c r="AN18" s="68"/>
      <c r="AO18" s="68">
        <f t="shared" si="34"/>
        <v>10.571119741917329</v>
      </c>
      <c r="AP18" s="68">
        <f>'RD T1'!E133</f>
        <v>84.967587257859066</v>
      </c>
      <c r="AQ18" s="68">
        <f t="shared" si="35"/>
        <v>95.538706999776394</v>
      </c>
      <c r="AS18" t="str">
        <f t="shared" si="36"/>
        <v>35 Business and public service associate professionals</v>
      </c>
      <c r="AT18" s="68">
        <v>134.85263272228423</v>
      </c>
      <c r="AU18" s="68">
        <v>140.80270356226126</v>
      </c>
      <c r="AV18" s="68">
        <v>150.8955035688771</v>
      </c>
      <c r="AW18" s="68">
        <v>144.08313978787172</v>
      </c>
      <c r="AX18" s="68">
        <v>153.7131026755961</v>
      </c>
      <c r="AY18" s="68"/>
      <c r="AZ18" s="68">
        <f t="shared" si="37"/>
        <v>2.8175991067190012</v>
      </c>
      <c r="BA18" s="68">
        <f>'RD T1'!E162</f>
        <v>70.837460991339142</v>
      </c>
      <c r="BB18" s="68">
        <f t="shared" si="38"/>
        <v>73.655060098058144</v>
      </c>
      <c r="BD18" t="str">
        <f t="shared" si="39"/>
        <v>35 Business and public service associate professionals</v>
      </c>
      <c r="BE18" s="68">
        <v>355.28864237304055</v>
      </c>
      <c r="BF18" s="68">
        <v>367.58511823871879</v>
      </c>
      <c r="BG18" s="68">
        <v>385.07591821267147</v>
      </c>
      <c r="BH18" s="68">
        <v>338.95695826769162</v>
      </c>
      <c r="BI18" s="68">
        <v>314.89271619194915</v>
      </c>
      <c r="BJ18" s="68"/>
      <c r="BK18" s="68">
        <f t="shared" si="40"/>
        <v>-70.18320202072232</v>
      </c>
      <c r="BL18" s="68">
        <f>'RD T1'!E191</f>
        <v>140.64518860560779</v>
      </c>
      <c r="BM18" s="68">
        <f t="shared" si="41"/>
        <v>70.461986584885466</v>
      </c>
      <c r="BO18" t="str">
        <f t="shared" si="42"/>
        <v>35 Business and public service associate professionals</v>
      </c>
      <c r="BP18" s="68">
        <v>297.97486790125691</v>
      </c>
      <c r="BQ18" s="68">
        <v>300.32823157586199</v>
      </c>
      <c r="BR18" s="68">
        <v>297.14599551779679</v>
      </c>
      <c r="BS18" s="68">
        <v>249.75106538375496</v>
      </c>
      <c r="BT18" s="68">
        <v>193.29384335643269</v>
      </c>
      <c r="BU18" s="68"/>
      <c r="BV18" s="68">
        <f t="shared" si="43"/>
        <v>-103.8521521613641</v>
      </c>
      <c r="BW18" s="68">
        <f>'RD T1'!E220</f>
        <v>92.115690550370203</v>
      </c>
      <c r="BX18" s="68">
        <f t="shared" si="44"/>
        <v>-11.736461610993899</v>
      </c>
      <c r="BZ18" t="str">
        <f t="shared" si="45"/>
        <v>35 Business and public service associate professionals</v>
      </c>
      <c r="CA18" s="68">
        <v>184.28744528962764</v>
      </c>
      <c r="CB18" s="68">
        <v>182.58002604543734</v>
      </c>
      <c r="CC18" s="68">
        <v>175.0410589962629</v>
      </c>
      <c r="CD18" s="68">
        <v>141.56736549305828</v>
      </c>
      <c r="CE18" s="68">
        <v>86.855661538382009</v>
      </c>
      <c r="CF18" s="68"/>
      <c r="CG18" s="68">
        <f t="shared" si="46"/>
        <v>-88.185397457880896</v>
      </c>
      <c r="CH18" s="68">
        <f>'RD T1'!E249</f>
        <v>44.176988369402721</v>
      </c>
      <c r="CI18" s="68">
        <f t="shared" si="47"/>
        <v>-44.008409088478174</v>
      </c>
      <c r="CK18" t="str">
        <f t="shared" si="48"/>
        <v>35 Business and public service associate professionals</v>
      </c>
      <c r="CL18" s="68">
        <v>41.564586634036573</v>
      </c>
      <c r="CM18" s="68">
        <v>44.345191877621851</v>
      </c>
      <c r="CN18" s="68">
        <v>41.059779643016689</v>
      </c>
      <c r="CO18" s="68">
        <v>35.309559488215946</v>
      </c>
      <c r="CP18" s="68">
        <v>39.874705264993764</v>
      </c>
      <c r="CQ18" s="68"/>
      <c r="CR18" s="68">
        <f t="shared" si="49"/>
        <v>-1.1850743780229251</v>
      </c>
      <c r="CS18" s="68">
        <f>'RD T1'!E278</f>
        <v>12.211609737840302</v>
      </c>
      <c r="CT18" s="68">
        <f t="shared" si="50"/>
        <v>11.026535359817377</v>
      </c>
    </row>
    <row r="19" spans="1:98" x14ac:dyDescent="0.3">
      <c r="A19" s="10" t="str">
        <f>name!D15</f>
        <v>41 Administrative occupations</v>
      </c>
      <c r="B19" s="68">
        <v>14.816480725606722</v>
      </c>
      <c r="C19" s="68">
        <v>18.241424313023465</v>
      </c>
      <c r="D19" s="68">
        <v>19.803716360512809</v>
      </c>
      <c r="E19" s="68">
        <v>25.128278024636209</v>
      </c>
      <c r="F19" s="68">
        <v>38.452461414345919</v>
      </c>
      <c r="G19" s="11"/>
      <c r="H19" s="68">
        <f t="shared" si="51"/>
        <v>18.64874505383311</v>
      </c>
      <c r="I19" s="68">
        <f>'RD T1'!E47</f>
        <v>15.090423388775239</v>
      </c>
      <c r="J19" s="68">
        <f t="shared" si="26"/>
        <v>33.739168442608346</v>
      </c>
      <c r="L19" t="str">
        <f t="shared" si="27"/>
        <v>41 Administrative occupations</v>
      </c>
      <c r="M19" s="68">
        <v>165.37882408497259</v>
      </c>
      <c r="N19" s="68">
        <v>207.57714670391238</v>
      </c>
      <c r="O19" s="68">
        <v>224.76092300841069</v>
      </c>
      <c r="P19" s="68">
        <v>278.706150290594</v>
      </c>
      <c r="Q19" s="68">
        <v>398.90808470322833</v>
      </c>
      <c r="R19" s="11"/>
      <c r="S19" s="68">
        <f t="shared" si="28"/>
        <v>174.14716169481764</v>
      </c>
      <c r="T19" s="68">
        <f>'RD T1'!E76</f>
        <v>166.73891259673761</v>
      </c>
      <c r="U19" s="68">
        <f t="shared" si="29"/>
        <v>340.88607429155525</v>
      </c>
      <c r="W19" t="str">
        <f t="shared" si="30"/>
        <v>41 Administrative occupations</v>
      </c>
      <c r="X19" s="68">
        <v>583.09175904317306</v>
      </c>
      <c r="Y19" s="68">
        <v>604.57461191918253</v>
      </c>
      <c r="Z19" s="68">
        <v>661.60941774988532</v>
      </c>
      <c r="AA19" s="68">
        <v>685.76834012416646</v>
      </c>
      <c r="AB19" s="68">
        <v>784.23969372282704</v>
      </c>
      <c r="AC19" s="68"/>
      <c r="AD19" s="68">
        <f t="shared" si="31"/>
        <v>122.63027597294172</v>
      </c>
      <c r="AE19" s="68">
        <f>'RD T1'!E105</f>
        <v>396.57237884129245</v>
      </c>
      <c r="AF19" s="68">
        <f t="shared" si="32"/>
        <v>519.20265481423417</v>
      </c>
      <c r="AH19" t="str">
        <f t="shared" si="33"/>
        <v>41 Administrative occupations</v>
      </c>
      <c r="AI19" s="68">
        <v>203.57041332054465</v>
      </c>
      <c r="AJ19" s="68">
        <v>213.54121376539993</v>
      </c>
      <c r="AK19" s="68">
        <v>234.78926862149743</v>
      </c>
      <c r="AL19" s="68">
        <v>237.01093814058314</v>
      </c>
      <c r="AM19" s="68">
        <v>266.27356474849779</v>
      </c>
      <c r="AN19" s="68"/>
      <c r="AO19" s="68">
        <f t="shared" si="34"/>
        <v>31.484296127000363</v>
      </c>
      <c r="AP19" s="68">
        <f>'RD T1'!E134</f>
        <v>144.32922239994079</v>
      </c>
      <c r="AQ19" s="68">
        <f t="shared" si="35"/>
        <v>175.81351852694115</v>
      </c>
      <c r="AS19" t="str">
        <f t="shared" si="36"/>
        <v>41 Administrative occupations</v>
      </c>
      <c r="AT19" s="68">
        <v>197.9204641868713</v>
      </c>
      <c r="AU19" s="68">
        <v>203.33958368348675</v>
      </c>
      <c r="AV19" s="68">
        <v>223.87796310261598</v>
      </c>
      <c r="AW19" s="68">
        <v>219.87471086070255</v>
      </c>
      <c r="AX19" s="68">
        <v>247.36387282098613</v>
      </c>
      <c r="AY19" s="68"/>
      <c r="AZ19" s="68">
        <f t="shared" si="37"/>
        <v>23.485909718370152</v>
      </c>
      <c r="BA19" s="68">
        <f>'RD T1'!E163</f>
        <v>126.17418410452014</v>
      </c>
      <c r="BB19" s="68">
        <f t="shared" si="38"/>
        <v>149.6600938228903</v>
      </c>
      <c r="BD19" t="str">
        <f t="shared" si="39"/>
        <v>41 Administrative occupations</v>
      </c>
      <c r="BE19" s="68">
        <v>610.7625428214202</v>
      </c>
      <c r="BF19" s="68">
        <v>598.94203687865684</v>
      </c>
      <c r="BG19" s="68">
        <v>631.24736003065959</v>
      </c>
      <c r="BH19" s="68">
        <v>551.80380252443467</v>
      </c>
      <c r="BI19" s="68">
        <v>450.13716147211949</v>
      </c>
      <c r="BJ19" s="68"/>
      <c r="BK19" s="68">
        <f t="shared" si="40"/>
        <v>-181.11019855854011</v>
      </c>
      <c r="BL19" s="68">
        <f>'RD T1'!E192</f>
        <v>244.22905276819165</v>
      </c>
      <c r="BM19" s="68">
        <f t="shared" si="41"/>
        <v>63.118854209651545</v>
      </c>
      <c r="BO19" t="str">
        <f t="shared" si="42"/>
        <v>41 Administrative occupations</v>
      </c>
      <c r="BP19" s="68">
        <v>716.15791519870186</v>
      </c>
      <c r="BQ19" s="68">
        <v>662.42319897019036</v>
      </c>
      <c r="BR19" s="68">
        <v>666.75065850594444</v>
      </c>
      <c r="BS19" s="68">
        <v>546.45715631445762</v>
      </c>
      <c r="BT19" s="68">
        <v>363.70515106407976</v>
      </c>
      <c r="BU19" s="68"/>
      <c r="BV19" s="68">
        <f t="shared" si="43"/>
        <v>-303.04550744186469</v>
      </c>
      <c r="BW19" s="68">
        <f>'RD T1'!E221</f>
        <v>211.65806744884398</v>
      </c>
      <c r="BX19" s="68">
        <f t="shared" si="44"/>
        <v>-91.387439993020706</v>
      </c>
      <c r="BZ19" t="str">
        <f t="shared" si="45"/>
        <v>41 Administrative occupations</v>
      </c>
      <c r="CA19" s="68">
        <v>390.19070607266764</v>
      </c>
      <c r="CB19" s="68">
        <v>336.21999786107432</v>
      </c>
      <c r="CC19" s="68">
        <v>315.71861880024454</v>
      </c>
      <c r="CD19" s="68">
        <v>212.52490814503221</v>
      </c>
      <c r="CE19" s="68">
        <v>78.12796093638886</v>
      </c>
      <c r="CF19" s="68"/>
      <c r="CG19" s="68">
        <f t="shared" si="46"/>
        <v>-237.59065786385568</v>
      </c>
      <c r="CH19" s="68">
        <f>'RD T1'!E250</f>
        <v>64.072635362304254</v>
      </c>
      <c r="CI19" s="68">
        <f t="shared" si="47"/>
        <v>-173.51802250155143</v>
      </c>
      <c r="CK19" t="str">
        <f t="shared" si="48"/>
        <v>41 Administrative occupations</v>
      </c>
      <c r="CL19" s="68">
        <v>101.40839119637162</v>
      </c>
      <c r="CM19" s="68">
        <v>91.29701187171527</v>
      </c>
      <c r="CN19" s="68">
        <v>87.287085840792969</v>
      </c>
      <c r="CO19" s="68">
        <v>69.006120550591845</v>
      </c>
      <c r="CP19" s="68">
        <v>57.300210115315366</v>
      </c>
      <c r="CQ19" s="68"/>
      <c r="CR19" s="68">
        <f t="shared" si="49"/>
        <v>-29.986875725477603</v>
      </c>
      <c r="CS19" s="68">
        <f>'RD T1'!E279</f>
        <v>20.984227270738479</v>
      </c>
      <c r="CT19" s="68">
        <f t="shared" si="50"/>
        <v>-9.0026484547391235</v>
      </c>
    </row>
    <row r="20" spans="1:98" x14ac:dyDescent="0.3">
      <c r="A20" s="10" t="str">
        <f>name!D16</f>
        <v>42 Secretarial and related occupations</v>
      </c>
      <c r="B20" s="68">
        <v>1.3542092004061448</v>
      </c>
      <c r="C20" s="68">
        <v>1.7791671322785869</v>
      </c>
      <c r="D20" s="68">
        <v>1.7400567491387777</v>
      </c>
      <c r="E20" s="68">
        <v>2.8861398856198668</v>
      </c>
      <c r="F20" s="68">
        <v>5.5267221372308466</v>
      </c>
      <c r="G20" s="11"/>
      <c r="H20" s="68">
        <f t="shared" si="51"/>
        <v>3.7866653880920689</v>
      </c>
      <c r="I20" s="68">
        <f>'RD T1'!E48</f>
        <v>2.3137325364456398</v>
      </c>
      <c r="J20" s="68">
        <f t="shared" si="26"/>
        <v>6.1003979245377087</v>
      </c>
      <c r="L20" t="str">
        <f t="shared" si="27"/>
        <v>42 Secretarial and related occupations</v>
      </c>
      <c r="M20" s="68">
        <v>29.254534370077984</v>
      </c>
      <c r="N20" s="68">
        <v>34.486560650379452</v>
      </c>
      <c r="O20" s="68">
        <v>35.613587975417126</v>
      </c>
      <c r="P20" s="68">
        <v>57.40891231911651</v>
      </c>
      <c r="Q20" s="68">
        <v>77.325455216801828</v>
      </c>
      <c r="R20" s="11"/>
      <c r="S20" s="68">
        <f t="shared" si="28"/>
        <v>41.711867241384702</v>
      </c>
      <c r="T20" s="68">
        <f>'RD T1'!E77</f>
        <v>35.701606712266134</v>
      </c>
      <c r="U20" s="68">
        <f t="shared" si="29"/>
        <v>77.413473953650836</v>
      </c>
      <c r="W20" t="str">
        <f t="shared" si="30"/>
        <v>42 Secretarial and related occupations</v>
      </c>
      <c r="X20" s="68">
        <v>107.59256342206631</v>
      </c>
      <c r="Y20" s="68">
        <v>108.98183561202872</v>
      </c>
      <c r="Z20" s="68">
        <v>113.86086717845488</v>
      </c>
      <c r="AA20" s="68">
        <v>163.23946685784716</v>
      </c>
      <c r="AB20" s="68">
        <v>224.16633868602136</v>
      </c>
      <c r="AC20" s="68"/>
      <c r="AD20" s="68">
        <f t="shared" si="31"/>
        <v>110.30547150756648</v>
      </c>
      <c r="AE20" s="68">
        <f>'RD T1'!E106</f>
        <v>109.44529091247684</v>
      </c>
      <c r="AF20" s="68">
        <f t="shared" si="32"/>
        <v>219.75076242004332</v>
      </c>
      <c r="AH20" t="str">
        <f t="shared" si="33"/>
        <v>42 Secretarial and related occupations</v>
      </c>
      <c r="AI20" s="68">
        <v>50.004627088418395</v>
      </c>
      <c r="AJ20" s="68">
        <v>49.253042100701151</v>
      </c>
      <c r="AK20" s="68">
        <v>53.850500394951304</v>
      </c>
      <c r="AL20" s="68">
        <v>70.786530555607868</v>
      </c>
      <c r="AM20" s="68">
        <v>79.046997400035181</v>
      </c>
      <c r="AN20" s="68"/>
      <c r="AO20" s="68">
        <f t="shared" si="34"/>
        <v>25.196497005083877</v>
      </c>
      <c r="AP20" s="68">
        <f>'RD T1'!E135</f>
        <v>43.226797116012122</v>
      </c>
      <c r="AQ20" s="68">
        <f t="shared" si="35"/>
        <v>68.423294121096006</v>
      </c>
      <c r="AS20" t="str">
        <f t="shared" si="36"/>
        <v>42 Secretarial and related occupations</v>
      </c>
      <c r="AT20" s="68">
        <v>39.373811317297402</v>
      </c>
      <c r="AU20" s="68">
        <v>36.979420939426277</v>
      </c>
      <c r="AV20" s="68">
        <v>39.81905363504417</v>
      </c>
      <c r="AW20" s="68">
        <v>48.641134209091611</v>
      </c>
      <c r="AX20" s="68">
        <v>47.652300117580161</v>
      </c>
      <c r="AY20" s="68"/>
      <c r="AZ20" s="68">
        <f t="shared" si="37"/>
        <v>7.8332464825359907</v>
      </c>
      <c r="BA20" s="68">
        <f>'RD T1'!E164</f>
        <v>26.884840894517048</v>
      </c>
      <c r="BB20" s="68">
        <f t="shared" si="38"/>
        <v>34.718087377053038</v>
      </c>
      <c r="BD20" t="str">
        <f t="shared" si="39"/>
        <v>42 Secretarial and related occupations</v>
      </c>
      <c r="BE20" s="68">
        <v>139.04790111433721</v>
      </c>
      <c r="BF20" s="68">
        <v>127.14193308004549</v>
      </c>
      <c r="BG20" s="68">
        <v>126.59107156399101</v>
      </c>
      <c r="BH20" s="68">
        <v>136.23554697362906</v>
      </c>
      <c r="BI20" s="68">
        <v>53.15740925014169</v>
      </c>
      <c r="BJ20" s="68"/>
      <c r="BK20" s="68">
        <f t="shared" si="40"/>
        <v>-73.433662313849311</v>
      </c>
      <c r="BL20" s="68">
        <f>'RD T1'!E193</f>
        <v>51.176003328916913</v>
      </c>
      <c r="BM20" s="68">
        <f t="shared" si="41"/>
        <v>-22.257658984932398</v>
      </c>
      <c r="BO20" t="str">
        <f t="shared" si="42"/>
        <v>42 Secretarial and related occupations</v>
      </c>
      <c r="BP20" s="68">
        <v>186.01493295481797</v>
      </c>
      <c r="BQ20" s="68">
        <v>151.16651928195196</v>
      </c>
      <c r="BR20" s="68">
        <v>140.72583909365238</v>
      </c>
      <c r="BS20" s="68">
        <v>113.44166002633273</v>
      </c>
      <c r="BT20" s="68">
        <v>30.333315298205704</v>
      </c>
      <c r="BU20" s="68"/>
      <c r="BV20" s="68">
        <f t="shared" si="43"/>
        <v>-110.39252379544668</v>
      </c>
      <c r="BW20" s="68">
        <f>'RD T1'!E222</f>
        <v>39.301982528386006</v>
      </c>
      <c r="BX20" s="68">
        <f t="shared" si="44"/>
        <v>-71.090541267060672</v>
      </c>
      <c r="BZ20" t="str">
        <f t="shared" si="45"/>
        <v>42 Secretarial and related occupations</v>
      </c>
      <c r="CA20" s="68">
        <v>160.6462777816073</v>
      </c>
      <c r="CB20" s="68">
        <v>142.39327960729588</v>
      </c>
      <c r="CC20" s="68">
        <v>126.90681639093997</v>
      </c>
      <c r="CD20" s="68">
        <v>75.442201701296597</v>
      </c>
      <c r="CE20" s="68">
        <v>17.21154132350086</v>
      </c>
      <c r="CF20" s="68"/>
      <c r="CG20" s="68">
        <f t="shared" si="46"/>
        <v>-109.6952750674391</v>
      </c>
      <c r="CH20" s="68">
        <f>'RD T1'!E251</f>
        <v>25.582393549452583</v>
      </c>
      <c r="CI20" s="68">
        <f t="shared" si="47"/>
        <v>-84.112881517986523</v>
      </c>
      <c r="CK20" t="str">
        <f t="shared" si="48"/>
        <v>42 Secretarial and related occupations</v>
      </c>
      <c r="CL20" s="68">
        <v>39.026226573999054</v>
      </c>
      <c r="CM20" s="68">
        <v>39.186574304627214</v>
      </c>
      <c r="CN20" s="68">
        <v>36.790482455309359</v>
      </c>
      <c r="CO20" s="68">
        <v>39.320194803520231</v>
      </c>
      <c r="CP20" s="68">
        <v>36.034574994899472</v>
      </c>
      <c r="CQ20" s="68"/>
      <c r="CR20" s="68">
        <f t="shared" si="49"/>
        <v>-0.75590746040988677</v>
      </c>
      <c r="CS20" s="68">
        <f>'RD T1'!E280</f>
        <v>15.260968905506294</v>
      </c>
      <c r="CT20" s="68">
        <f t="shared" si="50"/>
        <v>14.505061445096407</v>
      </c>
    </row>
    <row r="21" spans="1:98" x14ac:dyDescent="0.3">
      <c r="A21" s="10" t="str">
        <f>name!D17</f>
        <v>51 Skilled agricultural and related trades</v>
      </c>
      <c r="B21" s="68">
        <v>0.91481576080324045</v>
      </c>
      <c r="C21" s="68">
        <v>1.2366349208605785</v>
      </c>
      <c r="D21" s="68">
        <v>1.4884123598329198</v>
      </c>
      <c r="E21" s="68">
        <v>1.9023643843292288</v>
      </c>
      <c r="F21" s="68">
        <v>3.0278051385825373</v>
      </c>
      <c r="G21" s="11"/>
      <c r="H21" s="68">
        <f t="shared" si="51"/>
        <v>1.5393927787496176</v>
      </c>
      <c r="I21" s="68">
        <f>'RD T1'!E49</f>
        <v>1.4692168422848524</v>
      </c>
      <c r="J21" s="68">
        <f t="shared" si="26"/>
        <v>3.0086096210344699</v>
      </c>
      <c r="L21" t="str">
        <f t="shared" si="27"/>
        <v>51 Skilled agricultural and related trades</v>
      </c>
      <c r="M21" s="68">
        <v>6.2828156066536591</v>
      </c>
      <c r="N21" s="68">
        <v>7.3988151017851242</v>
      </c>
      <c r="O21" s="68">
        <v>6.77100633343733</v>
      </c>
      <c r="P21" s="68">
        <v>8.0966145912202574</v>
      </c>
      <c r="Q21" s="68">
        <v>12.350112828698588</v>
      </c>
      <c r="R21" s="11"/>
      <c r="S21" s="68">
        <f t="shared" si="28"/>
        <v>5.5791064952612581</v>
      </c>
      <c r="T21" s="68">
        <f>'RD T1'!E78</f>
        <v>5.3607152492672343</v>
      </c>
      <c r="U21" s="68">
        <f t="shared" si="29"/>
        <v>10.939821744528492</v>
      </c>
      <c r="W21" t="str">
        <f t="shared" si="30"/>
        <v>51 Skilled agricultural and related trades</v>
      </c>
      <c r="X21" s="68">
        <v>50.287473197350167</v>
      </c>
      <c r="Y21" s="68">
        <v>53.079927605332593</v>
      </c>
      <c r="Z21" s="68">
        <v>56.769285395540216</v>
      </c>
      <c r="AA21" s="68">
        <v>66.503654240824474</v>
      </c>
      <c r="AB21" s="68">
        <v>93.854061649497766</v>
      </c>
      <c r="AC21" s="68"/>
      <c r="AD21" s="68">
        <f t="shared" si="31"/>
        <v>37.08477625395755</v>
      </c>
      <c r="AE21" s="68">
        <f>'RD T1'!E107</f>
        <v>49.433306698516063</v>
      </c>
      <c r="AF21" s="68">
        <f t="shared" si="32"/>
        <v>86.518082952473605</v>
      </c>
      <c r="AH21" t="str">
        <f t="shared" si="33"/>
        <v>51 Skilled agricultural and related trades</v>
      </c>
      <c r="AI21" s="68">
        <v>23.2114539589993</v>
      </c>
      <c r="AJ21" s="68">
        <v>25.879792005478908</v>
      </c>
      <c r="AK21" s="68">
        <v>24.755749151580648</v>
      </c>
      <c r="AL21" s="68">
        <v>29.316789161098896</v>
      </c>
      <c r="AM21" s="68">
        <v>39.627094775778225</v>
      </c>
      <c r="AN21" s="68"/>
      <c r="AO21" s="68">
        <f t="shared" si="34"/>
        <v>14.871345624197577</v>
      </c>
      <c r="AP21" s="68">
        <f>'RD T1'!E136</f>
        <v>22.71209985941714</v>
      </c>
      <c r="AQ21" s="68">
        <f t="shared" si="35"/>
        <v>37.583445483614717</v>
      </c>
      <c r="AS21" t="str">
        <f t="shared" si="36"/>
        <v>51 Skilled agricultural and related trades</v>
      </c>
      <c r="AT21" s="68">
        <v>34.977825851714712</v>
      </c>
      <c r="AU21" s="68">
        <v>37.836624575232051</v>
      </c>
      <c r="AV21" s="68">
        <v>36.523093651073005</v>
      </c>
      <c r="AW21" s="68">
        <v>41.419785042149769</v>
      </c>
      <c r="AX21" s="68">
        <v>57.098997164560075</v>
      </c>
      <c r="AY21" s="68"/>
      <c r="AZ21" s="68">
        <f t="shared" si="37"/>
        <v>20.57590351348707</v>
      </c>
      <c r="BA21" s="68">
        <f>'RD T1'!E165</f>
        <v>28.884625898320834</v>
      </c>
      <c r="BB21" s="68">
        <f t="shared" si="38"/>
        <v>49.460529411807904</v>
      </c>
      <c r="BD21" t="str">
        <f t="shared" si="39"/>
        <v>51 Skilled agricultural and related trades</v>
      </c>
      <c r="BE21" s="68">
        <v>61.540970403788577</v>
      </c>
      <c r="BF21" s="68">
        <v>61.524225701515455</v>
      </c>
      <c r="BG21" s="68">
        <v>54.914722462399567</v>
      </c>
      <c r="BH21" s="68">
        <v>52.91275880709982</v>
      </c>
      <c r="BI21" s="68">
        <v>52.294916573186981</v>
      </c>
      <c r="BJ21" s="68"/>
      <c r="BK21" s="68">
        <f t="shared" si="40"/>
        <v>-2.6198058892125857</v>
      </c>
      <c r="BL21" s="68">
        <f>'RD T1'!E194</f>
        <v>27.014204113405402</v>
      </c>
      <c r="BM21" s="68">
        <f t="shared" si="41"/>
        <v>24.394398224192816</v>
      </c>
      <c r="BO21" t="str">
        <f t="shared" si="42"/>
        <v>51 Skilled agricultural and related trades</v>
      </c>
      <c r="BP21" s="68">
        <v>94.520272219925587</v>
      </c>
      <c r="BQ21" s="68">
        <v>94.668120441064403</v>
      </c>
      <c r="BR21" s="68">
        <v>83.126834163824014</v>
      </c>
      <c r="BS21" s="68">
        <v>79.846832293534334</v>
      </c>
      <c r="BT21" s="68">
        <v>76.425618986209813</v>
      </c>
      <c r="BU21" s="68"/>
      <c r="BV21" s="68">
        <f t="shared" si="43"/>
        <v>-6.7012151776142019</v>
      </c>
      <c r="BW21" s="68">
        <f>'RD T1'!E223</f>
        <v>41.963562351497742</v>
      </c>
      <c r="BX21" s="68">
        <f t="shared" si="44"/>
        <v>35.262347173883541</v>
      </c>
      <c r="BZ21" t="str">
        <f t="shared" si="45"/>
        <v>51 Skilled agricultural and related trades</v>
      </c>
      <c r="CA21" s="68">
        <v>74.960036728465525</v>
      </c>
      <c r="CB21" s="68">
        <v>70.096676712595993</v>
      </c>
      <c r="CC21" s="68">
        <v>64.216283725149282</v>
      </c>
      <c r="CD21" s="68">
        <v>60.959016899060273</v>
      </c>
      <c r="CE21" s="68">
        <v>64.778375510827104</v>
      </c>
      <c r="CF21" s="68"/>
      <c r="CG21" s="68">
        <f t="shared" si="46"/>
        <v>0.56209178567782203</v>
      </c>
      <c r="CH21" s="68">
        <f>'RD T1'!E252</f>
        <v>28.543247392924908</v>
      </c>
      <c r="CI21" s="68">
        <f t="shared" si="47"/>
        <v>29.10533917860273</v>
      </c>
      <c r="CK21" t="str">
        <f t="shared" si="48"/>
        <v>51 Skilled agricultural and related trades</v>
      </c>
      <c r="CL21" s="68">
        <v>58.059804731589168</v>
      </c>
      <c r="CM21" s="68">
        <v>56.744703464384003</v>
      </c>
      <c r="CN21" s="68">
        <v>47.904867903668112</v>
      </c>
      <c r="CO21" s="68">
        <v>45.265224092872316</v>
      </c>
      <c r="CP21" s="68">
        <v>24.03563332833895</v>
      </c>
      <c r="CQ21" s="68"/>
      <c r="CR21" s="68">
        <f t="shared" si="49"/>
        <v>-23.869234575329163</v>
      </c>
      <c r="CS21" s="68">
        <f>'RD T1'!E281</f>
        <v>13.429987749846413</v>
      </c>
      <c r="CT21" s="68">
        <f t="shared" si="50"/>
        <v>-10.43924682548275</v>
      </c>
    </row>
    <row r="22" spans="1:98" x14ac:dyDescent="0.3">
      <c r="A22" s="10" t="str">
        <f>name!D18</f>
        <v>52 Skilled metal, electrical and electronic trades</v>
      </c>
      <c r="B22" s="68">
        <v>1.2220194712264356</v>
      </c>
      <c r="C22" s="68">
        <v>1.5147281941130835</v>
      </c>
      <c r="D22" s="68">
        <v>1.5801811397518566</v>
      </c>
      <c r="E22" s="68">
        <v>2.0350572829672737</v>
      </c>
      <c r="F22" s="68">
        <v>3.2783996505061124</v>
      </c>
      <c r="G22" s="11"/>
      <c r="H22" s="68">
        <f t="shared" si="51"/>
        <v>1.6982185107542558</v>
      </c>
      <c r="I22" s="68">
        <f>'RD T1'!E50</f>
        <v>1.0820833438833009</v>
      </c>
      <c r="J22" s="68">
        <f t="shared" si="26"/>
        <v>2.7803018546375569</v>
      </c>
      <c r="L22" t="str">
        <f t="shared" si="27"/>
        <v>52 Skilled metal, electrical and electronic trades</v>
      </c>
      <c r="M22" s="68">
        <v>22.201581235250771</v>
      </c>
      <c r="N22" s="68">
        <v>29.398420821499791</v>
      </c>
      <c r="O22" s="68">
        <v>25.462108374536054</v>
      </c>
      <c r="P22" s="68">
        <v>40.551593989663331</v>
      </c>
      <c r="Q22" s="68">
        <v>67.587894717620983</v>
      </c>
      <c r="R22" s="11"/>
      <c r="S22" s="68">
        <f t="shared" si="28"/>
        <v>42.125786343084926</v>
      </c>
      <c r="T22" s="68">
        <f>'RD T1'!E79</f>
        <v>23.226633756798595</v>
      </c>
      <c r="U22" s="68">
        <f t="shared" si="29"/>
        <v>65.352420099883517</v>
      </c>
      <c r="W22" t="str">
        <f t="shared" si="30"/>
        <v>52 Skilled metal, electrical and electronic trades</v>
      </c>
      <c r="X22" s="68">
        <v>70.623701818750291</v>
      </c>
      <c r="Y22" s="68">
        <v>76.331652850499481</v>
      </c>
      <c r="Z22" s="68">
        <v>65.692866033071439</v>
      </c>
      <c r="AA22" s="68">
        <v>81.714526620006126</v>
      </c>
      <c r="AB22" s="68">
        <v>104.58472847519586</v>
      </c>
      <c r="AC22" s="68"/>
      <c r="AD22" s="68">
        <f t="shared" si="31"/>
        <v>38.89186244212442</v>
      </c>
      <c r="AE22" s="68">
        <f>'RD T1'!E108</f>
        <v>43.390938839510284</v>
      </c>
      <c r="AF22" s="68">
        <f t="shared" si="32"/>
        <v>82.282801281634704</v>
      </c>
      <c r="AH22" t="str">
        <f t="shared" si="33"/>
        <v>52 Skilled metal, electrical and electronic trades</v>
      </c>
      <c r="AI22" s="68">
        <v>25.482430601160349</v>
      </c>
      <c r="AJ22" s="68">
        <v>26.736632168789864</v>
      </c>
      <c r="AK22" s="68">
        <v>24.563235430286749</v>
      </c>
      <c r="AL22" s="68">
        <v>27.218481693716747</v>
      </c>
      <c r="AM22" s="68">
        <v>34.964396767322853</v>
      </c>
      <c r="AN22" s="68"/>
      <c r="AO22" s="68">
        <f t="shared" si="34"/>
        <v>10.401161337036104</v>
      </c>
      <c r="AP22" s="68">
        <f>'RD T1'!E137</f>
        <v>13.528413634118547</v>
      </c>
      <c r="AQ22" s="68">
        <f t="shared" si="35"/>
        <v>23.929574971154651</v>
      </c>
      <c r="AS22" t="str">
        <f t="shared" si="36"/>
        <v>52 Skilled metal, electrical and electronic trades</v>
      </c>
      <c r="AT22" s="68">
        <v>103.08442402057216</v>
      </c>
      <c r="AU22" s="68">
        <v>104.96911945949674</v>
      </c>
      <c r="AV22" s="68">
        <v>96.000830028150475</v>
      </c>
      <c r="AW22" s="68">
        <v>104.5649822962895</v>
      </c>
      <c r="AX22" s="68">
        <v>127.44906014663545</v>
      </c>
      <c r="AY22" s="68"/>
      <c r="AZ22" s="68">
        <f t="shared" si="37"/>
        <v>31.448230118484972</v>
      </c>
      <c r="BA22" s="68">
        <f>'RD T1'!E166</f>
        <v>50.08344102010912</v>
      </c>
      <c r="BB22" s="68">
        <f t="shared" si="38"/>
        <v>81.531671138594092</v>
      </c>
      <c r="BD22" t="str">
        <f t="shared" si="39"/>
        <v>52 Skilled metal, electrical and electronic trades</v>
      </c>
      <c r="BE22" s="68">
        <v>504.40037412387869</v>
      </c>
      <c r="BF22" s="68">
        <v>515.06775630252878</v>
      </c>
      <c r="BG22" s="68">
        <v>455.51296583001016</v>
      </c>
      <c r="BH22" s="68">
        <v>439.20400316260668</v>
      </c>
      <c r="BI22" s="68">
        <v>401.77320435381222</v>
      </c>
      <c r="BJ22" s="68"/>
      <c r="BK22" s="68">
        <f t="shared" si="40"/>
        <v>-53.739761476197941</v>
      </c>
      <c r="BL22" s="68">
        <f>'RD T1'!E195</f>
        <v>147.21238642477047</v>
      </c>
      <c r="BM22" s="68">
        <f t="shared" si="41"/>
        <v>93.47262494857253</v>
      </c>
      <c r="BO22" t="str">
        <f t="shared" si="42"/>
        <v>52 Skilled metal, electrical and electronic trades</v>
      </c>
      <c r="BP22" s="68">
        <v>300.24389669452302</v>
      </c>
      <c r="BQ22" s="68">
        <v>299.7249327761325</v>
      </c>
      <c r="BR22" s="68">
        <v>261.16143278544183</v>
      </c>
      <c r="BS22" s="68">
        <v>237.10428065539929</v>
      </c>
      <c r="BT22" s="68">
        <v>192.81148865232365</v>
      </c>
      <c r="BU22" s="68"/>
      <c r="BV22" s="68">
        <f t="shared" si="43"/>
        <v>-68.349944133118186</v>
      </c>
      <c r="BW22" s="68">
        <f>'RD T1'!E224</f>
        <v>81.917736224362358</v>
      </c>
      <c r="BX22" s="68">
        <f t="shared" si="44"/>
        <v>13.567792091244172</v>
      </c>
      <c r="BZ22" t="str">
        <f t="shared" si="45"/>
        <v>52 Skilled metal, electrical and electronic trades</v>
      </c>
      <c r="CA22" s="68">
        <v>153.65071439708282</v>
      </c>
      <c r="CB22" s="68">
        <v>145.1184413483397</v>
      </c>
      <c r="CC22" s="68">
        <v>121.95932290551265</v>
      </c>
      <c r="CD22" s="68">
        <v>112.53241966641113</v>
      </c>
      <c r="CE22" s="68">
        <v>64.954496558827543</v>
      </c>
      <c r="CF22" s="68"/>
      <c r="CG22" s="68">
        <f t="shared" si="46"/>
        <v>-57.004826346685107</v>
      </c>
      <c r="CH22" s="68">
        <f>'RD T1'!E253</f>
        <v>35.007907526331302</v>
      </c>
      <c r="CI22" s="68">
        <f t="shared" si="47"/>
        <v>-21.996918820353805</v>
      </c>
      <c r="CK22" t="str">
        <f t="shared" si="48"/>
        <v>52 Skilled metal, electrical and electronic trades</v>
      </c>
      <c r="CL22" s="68">
        <v>62.094615391233546</v>
      </c>
      <c r="CM22" s="68">
        <v>63.481084290225937</v>
      </c>
      <c r="CN22" s="68">
        <v>50.044415724353144</v>
      </c>
      <c r="CO22" s="68">
        <v>46.10523343829734</v>
      </c>
      <c r="CP22" s="68">
        <v>32.758724860771366</v>
      </c>
      <c r="CQ22" s="68"/>
      <c r="CR22" s="68">
        <f t="shared" si="49"/>
        <v>-17.285690863581777</v>
      </c>
      <c r="CS22" s="68">
        <f>'RD T1'!E282</f>
        <v>14.221965327539223</v>
      </c>
      <c r="CT22" s="68">
        <f t="shared" si="50"/>
        <v>-3.0637255360425542</v>
      </c>
    </row>
    <row r="23" spans="1:98" x14ac:dyDescent="0.3">
      <c r="A23" s="10" t="str">
        <f>name!D19</f>
        <v>53 Skilled construction and building trades</v>
      </c>
      <c r="B23" s="68">
        <v>0.62433612560040963</v>
      </c>
      <c r="C23" s="68">
        <v>0.50102636369863018</v>
      </c>
      <c r="D23" s="68">
        <v>0.36989494069787932</v>
      </c>
      <c r="E23" s="68">
        <v>0.66041933705358558</v>
      </c>
      <c r="F23" s="68">
        <v>0.85758074961115771</v>
      </c>
      <c r="G23" s="11"/>
      <c r="H23" s="68">
        <f t="shared" si="51"/>
        <v>0.4876858089132784</v>
      </c>
      <c r="I23" s="68">
        <f>'RD T1'!E51</f>
        <v>0.31562653514643779</v>
      </c>
      <c r="J23" s="68">
        <f t="shared" si="26"/>
        <v>0.80331234405971619</v>
      </c>
      <c r="L23" t="str">
        <f t="shared" si="27"/>
        <v>53 Skilled construction and building trades</v>
      </c>
      <c r="M23" s="68">
        <v>11.608360512013492</v>
      </c>
      <c r="N23" s="68">
        <v>13.836056120355288</v>
      </c>
      <c r="O23" s="68">
        <v>11.566133826631905</v>
      </c>
      <c r="P23" s="68">
        <v>17.266808712110826</v>
      </c>
      <c r="Q23" s="68">
        <v>27.544947032391367</v>
      </c>
      <c r="R23" s="11"/>
      <c r="S23" s="68">
        <f t="shared" si="28"/>
        <v>15.978813205759462</v>
      </c>
      <c r="T23" s="68">
        <f>'RD T1'!E80</f>
        <v>10.153767401807766</v>
      </c>
      <c r="U23" s="68">
        <f t="shared" si="29"/>
        <v>26.132580607567228</v>
      </c>
      <c r="W23" t="str">
        <f t="shared" si="30"/>
        <v>53 Skilled construction and building trades</v>
      </c>
      <c r="X23" s="68">
        <v>41.196361370427226</v>
      </c>
      <c r="Y23" s="68">
        <v>40.259309025866003</v>
      </c>
      <c r="Z23" s="68">
        <v>34.993452712279513</v>
      </c>
      <c r="AA23" s="68">
        <v>44.436976969257849</v>
      </c>
      <c r="AB23" s="68">
        <v>53.422446018604866</v>
      </c>
      <c r="AC23" s="68"/>
      <c r="AD23" s="68">
        <f t="shared" si="31"/>
        <v>18.428993306325353</v>
      </c>
      <c r="AE23" s="68">
        <f>'RD T1'!E109</f>
        <v>24.62095991787232</v>
      </c>
      <c r="AF23" s="68">
        <f t="shared" si="32"/>
        <v>43.049953224197672</v>
      </c>
      <c r="AH23" t="str">
        <f t="shared" si="33"/>
        <v>53 Skilled construction and building trades</v>
      </c>
      <c r="AI23" s="68">
        <v>24.779215086375654</v>
      </c>
      <c r="AJ23" s="68">
        <v>27.108722273026068</v>
      </c>
      <c r="AK23" s="68">
        <v>23.6933972913153</v>
      </c>
      <c r="AL23" s="68">
        <v>29.331254905029056</v>
      </c>
      <c r="AM23" s="68">
        <v>36.218766749521521</v>
      </c>
      <c r="AN23" s="68"/>
      <c r="AO23" s="68">
        <f t="shared" si="34"/>
        <v>12.525369458206221</v>
      </c>
      <c r="AP23" s="68">
        <f>'RD T1'!E138</f>
        <v>17.510959245082841</v>
      </c>
      <c r="AQ23" s="68">
        <f t="shared" si="35"/>
        <v>30.036328703289062</v>
      </c>
      <c r="AS23" t="str">
        <f t="shared" si="36"/>
        <v>53 Skilled construction and building trades</v>
      </c>
      <c r="AT23" s="68">
        <v>38.528179296849878</v>
      </c>
      <c r="AU23" s="68">
        <v>37.992441848760762</v>
      </c>
      <c r="AV23" s="68">
        <v>34.022522976831048</v>
      </c>
      <c r="AW23" s="68">
        <v>43.829348300096079</v>
      </c>
      <c r="AX23" s="68">
        <v>51.440589915805269</v>
      </c>
      <c r="AY23" s="68"/>
      <c r="AZ23" s="68">
        <f t="shared" si="37"/>
        <v>17.418066938974221</v>
      </c>
      <c r="BA23" s="68">
        <f>'RD T1'!E167</f>
        <v>25.194303548951297</v>
      </c>
      <c r="BB23" s="68">
        <f t="shared" si="38"/>
        <v>42.612370487925517</v>
      </c>
      <c r="BD23" t="str">
        <f t="shared" si="39"/>
        <v>53 Skilled construction and building trades</v>
      </c>
      <c r="BE23" s="68">
        <v>374.78574235369831</v>
      </c>
      <c r="BF23" s="68">
        <v>359.58001501290846</v>
      </c>
      <c r="BG23" s="68">
        <v>307.28729715413556</v>
      </c>
      <c r="BH23" s="68">
        <v>306.99506992733228</v>
      </c>
      <c r="BI23" s="68">
        <v>269.99563139447753</v>
      </c>
      <c r="BJ23" s="68"/>
      <c r="BK23" s="68">
        <f t="shared" si="40"/>
        <v>-37.291665759658031</v>
      </c>
      <c r="BL23" s="68">
        <f>'RD T1'!E196</f>
        <v>110.09588351339828</v>
      </c>
      <c r="BM23" s="68">
        <f t="shared" si="41"/>
        <v>72.804217753740247</v>
      </c>
      <c r="BO23" t="str">
        <f t="shared" si="42"/>
        <v>53 Skilled construction and building trades</v>
      </c>
      <c r="BP23" s="68">
        <v>322.28185364434131</v>
      </c>
      <c r="BQ23" s="68">
        <v>340.52419406833417</v>
      </c>
      <c r="BR23" s="68">
        <v>288.22181670821118</v>
      </c>
      <c r="BS23" s="68">
        <v>312.31742763043712</v>
      </c>
      <c r="BT23" s="68">
        <v>306.55420753890178</v>
      </c>
      <c r="BU23" s="68"/>
      <c r="BV23" s="68">
        <f t="shared" si="43"/>
        <v>18.332390830690599</v>
      </c>
      <c r="BW23" s="68">
        <f>'RD T1'!E225</f>
        <v>135.42023529461051</v>
      </c>
      <c r="BX23" s="68">
        <f t="shared" si="44"/>
        <v>153.75262612530111</v>
      </c>
      <c r="BZ23" t="str">
        <f t="shared" si="45"/>
        <v>53 Skilled construction and building trades</v>
      </c>
      <c r="CA23" s="68">
        <v>171.51191002672246</v>
      </c>
      <c r="CB23" s="68">
        <v>163.02782938287507</v>
      </c>
      <c r="CC23" s="68">
        <v>134.3542801704605</v>
      </c>
      <c r="CD23" s="68">
        <v>139.97174678630685</v>
      </c>
      <c r="CE23" s="68">
        <v>127.51180289444085</v>
      </c>
      <c r="CF23" s="68"/>
      <c r="CG23" s="68">
        <f t="shared" si="46"/>
        <v>-6.8424772760196504</v>
      </c>
      <c r="CH23" s="68">
        <f>'RD T1'!E254</f>
        <v>52.86577673996284</v>
      </c>
      <c r="CI23" s="68">
        <f t="shared" si="47"/>
        <v>46.023299463943189</v>
      </c>
      <c r="CK23" t="str">
        <f t="shared" si="48"/>
        <v>53 Skilled construction and building trades</v>
      </c>
      <c r="CL23" s="68">
        <v>100.48702094520694</v>
      </c>
      <c r="CM23" s="68">
        <v>91.492201203842114</v>
      </c>
      <c r="CN23" s="68">
        <v>68.099903955622565</v>
      </c>
      <c r="CO23" s="68">
        <v>51.84609016713204</v>
      </c>
      <c r="CP23" s="68">
        <v>15.245263481004041</v>
      </c>
      <c r="CQ23" s="68"/>
      <c r="CR23" s="68">
        <f t="shared" si="49"/>
        <v>-52.85464047461852</v>
      </c>
      <c r="CS23" s="68">
        <f>'RD T1'!E283</f>
        <v>11.508285713056146</v>
      </c>
      <c r="CT23" s="68">
        <f t="shared" si="50"/>
        <v>-41.346354761562374</v>
      </c>
    </row>
    <row r="24" spans="1:98" x14ac:dyDescent="0.3">
      <c r="A24" s="10" t="str">
        <f>name!D20</f>
        <v>54 Textiles, printing and other skilled trades</v>
      </c>
      <c r="B24" s="68">
        <v>2.3956360789394435</v>
      </c>
      <c r="C24" s="68">
        <v>2.5760545577976579</v>
      </c>
      <c r="D24" s="68">
        <v>2.5618010542108673</v>
      </c>
      <c r="E24" s="68">
        <v>3.571801327618811</v>
      </c>
      <c r="F24" s="68">
        <v>5.3807144310097614</v>
      </c>
      <c r="G24" s="11"/>
      <c r="H24" s="68">
        <f t="shared" si="51"/>
        <v>2.8189133767988941</v>
      </c>
      <c r="I24" s="68">
        <f>'RD T1'!E52</f>
        <v>2.0550411849047716</v>
      </c>
      <c r="J24" s="68">
        <f t="shared" si="26"/>
        <v>4.8739545617036661</v>
      </c>
      <c r="L24" t="str">
        <f t="shared" si="27"/>
        <v>54 Textiles, printing and other skilled trades</v>
      </c>
      <c r="M24" s="68">
        <v>20.428159221601156</v>
      </c>
      <c r="N24" s="68">
        <v>25.186021810877417</v>
      </c>
      <c r="O24" s="68">
        <v>25.975102973323708</v>
      </c>
      <c r="P24" s="68">
        <v>36.898921415360526</v>
      </c>
      <c r="Q24" s="68">
        <v>62.517303717033258</v>
      </c>
      <c r="R24" s="11"/>
      <c r="S24" s="68">
        <f t="shared" si="28"/>
        <v>36.54220074370955</v>
      </c>
      <c r="T24" s="68">
        <f>'RD T1'!E81</f>
        <v>23.728915219962214</v>
      </c>
      <c r="U24" s="68">
        <f t="shared" si="29"/>
        <v>60.271115963671761</v>
      </c>
      <c r="W24" t="str">
        <f t="shared" si="30"/>
        <v>54 Textiles, printing and other skilled trades</v>
      </c>
      <c r="X24" s="68">
        <v>63.150514524298096</v>
      </c>
      <c r="Y24" s="68">
        <v>63.385320532659009</v>
      </c>
      <c r="Z24" s="68">
        <v>62.173549543316327</v>
      </c>
      <c r="AA24" s="68">
        <v>75.905235378701036</v>
      </c>
      <c r="AB24" s="68">
        <v>98.173053772974129</v>
      </c>
      <c r="AC24" s="68"/>
      <c r="AD24" s="68">
        <f t="shared" si="31"/>
        <v>35.999504229657802</v>
      </c>
      <c r="AE24" s="68">
        <f>'RD T1'!E110</f>
        <v>45.209399406913171</v>
      </c>
      <c r="AF24" s="68">
        <f t="shared" si="32"/>
        <v>81.208903636570966</v>
      </c>
      <c r="AH24" t="str">
        <f t="shared" si="33"/>
        <v>54 Textiles, printing and other skilled trades</v>
      </c>
      <c r="AI24" s="68">
        <v>24.14692272103381</v>
      </c>
      <c r="AJ24" s="68">
        <v>22.999200792292275</v>
      </c>
      <c r="AK24" s="68">
        <v>24.133652889262311</v>
      </c>
      <c r="AL24" s="68">
        <v>25.874940266632226</v>
      </c>
      <c r="AM24" s="68">
        <v>31.88746139046226</v>
      </c>
      <c r="AN24" s="68"/>
      <c r="AO24" s="68">
        <f t="shared" si="34"/>
        <v>7.7538085011999485</v>
      </c>
      <c r="AP24" s="68">
        <f>'RD T1'!E139</f>
        <v>15.495530705398577</v>
      </c>
      <c r="AQ24" s="68">
        <f t="shared" si="35"/>
        <v>23.249339206598528</v>
      </c>
      <c r="AS24" t="str">
        <f t="shared" si="36"/>
        <v>54 Textiles, printing and other skilled trades</v>
      </c>
      <c r="AT24" s="68">
        <v>28.9694357877861</v>
      </c>
      <c r="AU24" s="68">
        <v>27.723884315135084</v>
      </c>
      <c r="AV24" s="68">
        <v>27.912249990147107</v>
      </c>
      <c r="AW24" s="68">
        <v>32.379647610607343</v>
      </c>
      <c r="AX24" s="68">
        <v>39.437639578436297</v>
      </c>
      <c r="AY24" s="68"/>
      <c r="AZ24" s="68">
        <f t="shared" si="37"/>
        <v>11.52538958828919</v>
      </c>
      <c r="BA24" s="68">
        <f>'RD T1'!E168</f>
        <v>18.364486512148481</v>
      </c>
      <c r="BB24" s="68">
        <f t="shared" si="38"/>
        <v>29.889876100437672</v>
      </c>
      <c r="BD24" t="str">
        <f t="shared" si="39"/>
        <v>54 Textiles, printing and other skilled trades</v>
      </c>
      <c r="BE24" s="68">
        <v>180.25650055218119</v>
      </c>
      <c r="BF24" s="68">
        <v>170.29043465887372</v>
      </c>
      <c r="BG24" s="68">
        <v>158.24189560615918</v>
      </c>
      <c r="BH24" s="68">
        <v>166.32317141776338</v>
      </c>
      <c r="BI24" s="68">
        <v>166.39754241966955</v>
      </c>
      <c r="BJ24" s="68"/>
      <c r="BK24" s="68">
        <f t="shared" si="40"/>
        <v>8.1556468135103728</v>
      </c>
      <c r="BL24" s="68">
        <f>'RD T1'!E197</f>
        <v>67.136531662570974</v>
      </c>
      <c r="BM24" s="68">
        <f t="shared" si="41"/>
        <v>75.292178476081347</v>
      </c>
      <c r="BO24" t="str">
        <f t="shared" si="42"/>
        <v>54 Textiles, printing and other skilled trades</v>
      </c>
      <c r="BP24" s="68">
        <v>192.59211570004317</v>
      </c>
      <c r="BQ24" s="68">
        <v>162.79252804730783</v>
      </c>
      <c r="BR24" s="68">
        <v>153.74958919618791</v>
      </c>
      <c r="BS24" s="68">
        <v>132.33219967165414</v>
      </c>
      <c r="BT24" s="68">
        <v>111.67401458780267</v>
      </c>
      <c r="BU24" s="68"/>
      <c r="BV24" s="68">
        <f t="shared" si="43"/>
        <v>-42.075574608385239</v>
      </c>
      <c r="BW24" s="68">
        <f>'RD T1'!E226</f>
        <v>49.202659459103891</v>
      </c>
      <c r="BX24" s="68">
        <f t="shared" si="44"/>
        <v>7.1270848507186528</v>
      </c>
      <c r="BZ24" t="str">
        <f t="shared" si="45"/>
        <v>54 Textiles, printing and other skilled trades</v>
      </c>
      <c r="CA24" s="68">
        <v>164.67196481763025</v>
      </c>
      <c r="CB24" s="68">
        <v>146.44983049244445</v>
      </c>
      <c r="CC24" s="68">
        <v>134.82055838004297</v>
      </c>
      <c r="CD24" s="68">
        <v>130.70224548484711</v>
      </c>
      <c r="CE24" s="68">
        <v>101.8655232038081</v>
      </c>
      <c r="CF24" s="68"/>
      <c r="CG24" s="68">
        <f t="shared" si="46"/>
        <v>-32.955035176234873</v>
      </c>
      <c r="CH24" s="68">
        <f>'RD T1'!E255</f>
        <v>43.285419590199979</v>
      </c>
      <c r="CI24" s="68">
        <f t="shared" si="47"/>
        <v>10.330384413965106</v>
      </c>
      <c r="CK24" t="str">
        <f t="shared" si="48"/>
        <v>54 Textiles, printing and other skilled trades</v>
      </c>
      <c r="CL24" s="68">
        <v>78.915514249381985</v>
      </c>
      <c r="CM24" s="68">
        <v>67.92318348320056</v>
      </c>
      <c r="CN24" s="68">
        <v>58.303554072035574</v>
      </c>
      <c r="CO24" s="68">
        <v>42.282660071652955</v>
      </c>
      <c r="CP24" s="68">
        <v>30.273357063983937</v>
      </c>
      <c r="CQ24" s="68"/>
      <c r="CR24" s="68">
        <f t="shared" si="49"/>
        <v>-28.030197008051637</v>
      </c>
      <c r="CS24" s="68">
        <f>'RD T1'!E284</f>
        <v>12.101168865120812</v>
      </c>
      <c r="CT24" s="68">
        <f t="shared" si="50"/>
        <v>-15.929028142930825</v>
      </c>
    </row>
    <row r="25" spans="1:98" x14ac:dyDescent="0.3">
      <c r="A25" s="10" t="str">
        <f>name!D21</f>
        <v>61 Caring personal service occupations</v>
      </c>
      <c r="B25" s="68">
        <v>1.8188110517810214</v>
      </c>
      <c r="C25" s="68">
        <v>2.2129207762544598</v>
      </c>
      <c r="D25" s="68">
        <v>2.2097514575264539</v>
      </c>
      <c r="E25" s="68">
        <v>3.3424371167793945</v>
      </c>
      <c r="F25" s="68">
        <v>5.5242187472689359</v>
      </c>
      <c r="G25" s="11"/>
      <c r="H25" s="68">
        <f t="shared" si="51"/>
        <v>3.3144672897424821</v>
      </c>
      <c r="I25" s="68">
        <f>'RD T1'!E53</f>
        <v>2.1560649935229153</v>
      </c>
      <c r="J25" s="68">
        <f t="shared" si="26"/>
        <v>5.4705322832653973</v>
      </c>
      <c r="L25" t="str">
        <f t="shared" si="27"/>
        <v>61 Caring personal service occupations</v>
      </c>
      <c r="M25" s="68">
        <v>82.203598021296159</v>
      </c>
      <c r="N25" s="68">
        <v>111.76537117388445</v>
      </c>
      <c r="O25" s="68">
        <v>111.49974031866401</v>
      </c>
      <c r="P25" s="68">
        <v>161.10970195069768</v>
      </c>
      <c r="Q25" s="68">
        <v>259.38518503454372</v>
      </c>
      <c r="R25" s="11"/>
      <c r="S25" s="68">
        <f t="shared" si="28"/>
        <v>147.88544471587971</v>
      </c>
      <c r="T25" s="68">
        <f>'RD T1'!E82</f>
        <v>110.34945791127396</v>
      </c>
      <c r="U25" s="68">
        <f t="shared" si="29"/>
        <v>258.2349026271537</v>
      </c>
      <c r="W25" t="str">
        <f t="shared" si="30"/>
        <v>61 Caring personal service occupations</v>
      </c>
      <c r="X25" s="68">
        <v>276.34943847477513</v>
      </c>
      <c r="Y25" s="68">
        <v>308.40983041585758</v>
      </c>
      <c r="Z25" s="68">
        <v>314.79044593100093</v>
      </c>
      <c r="AA25" s="68">
        <v>376.72294946614721</v>
      </c>
      <c r="AB25" s="68">
        <v>470.62569726862517</v>
      </c>
      <c r="AC25" s="68"/>
      <c r="AD25" s="68">
        <f t="shared" si="31"/>
        <v>155.83525133762424</v>
      </c>
      <c r="AE25" s="68">
        <f>'RD T1'!E111</f>
        <v>261.13313317674709</v>
      </c>
      <c r="AF25" s="68">
        <f t="shared" si="32"/>
        <v>416.96838451437134</v>
      </c>
      <c r="AH25" t="str">
        <f t="shared" si="33"/>
        <v>61 Caring personal service occupations</v>
      </c>
      <c r="AI25" s="68">
        <v>252.85259636876572</v>
      </c>
      <c r="AJ25" s="68">
        <v>248.89977307542947</v>
      </c>
      <c r="AK25" s="68">
        <v>254.33456576360231</v>
      </c>
      <c r="AL25" s="68">
        <v>270.46037847057573</v>
      </c>
      <c r="AM25" s="68">
        <v>288.99626804968818</v>
      </c>
      <c r="AN25" s="68"/>
      <c r="AO25" s="68">
        <f t="shared" si="34"/>
        <v>34.66170228608587</v>
      </c>
      <c r="AP25" s="68">
        <f>'RD T1'!E140</f>
        <v>162.13596935696916</v>
      </c>
      <c r="AQ25" s="68">
        <f t="shared" si="35"/>
        <v>196.79767164305503</v>
      </c>
      <c r="AS25" t="str">
        <f t="shared" si="36"/>
        <v>61 Caring personal service occupations</v>
      </c>
      <c r="AT25" s="68">
        <v>134.13026020750746</v>
      </c>
      <c r="AU25" s="68">
        <v>144.24358560113174</v>
      </c>
      <c r="AV25" s="68">
        <v>148.80865170172794</v>
      </c>
      <c r="AW25" s="68">
        <v>162.45742670668267</v>
      </c>
      <c r="AX25" s="68">
        <v>184.9974611962555</v>
      </c>
      <c r="AY25" s="68"/>
      <c r="AZ25" s="68">
        <f t="shared" si="37"/>
        <v>36.188809494527561</v>
      </c>
      <c r="BA25" s="68">
        <f>'RD T1'!E169</f>
        <v>101.65000029732497</v>
      </c>
      <c r="BB25" s="68">
        <f t="shared" si="38"/>
        <v>137.83880979185253</v>
      </c>
      <c r="BD25" t="str">
        <f t="shared" si="39"/>
        <v>61 Caring personal service occupations</v>
      </c>
      <c r="BE25" s="68">
        <v>768.91326758803552</v>
      </c>
      <c r="BF25" s="68">
        <v>851.11377025107925</v>
      </c>
      <c r="BG25" s="68">
        <v>841.74418338678629</v>
      </c>
      <c r="BH25" s="68">
        <v>940.52165838567907</v>
      </c>
      <c r="BI25" s="68">
        <v>1078.7589347620749</v>
      </c>
      <c r="BJ25" s="68"/>
      <c r="BK25" s="68">
        <f t="shared" si="40"/>
        <v>237.0147513752886</v>
      </c>
      <c r="BL25" s="68">
        <f>'RD T1'!E198</f>
        <v>543.8357619815489</v>
      </c>
      <c r="BM25" s="68">
        <f t="shared" si="41"/>
        <v>780.8505133568375</v>
      </c>
      <c r="BO25" t="str">
        <f t="shared" si="42"/>
        <v>61 Caring personal service occupations</v>
      </c>
      <c r="BP25" s="68">
        <v>641.88083690956012</v>
      </c>
      <c r="BQ25" s="68">
        <v>620.90166044465036</v>
      </c>
      <c r="BR25" s="68">
        <v>573.12976595102077</v>
      </c>
      <c r="BS25" s="68">
        <v>570.62888463081424</v>
      </c>
      <c r="BT25" s="68">
        <v>456.09331987574831</v>
      </c>
      <c r="BU25" s="68"/>
      <c r="BV25" s="68">
        <f t="shared" si="43"/>
        <v>-117.03644607527247</v>
      </c>
      <c r="BW25" s="68">
        <f>'RD T1'!E227</f>
        <v>262.25816125903259</v>
      </c>
      <c r="BX25" s="68">
        <f t="shared" si="44"/>
        <v>145.22171518376013</v>
      </c>
      <c r="BZ25" t="str">
        <f t="shared" si="45"/>
        <v>61 Caring personal service occupations</v>
      </c>
      <c r="CA25" s="68">
        <v>187.81714903863909</v>
      </c>
      <c r="CB25" s="68">
        <v>110.20091282267785</v>
      </c>
      <c r="CC25" s="68">
        <v>94.272349039190743</v>
      </c>
      <c r="CD25" s="68">
        <v>70.784629015933334</v>
      </c>
      <c r="CE25" s="68">
        <v>59.023395833360119</v>
      </c>
      <c r="CF25" s="68"/>
      <c r="CG25" s="68">
        <f t="shared" si="46"/>
        <v>-35.248953205830624</v>
      </c>
      <c r="CH25" s="68">
        <f>'RD T1'!E256</f>
        <v>22.434522864108974</v>
      </c>
      <c r="CI25" s="68">
        <f t="shared" si="47"/>
        <v>-12.81443034172165</v>
      </c>
      <c r="CK25" t="str">
        <f t="shared" si="48"/>
        <v>61 Caring personal service occupations</v>
      </c>
      <c r="CL25" s="68">
        <v>32.521444643636002</v>
      </c>
      <c r="CM25" s="68">
        <v>28.181222926851625</v>
      </c>
      <c r="CN25" s="68">
        <v>25.285961020129925</v>
      </c>
      <c r="CO25" s="68">
        <v>27.664686317094947</v>
      </c>
      <c r="CP25" s="68">
        <v>28.418725038236428</v>
      </c>
      <c r="CQ25" s="68"/>
      <c r="CR25" s="68">
        <f t="shared" si="49"/>
        <v>3.1327640181065028</v>
      </c>
      <c r="CS25" s="68">
        <f>'RD T1'!E285</f>
        <v>7.7922317201036382</v>
      </c>
      <c r="CT25" s="68">
        <f t="shared" si="50"/>
        <v>10.924995738210141</v>
      </c>
    </row>
    <row r="26" spans="1:98" x14ac:dyDescent="0.3">
      <c r="A26" s="10" t="str">
        <f>name!D22</f>
        <v>62 Leisure, travel and related personal service occupations</v>
      </c>
      <c r="B26" s="68">
        <v>0.83008787704332576</v>
      </c>
      <c r="C26" s="68">
        <v>1.2077277155180757</v>
      </c>
      <c r="D26" s="68">
        <v>1.2648086336716604</v>
      </c>
      <c r="E26" s="68">
        <v>1.7819790910439792</v>
      </c>
      <c r="F26" s="68">
        <v>2.9084544355308966</v>
      </c>
      <c r="G26" s="11"/>
      <c r="H26" s="68">
        <f t="shared" si="51"/>
        <v>1.6436458018592361</v>
      </c>
      <c r="I26" s="68">
        <f>'RD T1'!E54</f>
        <v>1.1540943940329922</v>
      </c>
      <c r="J26" s="68">
        <f t="shared" si="26"/>
        <v>2.7977401958922283</v>
      </c>
      <c r="L26" t="str">
        <f t="shared" si="27"/>
        <v>62 Leisure, travel and related personal service occupations</v>
      </c>
      <c r="M26" s="68">
        <v>15.828208952029918</v>
      </c>
      <c r="N26" s="68">
        <v>21.09791145760099</v>
      </c>
      <c r="O26" s="68">
        <v>19.060435242764736</v>
      </c>
      <c r="P26" s="68">
        <v>25.925027230702337</v>
      </c>
      <c r="Q26" s="68">
        <v>41.369618669244979</v>
      </c>
      <c r="R26" s="11"/>
      <c r="S26" s="68">
        <f t="shared" si="28"/>
        <v>22.309183426480242</v>
      </c>
      <c r="T26" s="68">
        <f>'RD T1'!E83</f>
        <v>16.832810454040533</v>
      </c>
      <c r="U26" s="68">
        <f t="shared" si="29"/>
        <v>39.141993880520772</v>
      </c>
      <c r="W26" t="str">
        <f t="shared" si="30"/>
        <v>62 Leisure, travel and related personal service occupations</v>
      </c>
      <c r="X26" s="68">
        <v>72.559104124242126</v>
      </c>
      <c r="Y26" s="68">
        <v>88.793496673776161</v>
      </c>
      <c r="Z26" s="68">
        <v>84.310464209281022</v>
      </c>
      <c r="AA26" s="68">
        <v>103.86126387512387</v>
      </c>
      <c r="AB26" s="68">
        <v>142.07396001167174</v>
      </c>
      <c r="AC26" s="68"/>
      <c r="AD26" s="68">
        <f t="shared" si="31"/>
        <v>57.763495802390722</v>
      </c>
      <c r="AE26" s="68">
        <f>'RD T1'!E112</f>
        <v>69.911648284494177</v>
      </c>
      <c r="AF26" s="68">
        <f t="shared" si="32"/>
        <v>127.6751440868849</v>
      </c>
      <c r="AH26" t="str">
        <f t="shared" si="33"/>
        <v>62 Leisure, travel and related personal service occupations</v>
      </c>
      <c r="AI26" s="68">
        <v>44.249796571444975</v>
      </c>
      <c r="AJ26" s="68">
        <v>54.410338110723309</v>
      </c>
      <c r="AK26" s="68">
        <v>52.511940412023229</v>
      </c>
      <c r="AL26" s="68">
        <v>60.307925966998951</v>
      </c>
      <c r="AM26" s="68">
        <v>81.19274159897445</v>
      </c>
      <c r="AN26" s="68"/>
      <c r="AO26" s="68">
        <f t="shared" si="34"/>
        <v>28.680801186951221</v>
      </c>
      <c r="AP26" s="68">
        <f>'RD T1'!E141</f>
        <v>41.307696546457841</v>
      </c>
      <c r="AQ26" s="68">
        <f t="shared" si="35"/>
        <v>69.988497733409062</v>
      </c>
      <c r="AS26" t="str">
        <f t="shared" si="36"/>
        <v>62 Leisure, travel and related personal service occupations</v>
      </c>
      <c r="AT26" s="68">
        <v>52.627255088660128</v>
      </c>
      <c r="AU26" s="68">
        <v>65.555421456655594</v>
      </c>
      <c r="AV26" s="68">
        <v>68.411709234274639</v>
      </c>
      <c r="AW26" s="68">
        <v>81.132082949565074</v>
      </c>
      <c r="AX26" s="68">
        <v>113.93337145346973</v>
      </c>
      <c r="AY26" s="68"/>
      <c r="AZ26" s="68">
        <f t="shared" si="37"/>
        <v>45.521662219195093</v>
      </c>
      <c r="BA26" s="68">
        <f>'RD T1'!E170</f>
        <v>56.311114796196946</v>
      </c>
      <c r="BB26" s="68">
        <f t="shared" si="38"/>
        <v>101.83277701539204</v>
      </c>
      <c r="BD26" t="str">
        <f t="shared" si="39"/>
        <v>62 Leisure, travel and related personal service occupations</v>
      </c>
      <c r="BE26" s="68">
        <v>184.24627230668074</v>
      </c>
      <c r="BF26" s="68">
        <v>193.11761387011171</v>
      </c>
      <c r="BG26" s="68">
        <v>177.47407626127284</v>
      </c>
      <c r="BH26" s="68">
        <v>172.0254297928434</v>
      </c>
      <c r="BI26" s="68">
        <v>159.41041876496561</v>
      </c>
      <c r="BJ26" s="68"/>
      <c r="BK26" s="68">
        <f t="shared" si="40"/>
        <v>-18.063657496307229</v>
      </c>
      <c r="BL26" s="68">
        <f>'RD T1'!E199</f>
        <v>75.836430942240241</v>
      </c>
      <c r="BM26" s="68">
        <f t="shared" si="41"/>
        <v>57.772773445933012</v>
      </c>
      <c r="BO26" t="str">
        <f t="shared" si="42"/>
        <v>62 Leisure, travel and related personal service occupations</v>
      </c>
      <c r="BP26" s="68">
        <v>191.7235232902884</v>
      </c>
      <c r="BQ26" s="68">
        <v>194.06218376319629</v>
      </c>
      <c r="BR26" s="68">
        <v>172.42305690095881</v>
      </c>
      <c r="BS26" s="68">
        <v>155.406464773913</v>
      </c>
      <c r="BT26" s="68">
        <v>120.37998625794948</v>
      </c>
      <c r="BU26" s="68"/>
      <c r="BV26" s="68">
        <f t="shared" si="43"/>
        <v>-52.04307064300933</v>
      </c>
      <c r="BW26" s="68">
        <f>'RD T1'!E228</f>
        <v>67.265220646497667</v>
      </c>
      <c r="BX26" s="68">
        <f t="shared" si="44"/>
        <v>15.222150003488338</v>
      </c>
      <c r="BZ26" t="str">
        <f t="shared" si="45"/>
        <v>62 Leisure, travel and related personal service occupations</v>
      </c>
      <c r="CA26" s="68">
        <v>120.61672305032847</v>
      </c>
      <c r="CB26" s="68">
        <v>127.77684312063582</v>
      </c>
      <c r="CC26" s="68">
        <v>112.57130260505053</v>
      </c>
      <c r="CD26" s="68">
        <v>109.04027040142529</v>
      </c>
      <c r="CE26" s="68">
        <v>83.495686742344958</v>
      </c>
      <c r="CF26" s="68"/>
      <c r="CG26" s="68">
        <f t="shared" si="46"/>
        <v>-29.075615862705575</v>
      </c>
      <c r="CH26" s="68">
        <f>'RD T1'!E257</f>
        <v>41.569074010047018</v>
      </c>
      <c r="CI26" s="68">
        <f t="shared" si="47"/>
        <v>12.493458147341443</v>
      </c>
      <c r="CK26" t="str">
        <f t="shared" si="48"/>
        <v>62 Leisure, travel and related personal service occupations</v>
      </c>
      <c r="CL26" s="68">
        <v>52.262138329077843</v>
      </c>
      <c r="CM26" s="68">
        <v>48.723235108145374</v>
      </c>
      <c r="CN26" s="68">
        <v>40.986745382030335</v>
      </c>
      <c r="CO26" s="68">
        <v>33.763431056972188</v>
      </c>
      <c r="CP26" s="68">
        <v>25.069013290355542</v>
      </c>
      <c r="CQ26" s="68"/>
      <c r="CR26" s="68">
        <f t="shared" si="49"/>
        <v>-15.917732091674793</v>
      </c>
      <c r="CS26" s="68">
        <f>'RD T1'!E286</f>
        <v>9.9761196356641388</v>
      </c>
      <c r="CT26" s="68">
        <f t="shared" si="50"/>
        <v>-5.9416124560106542</v>
      </c>
    </row>
    <row r="27" spans="1:98" x14ac:dyDescent="0.3">
      <c r="A27" s="10" t="str">
        <f>name!D23</f>
        <v>63 Community and civil enforcement occupations</v>
      </c>
      <c r="B27" s="68">
        <v>7.8647651266676638E-2</v>
      </c>
      <c r="C27" s="68">
        <v>8.8221127349722525E-2</v>
      </c>
      <c r="D27" s="68">
        <v>9.8106576752121352E-2</v>
      </c>
      <c r="E27" s="68">
        <v>0.12508363064812383</v>
      </c>
      <c r="F27" s="68">
        <v>0.19922387154842361</v>
      </c>
      <c r="G27" s="11"/>
      <c r="H27" s="68">
        <f t="shared" si="51"/>
        <v>0.10111729479630226</v>
      </c>
      <c r="I27" s="68">
        <f>'RD T1'!E55</f>
        <v>8.2266830048541392E-2</v>
      </c>
      <c r="J27" s="68">
        <f t="shared" si="26"/>
        <v>0.18338412484484365</v>
      </c>
      <c r="L27" t="str">
        <f t="shared" si="27"/>
        <v>63 Community and civil enforcement occupations</v>
      </c>
      <c r="M27" s="68">
        <v>1.3088123299239138</v>
      </c>
      <c r="N27" s="68">
        <v>1.3705948513955073</v>
      </c>
      <c r="O27" s="68">
        <v>1.8723386585383628</v>
      </c>
      <c r="P27" s="68">
        <v>1.9650615488864127</v>
      </c>
      <c r="Q27" s="68">
        <v>3.2680857941361414</v>
      </c>
      <c r="R27" s="11"/>
      <c r="S27" s="68">
        <f t="shared" si="28"/>
        <v>1.3957471355977786</v>
      </c>
      <c r="T27" s="68">
        <f>'RD T1'!E84</f>
        <v>1.2815972630645152</v>
      </c>
      <c r="U27" s="68">
        <f t="shared" si="29"/>
        <v>2.677344398662294</v>
      </c>
      <c r="W27" t="str">
        <f t="shared" si="30"/>
        <v>63 Community and civil enforcement occupations</v>
      </c>
      <c r="X27" s="68">
        <v>6.0042891444202295</v>
      </c>
      <c r="Y27" s="68">
        <v>6.3133441752054047</v>
      </c>
      <c r="Z27" s="68">
        <v>7.1256501258323706</v>
      </c>
      <c r="AA27" s="68">
        <v>7.8643848108652099</v>
      </c>
      <c r="AB27" s="68">
        <v>9.7434341319000524</v>
      </c>
      <c r="AC27" s="68"/>
      <c r="AD27" s="68">
        <f t="shared" si="31"/>
        <v>2.6177840060676818</v>
      </c>
      <c r="AE27" s="68">
        <f>'RD T1'!E113</f>
        <v>5.4048225563689964</v>
      </c>
      <c r="AF27" s="68">
        <f t="shared" si="32"/>
        <v>8.0226065624366782</v>
      </c>
      <c r="AH27" t="str">
        <f t="shared" si="33"/>
        <v>63 Community and civil enforcement occupations</v>
      </c>
      <c r="AI27" s="68">
        <v>1.7198663092603264</v>
      </c>
      <c r="AJ27" s="68">
        <v>1.6537002218761536</v>
      </c>
      <c r="AK27" s="68">
        <v>2.1860480622409861</v>
      </c>
      <c r="AL27" s="68">
        <v>1.9709115279880629</v>
      </c>
      <c r="AM27" s="68">
        <v>2.4229858036908025</v>
      </c>
      <c r="AN27" s="68"/>
      <c r="AO27" s="68">
        <f t="shared" si="34"/>
        <v>0.23693774144981639</v>
      </c>
      <c r="AP27" s="68">
        <f>'RD T1'!E142</f>
        <v>1.2676765784390602</v>
      </c>
      <c r="AQ27" s="68">
        <f t="shared" si="35"/>
        <v>1.5046143198888766</v>
      </c>
      <c r="AS27" t="str">
        <f t="shared" si="36"/>
        <v>63 Community and civil enforcement occupations</v>
      </c>
      <c r="AT27" s="68">
        <v>1.7242339759289487</v>
      </c>
      <c r="AU27" s="68">
        <v>1.5145150298717649</v>
      </c>
      <c r="AV27" s="68">
        <v>1.9083351311241423</v>
      </c>
      <c r="AW27" s="68">
        <v>1.5729230050365877</v>
      </c>
      <c r="AX27" s="68">
        <v>1.6835764806578899</v>
      </c>
      <c r="AY27" s="68"/>
      <c r="AZ27" s="68">
        <f t="shared" si="37"/>
        <v>-0.22475865046625243</v>
      </c>
      <c r="BA27" s="68">
        <f>'RD T1'!E171</f>
        <v>0.98166445201466535</v>
      </c>
      <c r="BB27" s="68">
        <f t="shared" si="38"/>
        <v>0.75690580154841292</v>
      </c>
      <c r="BD27" t="str">
        <f t="shared" si="39"/>
        <v>63 Community and civil enforcement occupations</v>
      </c>
      <c r="BE27" s="68">
        <v>6.149305743257691</v>
      </c>
      <c r="BF27" s="68">
        <v>4.3424640187761154</v>
      </c>
      <c r="BG27" s="68">
        <v>6.1924812283933264</v>
      </c>
      <c r="BH27" s="68">
        <v>3.9615613351845229</v>
      </c>
      <c r="BI27" s="68">
        <v>3.9759299764468121</v>
      </c>
      <c r="BJ27" s="68"/>
      <c r="BK27" s="68">
        <f t="shared" si="40"/>
        <v>-2.2165512519465143</v>
      </c>
      <c r="BL27" s="68">
        <f>'RD T1'!E200</f>
        <v>1.5114105307217813</v>
      </c>
      <c r="BM27" s="68">
        <f t="shared" si="41"/>
        <v>-0.70514072122473292</v>
      </c>
      <c r="BO27" t="str">
        <f t="shared" si="42"/>
        <v>63 Community and civil enforcement occupations</v>
      </c>
      <c r="BP27" s="68">
        <v>8.5149954694503478</v>
      </c>
      <c r="BQ27" s="68">
        <v>7.2333511442630609</v>
      </c>
      <c r="BR27" s="68">
        <v>9.1376746765425096</v>
      </c>
      <c r="BS27" s="68">
        <v>6.6646323820803524</v>
      </c>
      <c r="BT27" s="68">
        <v>6.248117385242967</v>
      </c>
      <c r="BU27" s="68"/>
      <c r="BV27" s="68">
        <f t="shared" si="43"/>
        <v>-2.8895572912995426</v>
      </c>
      <c r="BW27" s="68">
        <f>'RD T1'!E229</f>
        <v>2.8038036339602104</v>
      </c>
      <c r="BX27" s="68">
        <f t="shared" si="44"/>
        <v>-8.5753657339332268E-2</v>
      </c>
      <c r="BZ27" t="str">
        <f t="shared" si="45"/>
        <v>63 Community and civil enforcement occupations</v>
      </c>
      <c r="CA27" s="68">
        <v>7.0633465449128341</v>
      </c>
      <c r="CB27" s="68">
        <v>6.2096397045426146</v>
      </c>
      <c r="CC27" s="68">
        <v>7.639926281830232</v>
      </c>
      <c r="CD27" s="68">
        <v>6.0861081655528899</v>
      </c>
      <c r="CE27" s="68">
        <v>5.1820059391955455</v>
      </c>
      <c r="CF27" s="68"/>
      <c r="CG27" s="68">
        <f t="shared" si="46"/>
        <v>-2.4579203426346865</v>
      </c>
      <c r="CH27" s="68">
        <f>'RD T1'!E258</f>
        <v>2.3475351148501624</v>
      </c>
      <c r="CI27" s="68">
        <f t="shared" si="47"/>
        <v>-0.11038522778452409</v>
      </c>
      <c r="CK27" t="str">
        <f t="shared" si="48"/>
        <v>63 Community and civil enforcement occupations</v>
      </c>
      <c r="CL27" s="68">
        <v>2.608020690620803</v>
      </c>
      <c r="CM27" s="68">
        <v>1.7747691881096883</v>
      </c>
      <c r="CN27" s="68">
        <v>2.2902458439547777</v>
      </c>
      <c r="CO27" s="68">
        <v>1.1917134300258716</v>
      </c>
      <c r="CP27" s="68">
        <v>0.91959902660789605</v>
      </c>
      <c r="CQ27" s="68"/>
      <c r="CR27" s="68">
        <f t="shared" si="49"/>
        <v>-1.3706468173468815</v>
      </c>
      <c r="CS27" s="68">
        <f>'RD T1'!E287</f>
        <v>0.30913910622444057</v>
      </c>
      <c r="CT27" s="68">
        <f t="shared" si="50"/>
        <v>-1.0615077111224409</v>
      </c>
    </row>
    <row r="28" spans="1:98" x14ac:dyDescent="0.3">
      <c r="A28" s="10" t="str">
        <f>name!D24</f>
        <v>71 Sales occupations</v>
      </c>
      <c r="B28" s="68">
        <v>5.5229174775641079</v>
      </c>
      <c r="C28" s="68">
        <v>6.3722849205260719</v>
      </c>
      <c r="D28" s="68">
        <v>5.7837414181931104</v>
      </c>
      <c r="E28" s="68">
        <v>7.2252321045894243</v>
      </c>
      <c r="F28" s="68">
        <v>10.439447266938343</v>
      </c>
      <c r="G28" s="11"/>
      <c r="H28" s="68">
        <f t="shared" si="51"/>
        <v>4.6557058487452325</v>
      </c>
      <c r="I28" s="68">
        <f>'RD T1'!E56</f>
        <v>3.7988642061054905</v>
      </c>
      <c r="J28" s="68">
        <f t="shared" si="26"/>
        <v>8.4545700548507234</v>
      </c>
      <c r="L28" t="str">
        <f t="shared" si="27"/>
        <v>71 Sales occupations</v>
      </c>
      <c r="M28" s="68">
        <v>69.023448096038891</v>
      </c>
      <c r="N28" s="68">
        <v>83.99781771354057</v>
      </c>
      <c r="O28" s="68">
        <v>86.135136388835761</v>
      </c>
      <c r="P28" s="68">
        <v>111.01837324363139</v>
      </c>
      <c r="Q28" s="68">
        <v>181.85330452600772</v>
      </c>
      <c r="R28" s="11"/>
      <c r="S28" s="68">
        <f t="shared" si="28"/>
        <v>95.718168137171958</v>
      </c>
      <c r="T28" s="68">
        <f>'RD T1'!E85</f>
        <v>63.229485068018157</v>
      </c>
      <c r="U28" s="68">
        <f t="shared" si="29"/>
        <v>158.94765320519011</v>
      </c>
      <c r="W28" t="str">
        <f t="shared" si="30"/>
        <v>71 Sales occupations</v>
      </c>
      <c r="X28" s="68">
        <v>284.39403498854466</v>
      </c>
      <c r="Y28" s="68">
        <v>296.73656370388181</v>
      </c>
      <c r="Z28" s="68">
        <v>312.26164799732931</v>
      </c>
      <c r="AA28" s="68">
        <v>337.63346313897682</v>
      </c>
      <c r="AB28" s="68">
        <v>431.25973709471424</v>
      </c>
      <c r="AC28" s="68"/>
      <c r="AD28" s="68">
        <f t="shared" si="31"/>
        <v>118.99808909738493</v>
      </c>
      <c r="AE28" s="68">
        <f>'RD T1'!E114</f>
        <v>200.60478607248879</v>
      </c>
      <c r="AF28" s="68">
        <f t="shared" si="32"/>
        <v>319.60287516987376</v>
      </c>
      <c r="AH28" t="str">
        <f t="shared" si="33"/>
        <v>71 Sales occupations</v>
      </c>
      <c r="AI28" s="68">
        <v>95.909485118371435</v>
      </c>
      <c r="AJ28" s="68">
        <v>95.614643713898985</v>
      </c>
      <c r="AK28" s="68">
        <v>102.28538888241627</v>
      </c>
      <c r="AL28" s="68">
        <v>104.97169928905465</v>
      </c>
      <c r="AM28" s="68">
        <v>130.29619702020523</v>
      </c>
      <c r="AN28" s="68"/>
      <c r="AO28" s="68">
        <f t="shared" si="34"/>
        <v>28.010808137788956</v>
      </c>
      <c r="AP28" s="68">
        <f>'RD T1'!E143</f>
        <v>62.892249704064085</v>
      </c>
      <c r="AQ28" s="68">
        <f t="shared" si="35"/>
        <v>90.903057841853041</v>
      </c>
      <c r="AS28" t="str">
        <f t="shared" si="36"/>
        <v>71 Sales occupations</v>
      </c>
      <c r="AT28" s="68">
        <v>81.661334466885435</v>
      </c>
      <c r="AU28" s="68">
        <v>78.837887806747105</v>
      </c>
      <c r="AV28" s="68">
        <v>81.947763896247594</v>
      </c>
      <c r="AW28" s="68">
        <v>81.178919905277667</v>
      </c>
      <c r="AX28" s="68">
        <v>96.850886576098873</v>
      </c>
      <c r="AY28" s="68"/>
      <c r="AZ28" s="68">
        <f t="shared" si="37"/>
        <v>14.903122679851279</v>
      </c>
      <c r="BA28" s="68">
        <f>'RD T1'!E172</f>
        <v>41.297086484963103</v>
      </c>
      <c r="BB28" s="68">
        <f t="shared" si="38"/>
        <v>56.200209164814382</v>
      </c>
      <c r="BD28" t="str">
        <f t="shared" si="39"/>
        <v>71 Sales occupations</v>
      </c>
      <c r="BE28" s="68">
        <v>572.67891435878926</v>
      </c>
      <c r="BF28" s="68">
        <v>563.74140641311305</v>
      </c>
      <c r="BG28" s="68">
        <v>574.44706606312695</v>
      </c>
      <c r="BH28" s="68">
        <v>547.03279261117177</v>
      </c>
      <c r="BI28" s="68">
        <v>549.42487934563746</v>
      </c>
      <c r="BJ28" s="68"/>
      <c r="BK28" s="68">
        <f t="shared" si="40"/>
        <v>-25.02218671748949</v>
      </c>
      <c r="BL28" s="68">
        <f>'RD T1'!E201</f>
        <v>249.26356318929413</v>
      </c>
      <c r="BM28" s="68">
        <f t="shared" si="41"/>
        <v>224.24137647180464</v>
      </c>
      <c r="BO28" t="str">
        <f t="shared" si="42"/>
        <v>71 Sales occupations</v>
      </c>
      <c r="BP28" s="68">
        <v>615.95307866807627</v>
      </c>
      <c r="BQ28" s="68">
        <v>552.90365844358143</v>
      </c>
      <c r="BR28" s="68">
        <v>528.54992747328993</v>
      </c>
      <c r="BS28" s="68">
        <v>459.48081308227734</v>
      </c>
      <c r="BT28" s="68">
        <v>353.45267709019294</v>
      </c>
      <c r="BU28" s="68"/>
      <c r="BV28" s="68">
        <f t="shared" si="43"/>
        <v>-175.09725038309699</v>
      </c>
      <c r="BW28" s="68">
        <f>'RD T1'!E230</f>
        <v>198.58187613631156</v>
      </c>
      <c r="BX28" s="68">
        <f t="shared" si="44"/>
        <v>23.484625753214573</v>
      </c>
      <c r="BZ28" t="str">
        <f t="shared" si="45"/>
        <v>71 Sales occupations</v>
      </c>
      <c r="CA28" s="68">
        <v>415.5825960370712</v>
      </c>
      <c r="CB28" s="68">
        <v>382.95302388431941</v>
      </c>
      <c r="CC28" s="68">
        <v>350.14521210766372</v>
      </c>
      <c r="CD28" s="68">
        <v>280.04692616141739</v>
      </c>
      <c r="CE28" s="68">
        <v>109.99767625053394</v>
      </c>
      <c r="CF28" s="68"/>
      <c r="CG28" s="68">
        <f t="shared" si="46"/>
        <v>-240.14753585712978</v>
      </c>
      <c r="CH28" s="68">
        <f>'RD T1'!E259</f>
        <v>82.860547104294952</v>
      </c>
      <c r="CI28" s="68">
        <f t="shared" si="47"/>
        <v>-157.28698875283482</v>
      </c>
      <c r="CK28" t="str">
        <f t="shared" si="48"/>
        <v>71 Sales occupations</v>
      </c>
      <c r="CL28" s="68">
        <v>201.44875325068389</v>
      </c>
      <c r="CM28" s="68">
        <v>166.29066350316472</v>
      </c>
      <c r="CN28" s="68">
        <v>140.78287427144474</v>
      </c>
      <c r="CO28" s="68">
        <v>97.524451191563912</v>
      </c>
      <c r="CP28" s="68">
        <v>63.461734350615956</v>
      </c>
      <c r="CQ28" s="68"/>
      <c r="CR28" s="68">
        <f t="shared" si="49"/>
        <v>-77.321139920828784</v>
      </c>
      <c r="CS28" s="68">
        <f>'RD T1'!E288</f>
        <v>23.931501443868044</v>
      </c>
      <c r="CT28" s="68">
        <f t="shared" si="50"/>
        <v>-53.389638476960741</v>
      </c>
    </row>
    <row r="29" spans="1:98" x14ac:dyDescent="0.3">
      <c r="A29" s="10" t="str">
        <f>name!D25</f>
        <v>72 Customer service occupations</v>
      </c>
      <c r="B29" s="68">
        <v>1.9016520721299921</v>
      </c>
      <c r="C29" s="68">
        <v>2.3367123151511819</v>
      </c>
      <c r="D29" s="68">
        <v>2.5976079945982908</v>
      </c>
      <c r="E29" s="68">
        <v>4.4737802429740752</v>
      </c>
      <c r="F29" s="68">
        <v>7.3658968064142449</v>
      </c>
      <c r="G29" s="11"/>
      <c r="H29" s="68">
        <f>F29-D29</f>
        <v>4.7682888118159541</v>
      </c>
      <c r="I29" s="68">
        <f>'RD T1'!E57</f>
        <v>2.4328427745450676</v>
      </c>
      <c r="J29" s="68">
        <f t="shared" si="26"/>
        <v>7.2011315863610221</v>
      </c>
      <c r="L29" t="str">
        <f t="shared" si="27"/>
        <v>72 Customer service occupations</v>
      </c>
      <c r="M29" s="68">
        <v>21.135806766148193</v>
      </c>
      <c r="N29" s="68">
        <v>28.272957633508508</v>
      </c>
      <c r="O29" s="68">
        <v>29.689288739404084</v>
      </c>
      <c r="P29" s="68">
        <v>49.80481141340735</v>
      </c>
      <c r="Q29" s="68">
        <v>80.024464392836734</v>
      </c>
      <c r="R29" s="11"/>
      <c r="S29" s="68">
        <f t="shared" si="28"/>
        <v>50.33517565343265</v>
      </c>
      <c r="T29" s="68">
        <f>'RD T1'!E86</f>
        <v>28.291566652058687</v>
      </c>
      <c r="U29" s="68">
        <f t="shared" si="29"/>
        <v>78.626742305491334</v>
      </c>
      <c r="W29" t="str">
        <f t="shared" si="30"/>
        <v>72 Customer service occupations</v>
      </c>
      <c r="X29" s="68">
        <v>89.197713854112607</v>
      </c>
      <c r="Y29" s="68">
        <v>100.04382184590742</v>
      </c>
      <c r="Z29" s="68">
        <v>109.01741715195801</v>
      </c>
      <c r="AA29" s="68">
        <v>150.65769672607757</v>
      </c>
      <c r="AB29" s="68">
        <v>200.45686406005009</v>
      </c>
      <c r="AC29" s="68"/>
      <c r="AD29" s="68">
        <f t="shared" si="31"/>
        <v>91.43944690809208</v>
      </c>
      <c r="AE29" s="68">
        <f>'RD T1'!E115</f>
        <v>83.51341388662199</v>
      </c>
      <c r="AF29" s="68">
        <f t="shared" si="32"/>
        <v>174.95286079471407</v>
      </c>
      <c r="AH29" t="str">
        <f t="shared" si="33"/>
        <v>72 Customer service occupations</v>
      </c>
      <c r="AI29" s="68">
        <v>26.500214281656977</v>
      </c>
      <c r="AJ29" s="68">
        <v>31.003264645872264</v>
      </c>
      <c r="AK29" s="68">
        <v>34.879594135966769</v>
      </c>
      <c r="AL29" s="68">
        <v>48.519844191980582</v>
      </c>
      <c r="AM29" s="68">
        <v>64.519015706247458</v>
      </c>
      <c r="AN29" s="68"/>
      <c r="AO29" s="68">
        <f t="shared" si="34"/>
        <v>29.639421570280689</v>
      </c>
      <c r="AP29" s="68">
        <f>'RD T1'!E144</f>
        <v>28.465119841513378</v>
      </c>
      <c r="AQ29" s="68">
        <f t="shared" si="35"/>
        <v>58.104541411794067</v>
      </c>
      <c r="AS29" t="str">
        <f t="shared" si="36"/>
        <v>72 Customer service occupations</v>
      </c>
      <c r="AT29" s="68">
        <v>38.130626196101936</v>
      </c>
      <c r="AU29" s="68">
        <v>41.666749566038476</v>
      </c>
      <c r="AV29" s="68">
        <v>43.682996337843797</v>
      </c>
      <c r="AW29" s="68">
        <v>58.322140509890744</v>
      </c>
      <c r="AX29" s="68">
        <v>70.328619257264975</v>
      </c>
      <c r="AY29" s="68"/>
      <c r="AZ29" s="68">
        <f t="shared" si="37"/>
        <v>26.645622919421179</v>
      </c>
      <c r="BA29" s="68">
        <f>'RD T1'!E173</f>
        <v>29.001194919381525</v>
      </c>
      <c r="BB29" s="68">
        <f t="shared" si="38"/>
        <v>55.646817838802704</v>
      </c>
      <c r="BD29" t="str">
        <f t="shared" si="39"/>
        <v>72 Customer service occupations</v>
      </c>
      <c r="BE29" s="68">
        <v>131.04815391582551</v>
      </c>
      <c r="BF29" s="68">
        <v>140.20408451863278</v>
      </c>
      <c r="BG29" s="68">
        <v>146.12673565538</v>
      </c>
      <c r="BH29" s="68">
        <v>180.71782613705915</v>
      </c>
      <c r="BI29" s="68">
        <v>199.39251337513056</v>
      </c>
      <c r="BJ29" s="68"/>
      <c r="BK29" s="68">
        <f t="shared" si="40"/>
        <v>53.26577771975056</v>
      </c>
      <c r="BL29" s="68">
        <f>'RD T1'!E202</f>
        <v>78.504074040067252</v>
      </c>
      <c r="BM29" s="68">
        <f t="shared" si="41"/>
        <v>131.76985175981781</v>
      </c>
      <c r="BO29" t="str">
        <f t="shared" si="42"/>
        <v>72 Customer service occupations</v>
      </c>
      <c r="BP29" s="68">
        <v>141.10177826485261</v>
      </c>
      <c r="BQ29" s="68">
        <v>149.10776326134393</v>
      </c>
      <c r="BR29" s="68">
        <v>145.03077250591303</v>
      </c>
      <c r="BS29" s="68">
        <v>176.30441748442945</v>
      </c>
      <c r="BT29" s="68">
        <v>161.25763417821315</v>
      </c>
      <c r="BU29" s="68"/>
      <c r="BV29" s="68">
        <f t="shared" si="43"/>
        <v>16.226861672300117</v>
      </c>
      <c r="BW29" s="68">
        <f>'RD T1'!E231</f>
        <v>77.425833508602281</v>
      </c>
      <c r="BX29" s="68">
        <f t="shared" si="44"/>
        <v>93.652695180902398</v>
      </c>
      <c r="BZ29" t="str">
        <f t="shared" si="45"/>
        <v>72 Customer service occupations</v>
      </c>
      <c r="CA29" s="68">
        <v>73.162869547821117</v>
      </c>
      <c r="CB29" s="68">
        <v>69.989859906132736</v>
      </c>
      <c r="CC29" s="68">
        <v>67.872178374636846</v>
      </c>
      <c r="CD29" s="68">
        <v>73.557623941596873</v>
      </c>
      <c r="CE29" s="68">
        <v>63.895792363965263</v>
      </c>
      <c r="CF29" s="68"/>
      <c r="CG29" s="68">
        <f t="shared" si="46"/>
        <v>-3.9763860106715825</v>
      </c>
      <c r="CH29" s="68">
        <f>'RD T1'!E260</f>
        <v>23.005992060048968</v>
      </c>
      <c r="CI29" s="68">
        <f t="shared" si="47"/>
        <v>19.029606049377385</v>
      </c>
      <c r="CK29" t="str">
        <f t="shared" si="48"/>
        <v>72 Customer service occupations</v>
      </c>
      <c r="CL29" s="68">
        <v>22.90735184836846</v>
      </c>
      <c r="CM29" s="68">
        <v>27.195219155745772</v>
      </c>
      <c r="CN29" s="68">
        <v>25.851565821909411</v>
      </c>
      <c r="CO29" s="68">
        <v>35.846063613690568</v>
      </c>
      <c r="CP29" s="68">
        <v>42.1491815560669</v>
      </c>
      <c r="CQ29" s="68"/>
      <c r="CR29" s="68">
        <f t="shared" si="49"/>
        <v>16.297615734157489</v>
      </c>
      <c r="CS29" s="68">
        <f>'RD T1'!E289</f>
        <v>12.242906239486002</v>
      </c>
      <c r="CT29" s="68">
        <f t="shared" si="50"/>
        <v>28.540521973643493</v>
      </c>
    </row>
    <row r="30" spans="1:98" x14ac:dyDescent="0.3">
      <c r="A30" s="10" t="str">
        <f>name!D26</f>
        <v>81 Process, plant and machine operatives</v>
      </c>
      <c r="B30" s="68">
        <v>1.5094567867704767</v>
      </c>
      <c r="C30" s="68">
        <v>1.9646735583206993</v>
      </c>
      <c r="D30" s="68">
        <v>1.7116967137911221</v>
      </c>
      <c r="E30" s="68">
        <v>2.9857273533191884</v>
      </c>
      <c r="F30" s="68">
        <v>5.9761142214002536</v>
      </c>
      <c r="G30" s="11"/>
      <c r="H30" s="68">
        <f t="shared" si="51"/>
        <v>4.2644175076091315</v>
      </c>
      <c r="I30" s="68">
        <f>'RD T1'!E58</f>
        <v>1.972082399413956</v>
      </c>
      <c r="J30" s="68">
        <f t="shared" si="26"/>
        <v>6.236499907023088</v>
      </c>
      <c r="L30" t="str">
        <f t="shared" si="27"/>
        <v>81 Process, plant and machine operatives</v>
      </c>
      <c r="M30" s="68">
        <v>10.619366306049461</v>
      </c>
      <c r="N30" s="68">
        <v>13.809192673432012</v>
      </c>
      <c r="O30" s="68">
        <v>12.368890999466219</v>
      </c>
      <c r="P30" s="68">
        <v>21.708978833288409</v>
      </c>
      <c r="Q30" s="68">
        <v>40.122222874164791</v>
      </c>
      <c r="R30" s="11"/>
      <c r="S30" s="68">
        <f t="shared" si="28"/>
        <v>27.753331874698574</v>
      </c>
      <c r="T30" s="68">
        <f>'RD T1'!E87</f>
        <v>13.317182357906812</v>
      </c>
      <c r="U30" s="68">
        <f t="shared" si="29"/>
        <v>41.07051423260539</v>
      </c>
      <c r="W30" t="str">
        <f t="shared" si="30"/>
        <v>81 Process, plant and machine operatives</v>
      </c>
      <c r="X30" s="68">
        <v>32.168900319839466</v>
      </c>
      <c r="Y30" s="68">
        <v>32.783067627068277</v>
      </c>
      <c r="Z30" s="68">
        <v>30.494253254554017</v>
      </c>
      <c r="AA30" s="68">
        <v>49.23490704998094</v>
      </c>
      <c r="AB30" s="68">
        <v>83.271978358357572</v>
      </c>
      <c r="AC30" s="68"/>
      <c r="AD30" s="68">
        <f t="shared" si="31"/>
        <v>52.777725103803554</v>
      </c>
      <c r="AE30" s="68">
        <f>'RD T1'!E116</f>
        <v>30.315300461362362</v>
      </c>
      <c r="AF30" s="68">
        <f t="shared" si="32"/>
        <v>83.093025565165917</v>
      </c>
      <c r="AH30" t="str">
        <f t="shared" si="33"/>
        <v>81 Process, plant and machine operatives</v>
      </c>
      <c r="AI30" s="68">
        <v>14.43823007806022</v>
      </c>
      <c r="AJ30" s="68">
        <v>14.833423059026819</v>
      </c>
      <c r="AK30" s="68">
        <v>14.468314384576399</v>
      </c>
      <c r="AL30" s="68">
        <v>22.171683100143383</v>
      </c>
      <c r="AM30" s="68">
        <v>33.220421752838512</v>
      </c>
      <c r="AN30" s="68"/>
      <c r="AO30" s="68">
        <f t="shared" si="34"/>
        <v>18.752107368262113</v>
      </c>
      <c r="AP30" s="68">
        <f>'RD T1'!E145</f>
        <v>12.051763970067396</v>
      </c>
      <c r="AQ30" s="68">
        <f t="shared" si="35"/>
        <v>30.803871338329508</v>
      </c>
      <c r="AS30" t="str">
        <f t="shared" si="36"/>
        <v>81 Process, plant and machine operatives</v>
      </c>
      <c r="AT30" s="68">
        <v>33.327216538775431</v>
      </c>
      <c r="AU30" s="68">
        <v>33.110877972533586</v>
      </c>
      <c r="AV30" s="68">
        <v>31.56350665714438</v>
      </c>
      <c r="AW30" s="68">
        <v>46.546359202895943</v>
      </c>
      <c r="AX30" s="68">
        <v>64.969689642022601</v>
      </c>
      <c r="AY30" s="68"/>
      <c r="AZ30" s="68">
        <f t="shared" si="37"/>
        <v>33.406182984878221</v>
      </c>
      <c r="BA30" s="68">
        <f>'RD T1'!E174</f>
        <v>24.523127802645611</v>
      </c>
      <c r="BB30" s="68">
        <f t="shared" si="38"/>
        <v>57.929310787523832</v>
      </c>
      <c r="BD30" t="str">
        <f t="shared" si="39"/>
        <v>81 Process, plant and machine operatives</v>
      </c>
      <c r="BE30" s="68">
        <v>204.69122662703936</v>
      </c>
      <c r="BF30" s="68">
        <v>210.71834964173277</v>
      </c>
      <c r="BG30" s="68">
        <v>186.56744062341284</v>
      </c>
      <c r="BH30" s="68">
        <v>245.49361139374165</v>
      </c>
      <c r="BI30" s="68">
        <v>274.20808753736151</v>
      </c>
      <c r="BJ30" s="68"/>
      <c r="BK30" s="68">
        <f t="shared" si="40"/>
        <v>87.640646913948672</v>
      </c>
      <c r="BL30" s="68">
        <f>'RD T1'!E203</f>
        <v>90.996492998409423</v>
      </c>
      <c r="BM30" s="68">
        <f t="shared" si="41"/>
        <v>178.63713991235809</v>
      </c>
      <c r="BO30" t="str">
        <f t="shared" si="42"/>
        <v>81 Process, plant and machine operatives</v>
      </c>
      <c r="BP30" s="68">
        <v>263.63005665563912</v>
      </c>
      <c r="BQ30" s="68">
        <v>262.53790039903612</v>
      </c>
      <c r="BR30" s="68">
        <v>235.04556940926216</v>
      </c>
      <c r="BS30" s="68">
        <v>292.67508313765387</v>
      </c>
      <c r="BT30" s="68">
        <v>285.24856569821628</v>
      </c>
      <c r="BU30" s="68"/>
      <c r="BV30" s="68">
        <f t="shared" si="43"/>
        <v>50.202996288954125</v>
      </c>
      <c r="BW30" s="68">
        <f>'RD T1'!E232</f>
        <v>113.09989561308682</v>
      </c>
      <c r="BX30" s="68">
        <f t="shared" si="44"/>
        <v>163.30289190204093</v>
      </c>
      <c r="BZ30" t="str">
        <f t="shared" si="45"/>
        <v>81 Process, plant and machine operatives</v>
      </c>
      <c r="CA30" s="68">
        <v>223.34604869508325</v>
      </c>
      <c r="CB30" s="68">
        <v>205.66556529170066</v>
      </c>
      <c r="CC30" s="68">
        <v>175.8743151423312</v>
      </c>
      <c r="CD30" s="68">
        <v>193.06477973257765</v>
      </c>
      <c r="CE30" s="68">
        <v>96.310477063030461</v>
      </c>
      <c r="CF30" s="68"/>
      <c r="CG30" s="68">
        <f t="shared" si="46"/>
        <v>-79.563838079300737</v>
      </c>
      <c r="CH30" s="68">
        <f>'RD T1'!E261</f>
        <v>56.604751333630368</v>
      </c>
      <c r="CI30" s="68">
        <f t="shared" si="47"/>
        <v>-22.959086745670369</v>
      </c>
      <c r="CK30" t="str">
        <f t="shared" si="48"/>
        <v>81 Process, plant and machine operatives</v>
      </c>
      <c r="CL30" s="68">
        <v>120.80807719944634</v>
      </c>
      <c r="CM30" s="68">
        <v>95.576875654805747</v>
      </c>
      <c r="CN30" s="68">
        <v>76.979869869549916</v>
      </c>
      <c r="CO30" s="68">
        <v>47.372190877648961</v>
      </c>
      <c r="CP30" s="68">
        <v>23.50470450297945</v>
      </c>
      <c r="CQ30" s="68"/>
      <c r="CR30" s="68">
        <f t="shared" si="49"/>
        <v>-53.475165366570465</v>
      </c>
      <c r="CS30" s="68">
        <f>'RD T1'!E290</f>
        <v>10.868761948239964</v>
      </c>
      <c r="CT30" s="68">
        <f t="shared" si="50"/>
        <v>-42.606403418330501</v>
      </c>
    </row>
    <row r="31" spans="1:98" x14ac:dyDescent="0.3">
      <c r="A31" s="10" t="str">
        <f>name!D27</f>
        <v>82 Transport and mobile machine drivers and operatives</v>
      </c>
      <c r="B31" s="68">
        <v>2.5812875883895581</v>
      </c>
      <c r="C31" s="68">
        <v>3.9322581821876548</v>
      </c>
      <c r="D31" s="68">
        <v>3.6548992428797842</v>
      </c>
      <c r="E31" s="68">
        <v>6.1789148925955084</v>
      </c>
      <c r="F31" s="68">
        <v>10.880352722842623</v>
      </c>
      <c r="G31" s="11"/>
      <c r="H31" s="68">
        <f t="shared" si="51"/>
        <v>7.2254534799628392</v>
      </c>
      <c r="I31" s="68">
        <f>'RD T1'!E59</f>
        <v>4.8399086986561128</v>
      </c>
      <c r="J31" s="68">
        <f t="shared" si="26"/>
        <v>12.065362178618951</v>
      </c>
      <c r="L31" t="str">
        <f t="shared" si="27"/>
        <v>82 Transport and mobile machine drivers and operatives</v>
      </c>
      <c r="M31" s="68">
        <v>17.70657646245829</v>
      </c>
      <c r="N31" s="68">
        <v>25.788576474185813</v>
      </c>
      <c r="O31" s="68">
        <v>25.067375964382499</v>
      </c>
      <c r="P31" s="68">
        <v>37.799535203590004</v>
      </c>
      <c r="Q31" s="68">
        <v>64.67237652139633</v>
      </c>
      <c r="R31" s="11"/>
      <c r="S31" s="68">
        <f t="shared" si="28"/>
        <v>39.605000557013831</v>
      </c>
      <c r="T31" s="68">
        <f>'RD T1'!E88</f>
        <v>28.89916176506091</v>
      </c>
      <c r="U31" s="68">
        <f t="shared" si="29"/>
        <v>68.504162322074734</v>
      </c>
      <c r="W31" t="str">
        <f t="shared" si="30"/>
        <v>82 Transport and mobile machine drivers and operatives</v>
      </c>
      <c r="X31" s="68">
        <v>55.323156999306882</v>
      </c>
      <c r="Y31" s="68">
        <v>69.081719464122173</v>
      </c>
      <c r="Z31" s="68">
        <v>68.451987288756044</v>
      </c>
      <c r="AA31" s="68">
        <v>85.474796759610825</v>
      </c>
      <c r="AB31" s="68">
        <v>115.89597783668971</v>
      </c>
      <c r="AC31" s="68"/>
      <c r="AD31" s="68">
        <f t="shared" si="31"/>
        <v>47.443990547933666</v>
      </c>
      <c r="AE31" s="68">
        <f>'RD T1'!E117</f>
        <v>63.356658016854489</v>
      </c>
      <c r="AF31" s="68">
        <f t="shared" si="32"/>
        <v>110.80064856478816</v>
      </c>
      <c r="AH31" t="str">
        <f t="shared" si="33"/>
        <v>82 Transport and mobile machine drivers and operatives</v>
      </c>
      <c r="AI31" s="68">
        <v>25.762377958382306</v>
      </c>
      <c r="AJ31" s="68">
        <v>32.325698265100968</v>
      </c>
      <c r="AK31" s="68">
        <v>32.486209972780486</v>
      </c>
      <c r="AL31" s="68">
        <v>40.884625049293227</v>
      </c>
      <c r="AM31" s="68">
        <v>52.787217303127584</v>
      </c>
      <c r="AN31" s="68"/>
      <c r="AO31" s="68">
        <f t="shared" si="34"/>
        <v>20.301007330347097</v>
      </c>
      <c r="AP31" s="68">
        <f>'RD T1'!E146</f>
        <v>29.064898513095049</v>
      </c>
      <c r="AQ31" s="68">
        <f t="shared" si="35"/>
        <v>49.36590584344215</v>
      </c>
      <c r="AS31" t="str">
        <f t="shared" si="36"/>
        <v>82 Transport and mobile machine drivers and operatives</v>
      </c>
      <c r="AT31" s="68">
        <v>44.304111274020002</v>
      </c>
      <c r="AU31" s="68">
        <v>51.694485075678784</v>
      </c>
      <c r="AV31" s="68">
        <v>52.298796913088893</v>
      </c>
      <c r="AW31" s="68">
        <v>64.104469219476371</v>
      </c>
      <c r="AX31" s="68">
        <v>80.538462560826389</v>
      </c>
      <c r="AY31" s="68"/>
      <c r="AZ31" s="68">
        <f t="shared" si="37"/>
        <v>28.239665647737496</v>
      </c>
      <c r="BA31" s="68">
        <f>'RD T1'!E175</f>
        <v>46.002891863889111</v>
      </c>
      <c r="BB31" s="68">
        <f t="shared" si="38"/>
        <v>74.242557511626615</v>
      </c>
      <c r="BD31" t="str">
        <f t="shared" si="39"/>
        <v>82 Transport and mobile machine drivers and operatives</v>
      </c>
      <c r="BE31" s="68">
        <v>230.33349749378107</v>
      </c>
      <c r="BF31" s="68">
        <v>258.52840844486963</v>
      </c>
      <c r="BG31" s="68">
        <v>241.0745869455327</v>
      </c>
      <c r="BH31" s="68">
        <v>267.99595981734961</v>
      </c>
      <c r="BI31" s="68">
        <v>290.77016014650451</v>
      </c>
      <c r="BJ31" s="68"/>
      <c r="BK31" s="68">
        <f t="shared" si="40"/>
        <v>49.695573200971808</v>
      </c>
      <c r="BL31" s="68">
        <f>'RD T1'!E204</f>
        <v>136.99086787957953</v>
      </c>
      <c r="BM31" s="68">
        <f t="shared" si="41"/>
        <v>186.68644108055133</v>
      </c>
      <c r="BO31" t="str">
        <f t="shared" si="42"/>
        <v>82 Transport and mobile machine drivers and operatives</v>
      </c>
      <c r="BP31" s="68">
        <v>349.5343359639545</v>
      </c>
      <c r="BQ31" s="68">
        <v>396.54097323684857</v>
      </c>
      <c r="BR31" s="68">
        <v>345.84926207895973</v>
      </c>
      <c r="BS31" s="68">
        <v>379.78306488013141</v>
      </c>
      <c r="BT31" s="68">
        <v>373.30137231375301</v>
      </c>
      <c r="BU31" s="68"/>
      <c r="BV31" s="68">
        <f t="shared" si="43"/>
        <v>27.452110234793281</v>
      </c>
      <c r="BW31" s="68">
        <f>'RD T1'!E233</f>
        <v>200.42090758168391</v>
      </c>
      <c r="BX31" s="68">
        <f t="shared" si="44"/>
        <v>227.87301781647719</v>
      </c>
      <c r="BZ31" t="str">
        <f t="shared" si="45"/>
        <v>82 Transport and mobile machine drivers and operatives</v>
      </c>
      <c r="CA31" s="68">
        <v>330.79539104096142</v>
      </c>
      <c r="CB31" s="68">
        <v>333.86092951481896</v>
      </c>
      <c r="CC31" s="68">
        <v>285.53894769238241</v>
      </c>
      <c r="CD31" s="68">
        <v>277.01118561691197</v>
      </c>
      <c r="CE31" s="68">
        <v>213.07279476739791</v>
      </c>
      <c r="CF31" s="68"/>
      <c r="CG31" s="68">
        <f t="shared" si="46"/>
        <v>-72.466152924984499</v>
      </c>
      <c r="CH31" s="68">
        <f>'RD T1'!E262</f>
        <v>116.98458180455309</v>
      </c>
      <c r="CI31" s="68">
        <f t="shared" si="47"/>
        <v>44.518428879568589</v>
      </c>
      <c r="CK31" t="str">
        <f t="shared" si="48"/>
        <v>82 Transport and mobile machine drivers and operatives</v>
      </c>
      <c r="CL31" s="68">
        <v>152.13830490222409</v>
      </c>
      <c r="CM31" s="68">
        <v>166.06722940632642</v>
      </c>
      <c r="CN31" s="68">
        <v>137.77630501019743</v>
      </c>
      <c r="CO31" s="68">
        <v>119.97365304052271</v>
      </c>
      <c r="CP31" s="68">
        <v>70.160574467266756</v>
      </c>
      <c r="CQ31" s="68"/>
      <c r="CR31" s="68">
        <f t="shared" si="49"/>
        <v>-67.615730542930677</v>
      </c>
      <c r="CS31" s="68">
        <f>'RD T1'!E291</f>
        <v>41.098631989063882</v>
      </c>
      <c r="CT31" s="68">
        <f t="shared" si="50"/>
        <v>-26.517098553866795</v>
      </c>
    </row>
    <row r="32" spans="1:98" x14ac:dyDescent="0.3">
      <c r="A32" s="10" t="str">
        <f>name!D28</f>
        <v>91 Elementary trades and related occupations</v>
      </c>
      <c r="B32" s="68">
        <v>2.9890078946103186E-2</v>
      </c>
      <c r="C32" s="68">
        <v>3.0695476718588358E-2</v>
      </c>
      <c r="D32" s="68">
        <v>2.851963408494251E-2</v>
      </c>
      <c r="E32" s="68">
        <v>3.1158940198437408E-2</v>
      </c>
      <c r="F32" s="68">
        <v>5.1748804418108529E-2</v>
      </c>
      <c r="G32" s="11"/>
      <c r="H32" s="68">
        <f t="shared" si="51"/>
        <v>2.3229170333166019E-2</v>
      </c>
      <c r="I32" s="68">
        <f>'RD T1'!E60</f>
        <v>2.167789818746459E-2</v>
      </c>
      <c r="J32" s="68">
        <f t="shared" si="26"/>
        <v>4.4907068520630609E-2</v>
      </c>
      <c r="L32" t="str">
        <f t="shared" si="27"/>
        <v>91 Elementary trades and related occupations</v>
      </c>
      <c r="M32" s="68">
        <v>6.1031751994569143</v>
      </c>
      <c r="N32" s="68">
        <v>7.4103885593286805</v>
      </c>
      <c r="O32" s="68">
        <v>6.1818939930834924</v>
      </c>
      <c r="P32" s="68">
        <v>7.6896915766041198</v>
      </c>
      <c r="Q32" s="68">
        <v>12.693768395752782</v>
      </c>
      <c r="R32" s="11"/>
      <c r="S32" s="68">
        <f t="shared" si="28"/>
        <v>6.5118744026692896</v>
      </c>
      <c r="T32" s="68">
        <f>'RD T1'!E89</f>
        <v>4.5464010855759085</v>
      </c>
      <c r="U32" s="68">
        <f t="shared" si="29"/>
        <v>11.058275488245197</v>
      </c>
      <c r="W32" t="str">
        <f t="shared" si="30"/>
        <v>91 Elementary trades and related occupations</v>
      </c>
      <c r="X32" s="68">
        <v>24.091132430693378</v>
      </c>
      <c r="Y32" s="68">
        <v>23.813483100319942</v>
      </c>
      <c r="Z32" s="68">
        <v>21.582487922270111</v>
      </c>
      <c r="AA32" s="68">
        <v>20.927682850015593</v>
      </c>
      <c r="AB32" s="68">
        <v>24.666427146407539</v>
      </c>
      <c r="AC32" s="68"/>
      <c r="AD32" s="68">
        <f t="shared" si="31"/>
        <v>3.0839392241374277</v>
      </c>
      <c r="AE32" s="68">
        <f>'RD T1'!E118</f>
        <v>12.916994341273428</v>
      </c>
      <c r="AF32" s="68">
        <f t="shared" si="32"/>
        <v>16.000933565410854</v>
      </c>
      <c r="AH32" t="str">
        <f t="shared" si="33"/>
        <v>91 Elementary trades and related occupations</v>
      </c>
      <c r="AI32" s="68">
        <v>15.96076617347323</v>
      </c>
      <c r="AJ32" s="68">
        <v>15.885484624048763</v>
      </c>
      <c r="AK32" s="68">
        <v>14.676446945221587</v>
      </c>
      <c r="AL32" s="68">
        <v>14.717898539867834</v>
      </c>
      <c r="AM32" s="68">
        <v>18.893018603774419</v>
      </c>
      <c r="AN32" s="68"/>
      <c r="AO32" s="68">
        <f t="shared" si="34"/>
        <v>4.2165716585528319</v>
      </c>
      <c r="AP32" s="68">
        <f>'RD T1'!E147</f>
        <v>9.4713849619045085</v>
      </c>
      <c r="AQ32" s="68">
        <f t="shared" si="35"/>
        <v>13.68795662045734</v>
      </c>
      <c r="AS32" t="str">
        <f t="shared" si="36"/>
        <v>91 Elementary trades and related occupations</v>
      </c>
      <c r="AT32" s="68">
        <v>18.791918383892622</v>
      </c>
      <c r="AU32" s="68">
        <v>17.916030700845528</v>
      </c>
      <c r="AV32" s="68">
        <v>17.982728640719927</v>
      </c>
      <c r="AW32" s="68">
        <v>17.429673259299321</v>
      </c>
      <c r="AX32" s="68">
        <v>20.504637303966579</v>
      </c>
      <c r="AY32" s="68"/>
      <c r="AZ32" s="68">
        <f t="shared" si="37"/>
        <v>2.5219086632466521</v>
      </c>
      <c r="BA32" s="68">
        <f>'RD T1'!E176</f>
        <v>9.4821753871258192</v>
      </c>
      <c r="BB32" s="68">
        <f t="shared" si="38"/>
        <v>12.004084050372471</v>
      </c>
      <c r="BD32" t="str">
        <f t="shared" si="39"/>
        <v>91 Elementary trades and related occupations</v>
      </c>
      <c r="BE32" s="68">
        <v>89.849133381417801</v>
      </c>
      <c r="BF32" s="68">
        <v>80.677096576843539</v>
      </c>
      <c r="BG32" s="68">
        <v>73.189875524773967</v>
      </c>
      <c r="BH32" s="68">
        <v>67.845977067650054</v>
      </c>
      <c r="BI32" s="68">
        <v>76.413337410285862</v>
      </c>
      <c r="BJ32" s="68"/>
      <c r="BK32" s="68">
        <f t="shared" si="40"/>
        <v>3.2234618855118953</v>
      </c>
      <c r="BL32" s="68">
        <f>'RD T1'!E205</f>
        <v>25.273926232443699</v>
      </c>
      <c r="BM32" s="68">
        <f t="shared" si="41"/>
        <v>28.497388117955595</v>
      </c>
      <c r="BO32" t="str">
        <f t="shared" si="42"/>
        <v>91 Elementary trades and related occupations</v>
      </c>
      <c r="BP32" s="68">
        <v>149.09860531351947</v>
      </c>
      <c r="BQ32" s="68">
        <v>131.1106820600458</v>
      </c>
      <c r="BR32" s="68">
        <v>118.71429608159103</v>
      </c>
      <c r="BS32" s="68">
        <v>98.200800810789985</v>
      </c>
      <c r="BT32" s="68">
        <v>91.150911735598029</v>
      </c>
      <c r="BU32" s="68"/>
      <c r="BV32" s="68">
        <f t="shared" si="43"/>
        <v>-27.563384345993001</v>
      </c>
      <c r="BW32" s="68">
        <f>'RD T1'!E234</f>
        <v>36.374662022323555</v>
      </c>
      <c r="BX32" s="68">
        <f t="shared" si="44"/>
        <v>8.8112776763305547</v>
      </c>
      <c r="BZ32" t="str">
        <f t="shared" si="45"/>
        <v>91 Elementary trades and related occupations</v>
      </c>
      <c r="CA32" s="68">
        <v>183.43575968841543</v>
      </c>
      <c r="CB32" s="68">
        <v>161.25583550601422</v>
      </c>
      <c r="CC32" s="68">
        <v>139.29122457194501</v>
      </c>
      <c r="CD32" s="68">
        <v>109.22597589029162</v>
      </c>
      <c r="CE32" s="68">
        <v>84.737031887555574</v>
      </c>
      <c r="CF32" s="68"/>
      <c r="CG32" s="68">
        <f t="shared" si="46"/>
        <v>-54.554192684389434</v>
      </c>
      <c r="CH32" s="68">
        <f>'RD T1'!E263</f>
        <v>39.276383891510001</v>
      </c>
      <c r="CI32" s="68">
        <f t="shared" si="47"/>
        <v>-15.277808792879433</v>
      </c>
      <c r="CK32" t="str">
        <f t="shared" si="48"/>
        <v>91 Elementary trades and related occupations</v>
      </c>
      <c r="CL32" s="68">
        <v>98.966424331921743</v>
      </c>
      <c r="CM32" s="68">
        <v>85.077523086362277</v>
      </c>
      <c r="CN32" s="68">
        <v>73.161157892648717</v>
      </c>
      <c r="CO32" s="68">
        <v>53.804445788249687</v>
      </c>
      <c r="CP32" s="68">
        <v>39.143253971522221</v>
      </c>
      <c r="CQ32" s="68"/>
      <c r="CR32" s="68">
        <f t="shared" si="49"/>
        <v>-34.017903921126496</v>
      </c>
      <c r="CS32" s="68">
        <f>'RD T1'!E292</f>
        <v>15.446513577137978</v>
      </c>
      <c r="CT32" s="68">
        <f t="shared" si="50"/>
        <v>-18.571390343988519</v>
      </c>
    </row>
    <row r="33" spans="1:98" x14ac:dyDescent="0.3">
      <c r="A33" s="10" t="str">
        <f>name!D29</f>
        <v>92 Elementary administration and service occupations</v>
      </c>
      <c r="B33" s="68">
        <v>2.318978716831873</v>
      </c>
      <c r="C33" s="68">
        <v>3.0360520230782546</v>
      </c>
      <c r="D33" s="68">
        <v>2.9894635853171918</v>
      </c>
      <c r="E33" s="68">
        <v>4.2948558469336886</v>
      </c>
      <c r="F33" s="68">
        <v>6.5648678210576366</v>
      </c>
      <c r="G33" s="11"/>
      <c r="H33" s="68">
        <f t="shared" ref="H33" si="52">F33-D33</f>
        <v>3.5754042357404447</v>
      </c>
      <c r="I33" s="68">
        <f>'RD T1'!E61</f>
        <v>2.7742503814970942</v>
      </c>
      <c r="J33" s="68">
        <f>SUM(H33:I33)</f>
        <v>6.3496546172375385</v>
      </c>
      <c r="L33" t="str">
        <f t="shared" ref="L33" si="53">A33</f>
        <v>92 Elementary administration and service occupations</v>
      </c>
      <c r="M33" s="68">
        <v>62.958391726028793</v>
      </c>
      <c r="N33" s="68">
        <v>88.394993237974219</v>
      </c>
      <c r="O33" s="68">
        <v>91.167190107563059</v>
      </c>
      <c r="P33" s="68">
        <v>137.26701800461248</v>
      </c>
      <c r="Q33" s="68">
        <v>246.9224078655723</v>
      </c>
      <c r="R33" s="11"/>
      <c r="S33" s="68">
        <f t="shared" ref="S33" si="54">Q33-O33</f>
        <v>155.75521775800922</v>
      </c>
      <c r="T33" s="68">
        <f>'RD T1'!E90</f>
        <v>96.818740860212571</v>
      </c>
      <c r="U33" s="68">
        <f t="shared" ref="U33" si="55">SUM(S33:T33)</f>
        <v>252.57395861822181</v>
      </c>
      <c r="W33" t="str">
        <f t="shared" ref="W33" si="56">A33</f>
        <v>92 Elementary administration and service occupations</v>
      </c>
      <c r="X33" s="68">
        <v>234.84895817314293</v>
      </c>
      <c r="Y33" s="68">
        <v>278.40867016552352</v>
      </c>
      <c r="Z33" s="68">
        <v>285.52708682207344</v>
      </c>
      <c r="AA33" s="68">
        <v>344.77811291773816</v>
      </c>
      <c r="AB33" s="68">
        <v>452.11463979795809</v>
      </c>
      <c r="AC33" s="68"/>
      <c r="AD33" s="68">
        <f t="shared" ref="AD33" si="57">AB33-Z33</f>
        <v>166.58755297588465</v>
      </c>
      <c r="AE33" s="68">
        <f>'RD T1'!E119</f>
        <v>239.25590482828667</v>
      </c>
      <c r="AF33" s="68">
        <f t="shared" ref="AF33" si="58">SUM(AD33:AE33)</f>
        <v>405.84345780417129</v>
      </c>
      <c r="AH33" t="str">
        <f t="shared" ref="AH33" si="59">L33</f>
        <v>92 Elementary administration and service occupations</v>
      </c>
      <c r="AI33" s="68">
        <v>112.49784572941344</v>
      </c>
      <c r="AJ33" s="68">
        <v>133.4839868280915</v>
      </c>
      <c r="AK33" s="68">
        <v>139.42121140341655</v>
      </c>
      <c r="AL33" s="68">
        <v>165.63637170363924</v>
      </c>
      <c r="AM33" s="68">
        <v>221.65476637576134</v>
      </c>
      <c r="AN33" s="68"/>
      <c r="AO33" s="68">
        <f t="shared" ref="AO33" si="60">AM33-AK33</f>
        <v>82.233554972344791</v>
      </c>
      <c r="AP33" s="68">
        <f>'RD T1'!E148</f>
        <v>110.89881562799471</v>
      </c>
      <c r="AQ33" s="68">
        <f t="shared" ref="AQ33" si="61">SUM(AO33:AP33)</f>
        <v>193.1323706003395</v>
      </c>
      <c r="AS33" t="str">
        <f t="shared" ref="AS33" si="62">W33</f>
        <v>92 Elementary administration and service occupations</v>
      </c>
      <c r="AT33" s="68">
        <v>102.85635897002314</v>
      </c>
      <c r="AU33" s="68">
        <v>114.28946756558771</v>
      </c>
      <c r="AV33" s="68">
        <v>123.02871154173455</v>
      </c>
      <c r="AW33" s="68">
        <v>142.80650557253821</v>
      </c>
      <c r="AX33" s="68">
        <v>188.13644265760442</v>
      </c>
      <c r="AY33" s="68"/>
      <c r="AZ33" s="68">
        <f t="shared" ref="AZ33" si="63">AX33-AV33</f>
        <v>65.107731115869868</v>
      </c>
      <c r="BA33" s="68">
        <f>'RD T1'!E177</f>
        <v>93.973495660865808</v>
      </c>
      <c r="BB33" s="68">
        <f t="shared" ref="BB33" si="64">SUM(AZ33:BA33)</f>
        <v>159.08122677673566</v>
      </c>
      <c r="BD33" t="str">
        <f t="shared" ref="BD33" si="65">AH33</f>
        <v>92 Elementary administration and service occupations</v>
      </c>
      <c r="BE33" s="68">
        <v>589.53307208992135</v>
      </c>
      <c r="BF33" s="68">
        <v>578.03615397451438</v>
      </c>
      <c r="BG33" s="68">
        <v>548.22518940471411</v>
      </c>
      <c r="BH33" s="68">
        <v>543.11342072897469</v>
      </c>
      <c r="BI33" s="68">
        <v>526.78442597397327</v>
      </c>
      <c r="BJ33" s="68"/>
      <c r="BK33" s="68">
        <f t="shared" ref="BK33" si="66">BI33-BG33</f>
        <v>-21.440763430740844</v>
      </c>
      <c r="BL33" s="68">
        <f>'RD T1'!E206</f>
        <v>262.90582157979003</v>
      </c>
      <c r="BM33" s="68">
        <f t="shared" ref="BM33" si="67">SUM(BK33:BL33)</f>
        <v>241.46505814904918</v>
      </c>
      <c r="BO33" t="str">
        <f t="shared" ref="BO33" si="68">AS33</f>
        <v>92 Elementary administration and service occupations</v>
      </c>
      <c r="BP33" s="68">
        <v>943.59582298093142</v>
      </c>
      <c r="BQ33" s="68">
        <v>972.52516280775319</v>
      </c>
      <c r="BR33" s="68">
        <v>873.67415160818553</v>
      </c>
      <c r="BS33" s="68">
        <v>895.7442996625856</v>
      </c>
      <c r="BT33" s="68">
        <v>777.13707301421641</v>
      </c>
      <c r="BU33" s="68"/>
      <c r="BV33" s="68">
        <f t="shared" ref="BV33" si="69">BT33-BR33</f>
        <v>-96.537078593969113</v>
      </c>
      <c r="BW33" s="68">
        <f>'RD T1'!E235</f>
        <v>403.32628740257837</v>
      </c>
      <c r="BX33" s="68">
        <f t="shared" ref="BX33" si="70">SUM(BV33:BW33)</f>
        <v>306.78920880860926</v>
      </c>
      <c r="BZ33" t="str">
        <f t="shared" ref="BZ33" si="71">BD33</f>
        <v>92 Elementary administration and service occupations</v>
      </c>
      <c r="CA33" s="68">
        <v>864.2656422932946</v>
      </c>
      <c r="CB33" s="68">
        <v>867.43476701817542</v>
      </c>
      <c r="CC33" s="68">
        <v>764.17366438553677</v>
      </c>
      <c r="CD33" s="68">
        <v>747.73376866354431</v>
      </c>
      <c r="CE33" s="68">
        <v>514.71210703512099</v>
      </c>
      <c r="CF33" s="68"/>
      <c r="CG33" s="68">
        <f t="shared" ref="CG33" si="72">CE33-CC33</f>
        <v>-249.46155735041577</v>
      </c>
      <c r="CH33" s="68">
        <f>'RD T1'!E264</f>
        <v>268.29476171882249</v>
      </c>
      <c r="CI33" s="68">
        <f t="shared" ref="CI33" si="73">SUM(CG33:CH33)</f>
        <v>18.833204368406712</v>
      </c>
      <c r="CK33" t="str">
        <f t="shared" ref="CK33" si="74">BO33</f>
        <v>92 Elementary administration and service occupations</v>
      </c>
      <c r="CL33" s="68">
        <v>472.82377060385232</v>
      </c>
      <c r="CM33" s="68">
        <v>381.98878868730583</v>
      </c>
      <c r="CN33" s="68">
        <v>305.31843343212807</v>
      </c>
      <c r="CO33" s="68">
        <v>222.53621484642812</v>
      </c>
      <c r="CP33" s="68">
        <v>151.55507902153329</v>
      </c>
      <c r="CQ33" s="68"/>
      <c r="CR33" s="68">
        <f t="shared" ref="CR33" si="75">CP33-CN33</f>
        <v>-153.76335441059479</v>
      </c>
      <c r="CS33" s="68">
        <f>'RD T1'!E293</f>
        <v>57.294516363512493</v>
      </c>
      <c r="CT33" s="68">
        <f t="shared" ref="CT33" si="76">SUM(CR33:CS33)</f>
        <v>-96.468838047082301</v>
      </c>
    </row>
    <row r="34" spans="1:98" x14ac:dyDescent="0.3">
      <c r="B34" s="11"/>
      <c r="C34" s="11"/>
      <c r="D34" s="11"/>
      <c r="E34" s="11"/>
      <c r="F34" s="11"/>
      <c r="G34" s="11"/>
      <c r="H34" s="68"/>
      <c r="I34" s="68"/>
      <c r="J34" s="68"/>
      <c r="M34" s="68"/>
      <c r="N34" s="68"/>
      <c r="O34" s="68"/>
      <c r="P34" s="68"/>
      <c r="Q34" s="68"/>
      <c r="R34" s="11"/>
      <c r="S34" s="68"/>
      <c r="T34" s="68"/>
      <c r="U34" s="68"/>
      <c r="X34" s="68"/>
      <c r="Y34" s="68"/>
      <c r="Z34" s="68"/>
      <c r="AA34" s="68"/>
      <c r="AB34" s="68"/>
      <c r="AC34" s="68"/>
      <c r="AD34" s="68"/>
      <c r="AE34" s="68"/>
      <c r="AF34" s="68"/>
      <c r="AI34" s="68"/>
      <c r="AJ34" s="68"/>
      <c r="AK34" s="68"/>
      <c r="AL34" s="68"/>
      <c r="AM34" s="68"/>
      <c r="AN34" s="68"/>
      <c r="AO34" s="68"/>
      <c r="AP34" s="68"/>
      <c r="AQ34" s="68"/>
      <c r="AT34" s="68"/>
      <c r="AU34" s="68"/>
      <c r="AV34" s="68"/>
      <c r="AW34" s="68"/>
      <c r="AX34" s="68"/>
      <c r="AY34" s="68"/>
      <c r="AZ34" s="68"/>
      <c r="BA34" s="68"/>
      <c r="BB34" s="68"/>
      <c r="BE34" s="68"/>
      <c r="BF34" s="68"/>
      <c r="BG34" s="68"/>
      <c r="BH34" s="68"/>
      <c r="BI34" s="68"/>
      <c r="BJ34" s="68"/>
      <c r="BK34" s="68"/>
      <c r="BL34" s="68"/>
      <c r="BM34" s="68"/>
      <c r="BP34" s="68"/>
      <c r="BQ34" s="68"/>
      <c r="BR34" s="68"/>
      <c r="BS34" s="68"/>
      <c r="BT34" s="68"/>
      <c r="BU34" s="68"/>
      <c r="BV34" s="68"/>
      <c r="BW34" s="68"/>
      <c r="BX34" s="68"/>
      <c r="CA34" s="68"/>
      <c r="CB34" s="68"/>
      <c r="CC34" s="68"/>
      <c r="CD34" s="68"/>
      <c r="CE34" s="68"/>
      <c r="CF34" s="68"/>
      <c r="CG34" s="68"/>
      <c r="CH34" s="68"/>
      <c r="CI34" s="68"/>
      <c r="CL34" s="68"/>
      <c r="CM34" s="68"/>
      <c r="CN34" s="68"/>
      <c r="CO34" s="68"/>
      <c r="CP34" s="68"/>
      <c r="CQ34" s="68"/>
      <c r="CR34" s="68"/>
      <c r="CS34" s="68"/>
      <c r="CT34" s="68"/>
    </row>
    <row r="35" spans="1:98" x14ac:dyDescent="0.3">
      <c r="A35" s="231" t="str">
        <f>name!D3</f>
        <v>All occupations</v>
      </c>
      <c r="B35" s="66">
        <f>SUM(B8:B33)</f>
        <v>455.81070126678298</v>
      </c>
      <c r="C35" s="66">
        <f t="shared" ref="C35:F35" si="77">SUM(C8:C33)</f>
        <v>588.17170318178876</v>
      </c>
      <c r="D35" s="66">
        <f t="shared" si="77"/>
        <v>611.36556836037607</v>
      </c>
      <c r="E35" s="66">
        <f t="shared" si="77"/>
        <v>777.49428774510443</v>
      </c>
      <c r="F35" s="66">
        <f t="shared" si="77"/>
        <v>1077.1920536731884</v>
      </c>
      <c r="G35" s="11"/>
      <c r="H35" s="66">
        <f>F35-D35</f>
        <v>465.82648531281234</v>
      </c>
      <c r="I35" s="66">
        <f>SUM(I8:I33)</f>
        <v>416.07941522606592</v>
      </c>
      <c r="J35" s="66">
        <f>SUM(H35:I35)</f>
        <v>881.90590053887831</v>
      </c>
      <c r="L35" s="23" t="str">
        <f>A35</f>
        <v>All occupations</v>
      </c>
      <c r="M35" s="66">
        <f>SUM(M8:M33)</f>
        <v>3156.2390605195842</v>
      </c>
      <c r="N35" s="66">
        <f t="shared" ref="N35:Q35" si="78">SUM(N8:N33)</f>
        <v>4137.7151575520711</v>
      </c>
      <c r="O35" s="66">
        <f t="shared" si="78"/>
        <v>4336.7615670433843</v>
      </c>
      <c r="P35" s="66">
        <f t="shared" si="78"/>
        <v>5512.5167236497027</v>
      </c>
      <c r="Q35" s="66">
        <f t="shared" si="78"/>
        <v>7687.6513264445657</v>
      </c>
      <c r="R35" s="11"/>
      <c r="S35" s="66">
        <f>Q35-O35</f>
        <v>3350.8897594011814</v>
      </c>
      <c r="T35" s="66">
        <f>SUM(T8:T33)</f>
        <v>3094.5105697904651</v>
      </c>
      <c r="U35" s="66">
        <f>SUM(S35:T35)</f>
        <v>6445.400329191647</v>
      </c>
      <c r="W35" s="23" t="str">
        <f>A35</f>
        <v>All occupations</v>
      </c>
      <c r="X35" s="66">
        <f>SUM(X8:X33)</f>
        <v>6603.7554747345166</v>
      </c>
      <c r="Y35" s="66">
        <f t="shared" ref="Y35:AB35" si="79">SUM(Y8:Y33)</f>
        <v>7230.514719213028</v>
      </c>
      <c r="Z35" s="66">
        <f t="shared" si="79"/>
        <v>7562.4602922181639</v>
      </c>
      <c r="AA35" s="66">
        <f t="shared" si="79"/>
        <v>8102.5792335632141</v>
      </c>
      <c r="AB35" s="66">
        <f t="shared" si="79"/>
        <v>9232.4204173538146</v>
      </c>
      <c r="AC35" s="11"/>
      <c r="AD35" s="66">
        <f>AB35-Z35</f>
        <v>1669.9601251356507</v>
      </c>
      <c r="AE35" s="66">
        <f>SUM(AE8:AE33)</f>
        <v>4583.1847952628978</v>
      </c>
      <c r="AF35" s="66">
        <f>SUM(AD35:AE35)</f>
        <v>6253.1449203985485</v>
      </c>
      <c r="AH35" s="23" t="str">
        <f>L35</f>
        <v>All occupations</v>
      </c>
      <c r="AI35" s="66">
        <f>SUM(AI8:AI33)</f>
        <v>1980.0475475681606</v>
      </c>
      <c r="AJ35" s="66">
        <f t="shared" ref="AJ35:AM35" si="80">SUM(AJ8:AJ33)</f>
        <v>1970.7601286444558</v>
      </c>
      <c r="AK35" s="66">
        <f t="shared" si="80"/>
        <v>2054.5752318363388</v>
      </c>
      <c r="AL35" s="66">
        <f t="shared" si="80"/>
        <v>2061.0175379572411</v>
      </c>
      <c r="AM35" s="66">
        <f t="shared" si="80"/>
        <v>2279.8253957201214</v>
      </c>
      <c r="AN35" s="11"/>
      <c r="AO35" s="66">
        <f>AM35-AK35</f>
        <v>225.25016388378253</v>
      </c>
      <c r="AP35" s="66">
        <f>SUM(AP8:AP33)</f>
        <v>1141.5989442138964</v>
      </c>
      <c r="AQ35" s="66">
        <f>SUM(AO35:AP35)</f>
        <v>1366.8491080976789</v>
      </c>
      <c r="AS35" s="23" t="str">
        <f>W35</f>
        <v>All occupations</v>
      </c>
      <c r="AT35" s="66">
        <f>SUM(AT8:AT33)</f>
        <v>1842.1923165270764</v>
      </c>
      <c r="AU35" s="66">
        <f t="shared" ref="AU35:AX35" si="81">SUM(AU8:AU33)</f>
        <v>1959.5697046758762</v>
      </c>
      <c r="AV35" s="66">
        <f t="shared" si="81"/>
        <v>2058.6092684674059</v>
      </c>
      <c r="AW35" s="66">
        <f t="shared" si="81"/>
        <v>2158.1737286960201</v>
      </c>
      <c r="AX35" s="66">
        <f t="shared" si="81"/>
        <v>2475.3919333699296</v>
      </c>
      <c r="AY35" s="11"/>
      <c r="AZ35" s="66">
        <f>AX35-AV35</f>
        <v>416.78266490252372</v>
      </c>
      <c r="BA35" s="66">
        <f>SUM(BA8:BA33)</f>
        <v>1178.7064425780115</v>
      </c>
      <c r="BB35" s="66">
        <f>SUM(AZ35:BA35)</f>
        <v>1595.4891074805353</v>
      </c>
      <c r="BD35" s="23" t="str">
        <f>AH35</f>
        <v>All occupations</v>
      </c>
      <c r="BE35" s="66">
        <f>SUM(BE8:BE33)</f>
        <v>6582.0988171902864</v>
      </c>
      <c r="BF35" s="66">
        <f t="shared" ref="BF35:BI35" si="82">SUM(BF8:BF33)</f>
        <v>6819.7830359985646</v>
      </c>
      <c r="BG35" s="66">
        <f t="shared" si="82"/>
        <v>6743.1586895525579</v>
      </c>
      <c r="BH35" s="66">
        <f t="shared" si="82"/>
        <v>6707.7994628999222</v>
      </c>
      <c r="BI35" s="66">
        <f t="shared" si="82"/>
        <v>6618.9940357599153</v>
      </c>
      <c r="BJ35" s="11"/>
      <c r="BK35" s="66">
        <f>BI35-BG35</f>
        <v>-124.16465379264264</v>
      </c>
      <c r="BL35" s="66">
        <f>SUM(BL8:BL33)</f>
        <v>2995.507291476707</v>
      </c>
      <c r="BM35" s="66">
        <f>SUM(BK35:BL35)</f>
        <v>2871.3426376840644</v>
      </c>
      <c r="BO35" s="23" t="str">
        <f>AS35</f>
        <v>All occupations</v>
      </c>
      <c r="BP35" s="66">
        <f>SUM(BP8:BP33)</f>
        <v>6682.782162095531</v>
      </c>
      <c r="BQ35" s="66">
        <f t="shared" ref="BQ35:BT35" si="83">SUM(BQ8:BQ33)</f>
        <v>6657.6209919773837</v>
      </c>
      <c r="BR35" s="66">
        <f t="shared" si="83"/>
        <v>6248.7447207958057</v>
      </c>
      <c r="BS35" s="66">
        <f t="shared" si="83"/>
        <v>5968.0626278923673</v>
      </c>
      <c r="BT35" s="66">
        <f t="shared" si="83"/>
        <v>4929.3643298447405</v>
      </c>
      <c r="BU35" s="11"/>
      <c r="BV35" s="66">
        <f>BT35-BR35</f>
        <v>-1319.3803909510652</v>
      </c>
      <c r="BW35" s="66">
        <f>SUM(BW8:BW33)</f>
        <v>2530.2631234949467</v>
      </c>
      <c r="BX35" s="66">
        <f>SUM(BV35:BW35)</f>
        <v>1210.8827325438815</v>
      </c>
      <c r="BZ35" s="23" t="str">
        <f>BD35</f>
        <v>All occupations</v>
      </c>
      <c r="CA35" s="66">
        <f>SUM(CA8:CA33)</f>
        <v>4520.7232655943226</v>
      </c>
      <c r="CB35" s="66">
        <f t="shared" ref="CB35:CE35" si="84">SUM(CB8:CB33)</f>
        <v>4323.3959219964354</v>
      </c>
      <c r="CC35" s="66">
        <f t="shared" si="84"/>
        <v>3929.385267282546</v>
      </c>
      <c r="CD35" s="66">
        <f t="shared" si="84"/>
        <v>3543.1096039464664</v>
      </c>
      <c r="CE35" s="66">
        <f t="shared" si="84"/>
        <v>2343.6324984872617</v>
      </c>
      <c r="CF35" s="11"/>
      <c r="CG35" s="66">
        <f>CE35-CC35</f>
        <v>-1585.7527687952843</v>
      </c>
      <c r="CH35" s="66">
        <f>SUM(CH8:CH33)</f>
        <v>1235.9947732705255</v>
      </c>
      <c r="CI35" s="66">
        <f>SUM(CG35:CH35)</f>
        <v>-349.75799552475883</v>
      </c>
      <c r="CK35" s="23" t="str">
        <f>BO35</f>
        <v>All occupations</v>
      </c>
      <c r="CL35" s="66">
        <f>SUM(CL8:CL33)</f>
        <v>1832.3356545038048</v>
      </c>
      <c r="CM35" s="66">
        <f t="shared" ref="CM35:CO35" si="85">SUM(CM8:CM33)</f>
        <v>1677.4726367605972</v>
      </c>
      <c r="CN35" s="66">
        <f>SUM(CN8:CN33)</f>
        <v>1429.9073944432539</v>
      </c>
      <c r="CO35" s="66">
        <f t="shared" si="85"/>
        <v>1191.570793649779</v>
      </c>
      <c r="CP35" s="66">
        <f>SUM(CP8:CP33)</f>
        <v>923.4000093465587</v>
      </c>
      <c r="CQ35" s="11"/>
      <c r="CR35" s="66">
        <f>CP35-CN35</f>
        <v>-506.5073850966952</v>
      </c>
      <c r="CS35" s="66">
        <f>SUM(CS8:CS33)</f>
        <v>358.51030828891601</v>
      </c>
      <c r="CT35" s="66">
        <f>SUM(CR35:CS35)</f>
        <v>-147.99707680777919</v>
      </c>
    </row>
    <row r="38" spans="1:98" ht="52.5" customHeight="1" x14ac:dyDescent="0.3">
      <c r="A38" s="379" t="str">
        <f>CONCATENATE(A$1," (Continued)")</f>
        <v>Basic Table 2  Employment Change by Occupation and Replacement Demand, RQF8 Doctorate, 2015-2035, United Kingdom (Continued)</v>
      </c>
      <c r="B38" s="379"/>
      <c r="C38" s="379"/>
      <c r="D38" s="379"/>
      <c r="E38" s="379"/>
      <c r="F38" s="379"/>
      <c r="G38" s="379"/>
      <c r="H38" s="379"/>
      <c r="I38" s="379"/>
      <c r="J38" s="379"/>
      <c r="L38" s="379" t="str">
        <f>CONCATENATE(L$1," (Continued)")</f>
        <v>Basic Table 2.1  Employment Change by Occupation and Replacement Demand, RQF7 Other higher degree, 2015-2035, United Kingdom (Continued)</v>
      </c>
      <c r="M38" s="379"/>
      <c r="N38" s="379"/>
      <c r="O38" s="379"/>
      <c r="P38" s="379"/>
      <c r="Q38" s="379"/>
      <c r="R38" s="379"/>
      <c r="S38" s="379"/>
      <c r="T38" s="379"/>
      <c r="U38" s="379"/>
      <c r="W38" s="379" t="str">
        <f>CONCATENATE(W$1," (Continued)")</f>
        <v>Basic Table 2.2  Employment Change by Occupation and Replacement Demand, RQF6 First degree, 2015-2035, United Kingdom (Continued)</v>
      </c>
      <c r="X38" s="379"/>
      <c r="Y38" s="379"/>
      <c r="Z38" s="379"/>
      <c r="AA38" s="379"/>
      <c r="AB38" s="379"/>
      <c r="AC38" s="379"/>
      <c r="AD38" s="379"/>
      <c r="AE38" s="379"/>
      <c r="AF38" s="379"/>
      <c r="AH38" s="379" t="str">
        <f>CONCATENATE(AH$1," (Continued)")</f>
        <v>Basic Table 2.3  Employment Change by Occupation and Replacement Demand, RQF5 Foundation degree;Nursing;Teaching, 2015-2035, United Kingdom (Continued)</v>
      </c>
      <c r="AI38" s="379"/>
      <c r="AJ38" s="379"/>
      <c r="AK38" s="379"/>
      <c r="AL38" s="379"/>
      <c r="AM38" s="379"/>
      <c r="AN38" s="379"/>
      <c r="AO38" s="379"/>
      <c r="AP38" s="379"/>
      <c r="AQ38" s="379"/>
      <c r="AS38" s="379" t="str">
        <f>CONCATENATE(AS$1," (Continued)")</f>
        <v>Basic Table 2.4  Employment Change by Occupation and Replacement Demand, RQF4 HE below degree level, 2015-2035, United Kingdom (Continued)</v>
      </c>
      <c r="AT38" s="379"/>
      <c r="AU38" s="379"/>
      <c r="AV38" s="379"/>
      <c r="AW38" s="379"/>
      <c r="AX38" s="379"/>
      <c r="AY38" s="379"/>
      <c r="AZ38" s="379"/>
      <c r="BA38" s="379"/>
      <c r="BB38" s="379"/>
      <c r="BD38" s="379" t="str">
        <f>CONCATENATE(BD$1," (Continued)")</f>
        <v>Basic Table 2.5  Employment Change by Occupation and Replacement Demand, RQF3 A level &amp; equivalent, 2015-2035, United Kingdom (Continued)</v>
      </c>
      <c r="BE38" s="379"/>
      <c r="BF38" s="379"/>
      <c r="BG38" s="379"/>
      <c r="BH38" s="379"/>
      <c r="BI38" s="379"/>
      <c r="BJ38" s="379"/>
      <c r="BK38" s="379"/>
      <c r="BL38" s="379"/>
      <c r="BM38" s="379"/>
      <c r="BO38" s="379" t="str">
        <f>CONCATENATE(BO$1," (Continued)")</f>
        <v>Basic Table 2.6  Employment Change by Occupation and Replacement Demand, RQF2 GCSE(A-C) &amp; equivalent, 2015-2035, United Kingdom (Continued)</v>
      </c>
      <c r="BP38" s="379"/>
      <c r="BQ38" s="379"/>
      <c r="BR38" s="379"/>
      <c r="BS38" s="379"/>
      <c r="BT38" s="379"/>
      <c r="BU38" s="379"/>
      <c r="BV38" s="379"/>
      <c r="BW38" s="379"/>
      <c r="BX38" s="379"/>
      <c r="BZ38" s="379" t="str">
        <f>CONCATENATE(BZ$1," (Continued)")</f>
        <v>Basic Table 2.7  Employment Change by Occupation and Replacement Demand, RQF1 GCSE(below grade C) &amp; equivalent, 2015-2035, United Kingdom (Continued)</v>
      </c>
      <c r="CA38" s="379"/>
      <c r="CB38" s="379"/>
      <c r="CC38" s="379"/>
      <c r="CD38" s="379"/>
      <c r="CE38" s="379"/>
      <c r="CF38" s="379"/>
      <c r="CG38" s="379"/>
      <c r="CH38" s="379"/>
      <c r="CI38" s="379"/>
      <c r="CK38" s="379" t="str">
        <f>CONCATENATE(CK$1," (Continued)")</f>
        <v>Basic Table 2.8  Employment Change by Occupation and Replacement Demand, No Qualification, 2015-2035, United Kingdom (Continued)</v>
      </c>
      <c r="CL38" s="379"/>
      <c r="CM38" s="379"/>
      <c r="CN38" s="379"/>
      <c r="CO38" s="379"/>
      <c r="CP38" s="379"/>
      <c r="CQ38" s="379"/>
      <c r="CR38" s="379"/>
      <c r="CS38" s="379"/>
      <c r="CT38" s="379"/>
    </row>
    <row r="39" spans="1:98" ht="12.75" customHeight="1" x14ac:dyDescent="0.3"/>
    <row r="40" spans="1:98" ht="12.75" customHeight="1" x14ac:dyDescent="0.3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  <c r="AM40" s="15" t="s">
        <v>34</v>
      </c>
      <c r="AQ40" s="15" t="s">
        <v>34</v>
      </c>
      <c r="AX40" s="15" t="s">
        <v>34</v>
      </c>
      <c r="BB40" s="15" t="s">
        <v>34</v>
      </c>
      <c r="BI40" s="15" t="s">
        <v>34</v>
      </c>
      <c r="BM40" s="15" t="s">
        <v>34</v>
      </c>
      <c r="BT40" s="15" t="s">
        <v>34</v>
      </c>
      <c r="BX40" s="15" t="s">
        <v>34</v>
      </c>
      <c r="CE40" s="15" t="s">
        <v>34</v>
      </c>
      <c r="CI40" s="15" t="s">
        <v>34</v>
      </c>
      <c r="CP40" s="15" t="s">
        <v>34</v>
      </c>
      <c r="CT40" s="15" t="s">
        <v>34</v>
      </c>
    </row>
    <row r="41" spans="1:98" ht="12.75" customHeight="1" x14ac:dyDescent="0.3">
      <c r="A41" s="35"/>
      <c r="B41" s="35"/>
      <c r="C41" s="35"/>
      <c r="D41" s="35"/>
      <c r="E41" s="35"/>
      <c r="F41" s="35"/>
      <c r="H41" s="27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27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27" t="str">
        <f>$H$4</f>
        <v>2020-2035</v>
      </c>
      <c r="AE41" s="35"/>
      <c r="AF41" s="35"/>
      <c r="AH41" s="35"/>
      <c r="AI41" s="35"/>
      <c r="AJ41" s="35"/>
      <c r="AK41" s="35"/>
      <c r="AL41" s="35"/>
      <c r="AM41" s="35"/>
      <c r="AO41" s="27" t="str">
        <f>$H$4</f>
        <v>2020-2035</v>
      </c>
      <c r="AP41" s="35"/>
      <c r="AQ41" s="35"/>
      <c r="AS41" s="35"/>
      <c r="AT41" s="35"/>
      <c r="AU41" s="35"/>
      <c r="AV41" s="35"/>
      <c r="AW41" s="35"/>
      <c r="AX41" s="35"/>
      <c r="AZ41" s="27" t="str">
        <f>$H$4</f>
        <v>2020-2035</v>
      </c>
      <c r="BA41" s="35"/>
      <c r="BB41" s="35"/>
      <c r="BD41" s="35"/>
      <c r="BE41" s="35"/>
      <c r="BF41" s="35"/>
      <c r="BG41" s="35"/>
      <c r="BH41" s="35"/>
      <c r="BI41" s="35"/>
      <c r="BK41" s="27" t="str">
        <f>$H$4</f>
        <v>2020-2035</v>
      </c>
      <c r="BL41" s="35"/>
      <c r="BM41" s="35"/>
      <c r="BO41" s="35"/>
      <c r="BP41" s="35"/>
      <c r="BQ41" s="35"/>
      <c r="BR41" s="35"/>
      <c r="BS41" s="35"/>
      <c r="BT41" s="35"/>
      <c r="BV41" s="27" t="str">
        <f>$H$4</f>
        <v>2020-2035</v>
      </c>
      <c r="BW41" s="35"/>
      <c r="BX41" s="35"/>
      <c r="BZ41" s="35"/>
      <c r="CA41" s="35"/>
      <c r="CB41" s="35"/>
      <c r="CC41" s="35"/>
      <c r="CD41" s="35"/>
      <c r="CE41" s="35"/>
      <c r="CG41" s="27" t="str">
        <f>$H$4</f>
        <v>2020-2035</v>
      </c>
      <c r="CH41" s="35"/>
      <c r="CI41" s="35"/>
      <c r="CK41" s="35"/>
      <c r="CL41" s="35"/>
      <c r="CM41" s="35"/>
      <c r="CN41" s="35"/>
      <c r="CO41" s="35"/>
      <c r="CP41" s="35"/>
      <c r="CR41" s="27" t="str">
        <f>$H$4</f>
        <v>2020-2035</v>
      </c>
      <c r="CS41" s="35"/>
      <c r="CT41" s="35"/>
    </row>
    <row r="42" spans="1:98" ht="12.75" customHeight="1" x14ac:dyDescent="0.3">
      <c r="H42" s="15" t="str">
        <f t="shared" ref="H42:J43" si="86">H5</f>
        <v>Net</v>
      </c>
      <c r="I42" s="15" t="str">
        <f t="shared" si="86"/>
        <v>Replacement</v>
      </c>
      <c r="J42" s="15" t="str">
        <f t="shared" si="86"/>
        <v>Total</v>
      </c>
      <c r="S42" s="15" t="str">
        <f t="shared" ref="S42:U43" si="87">S5</f>
        <v>Net</v>
      </c>
      <c r="T42" s="15" t="str">
        <f t="shared" si="87"/>
        <v>Replacement</v>
      </c>
      <c r="U42" s="15" t="str">
        <f t="shared" si="87"/>
        <v>Total</v>
      </c>
      <c r="AD42" s="15" t="str">
        <f t="shared" ref="AD42:AF43" si="88">AD5</f>
        <v>Net</v>
      </c>
      <c r="AE42" s="15" t="str">
        <f t="shared" si="88"/>
        <v>Replacement</v>
      </c>
      <c r="AF42" s="15" t="str">
        <f t="shared" si="88"/>
        <v>Total</v>
      </c>
      <c r="AO42" s="15" t="str">
        <f t="shared" ref="AO42:AQ43" si="89">AO5</f>
        <v>Net</v>
      </c>
      <c r="AP42" s="15" t="str">
        <f t="shared" si="89"/>
        <v>Replacement</v>
      </c>
      <c r="AQ42" s="15" t="str">
        <f t="shared" si="89"/>
        <v>Total</v>
      </c>
      <c r="AZ42" s="15" t="str">
        <f t="shared" ref="AZ42:BB43" si="90">AZ5</f>
        <v>Net</v>
      </c>
      <c r="BA42" s="15" t="str">
        <f t="shared" si="90"/>
        <v>Replacement</v>
      </c>
      <c r="BB42" s="15" t="str">
        <f t="shared" si="90"/>
        <v>Total</v>
      </c>
      <c r="BK42" s="15" t="str">
        <f t="shared" ref="BK42:BM43" si="91">BK5</f>
        <v>Net</v>
      </c>
      <c r="BL42" s="15" t="str">
        <f t="shared" si="91"/>
        <v>Replacement</v>
      </c>
      <c r="BM42" s="15" t="str">
        <f t="shared" si="91"/>
        <v>Total</v>
      </c>
      <c r="BV42" s="15" t="str">
        <f t="shared" ref="BV42:BX43" si="92">BV5</f>
        <v>Net</v>
      </c>
      <c r="BW42" s="15" t="str">
        <f t="shared" si="92"/>
        <v>Replacement</v>
      </c>
      <c r="BX42" s="15" t="str">
        <f t="shared" si="92"/>
        <v>Total</v>
      </c>
      <c r="CG42" s="15" t="str">
        <f t="shared" ref="CG42:CI43" si="93">CG5</f>
        <v>Net</v>
      </c>
      <c r="CH42" s="15" t="str">
        <f t="shared" si="93"/>
        <v>Replacement</v>
      </c>
      <c r="CI42" s="15" t="str">
        <f t="shared" si="93"/>
        <v>Total</v>
      </c>
      <c r="CR42" s="15" t="str">
        <f t="shared" ref="CR42:CT43" si="94">CR5</f>
        <v>Net</v>
      </c>
      <c r="CS42" s="15" t="str">
        <f t="shared" si="94"/>
        <v>Replacement</v>
      </c>
      <c r="CT42" s="15" t="str">
        <f t="shared" si="94"/>
        <v>Total</v>
      </c>
    </row>
    <row r="43" spans="1:98" ht="12.75" customHeight="1" x14ac:dyDescent="0.3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86"/>
        <v>Change</v>
      </c>
      <c r="I43" s="62" t="str">
        <f t="shared" si="86"/>
        <v>Demand</v>
      </c>
      <c r="J43" s="62" t="str">
        <f t="shared" si="86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si="87"/>
        <v>Change</v>
      </c>
      <c r="T43" s="62" t="str">
        <f t="shared" si="87"/>
        <v>Demand</v>
      </c>
      <c r="U43" s="62" t="str">
        <f t="shared" si="8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si="88"/>
        <v>Change</v>
      </c>
      <c r="AE43" s="62" t="str">
        <f t="shared" si="88"/>
        <v>Demand</v>
      </c>
      <c r="AF43" s="62" t="str">
        <f t="shared" si="88"/>
        <v>Requirement</v>
      </c>
      <c r="AH43" s="40" t="s">
        <v>463</v>
      </c>
      <c r="AI43" s="34">
        <f>AI$6</f>
        <v>2015</v>
      </c>
      <c r="AJ43" s="34">
        <f>AJ$6</f>
        <v>2019</v>
      </c>
      <c r="AK43" s="34">
        <f>AK$6</f>
        <v>2020</v>
      </c>
      <c r="AL43" s="34">
        <f>AL$6</f>
        <v>2025</v>
      </c>
      <c r="AM43" s="34">
        <f>AM$6</f>
        <v>2035</v>
      </c>
      <c r="AO43" s="62" t="str">
        <f t="shared" si="89"/>
        <v>Change</v>
      </c>
      <c r="AP43" s="62" t="str">
        <f t="shared" si="89"/>
        <v>Demand</v>
      </c>
      <c r="AQ43" s="62" t="str">
        <f t="shared" si="89"/>
        <v>Requirement</v>
      </c>
      <c r="AS43" s="40" t="s">
        <v>463</v>
      </c>
      <c r="AT43" s="34">
        <f>AT$6</f>
        <v>2015</v>
      </c>
      <c r="AU43" s="34">
        <f>AU$6</f>
        <v>2019</v>
      </c>
      <c r="AV43" s="34">
        <f>AV$6</f>
        <v>2020</v>
      </c>
      <c r="AW43" s="34">
        <f>AW$6</f>
        <v>2025</v>
      </c>
      <c r="AX43" s="34">
        <f>AX$6</f>
        <v>2035</v>
      </c>
      <c r="AZ43" s="62" t="str">
        <f t="shared" si="90"/>
        <v>Change</v>
      </c>
      <c r="BA43" s="62" t="str">
        <f t="shared" si="90"/>
        <v>Demand</v>
      </c>
      <c r="BB43" s="62" t="str">
        <f t="shared" si="90"/>
        <v>Requirement</v>
      </c>
      <c r="BD43" s="40" t="s">
        <v>463</v>
      </c>
      <c r="BE43" s="34">
        <f>BE$6</f>
        <v>2015</v>
      </c>
      <c r="BF43" s="34">
        <f>BF$6</f>
        <v>2019</v>
      </c>
      <c r="BG43" s="34">
        <f>BG$6</f>
        <v>2020</v>
      </c>
      <c r="BH43" s="34">
        <f>BH$6</f>
        <v>2025</v>
      </c>
      <c r="BI43" s="34">
        <f>BI$6</f>
        <v>2035</v>
      </c>
      <c r="BK43" s="62" t="str">
        <f t="shared" si="91"/>
        <v>Change</v>
      </c>
      <c r="BL43" s="62" t="str">
        <f t="shared" si="91"/>
        <v>Demand</v>
      </c>
      <c r="BM43" s="62" t="str">
        <f t="shared" si="91"/>
        <v>Requirement</v>
      </c>
      <c r="BO43" s="40" t="s">
        <v>463</v>
      </c>
      <c r="BP43" s="34">
        <f>BP$6</f>
        <v>2015</v>
      </c>
      <c r="BQ43" s="34">
        <f>BQ$6</f>
        <v>2019</v>
      </c>
      <c r="BR43" s="34">
        <f>BR$6</f>
        <v>2020</v>
      </c>
      <c r="BS43" s="34">
        <f>BS$6</f>
        <v>2025</v>
      </c>
      <c r="BT43" s="34">
        <f>BT$6</f>
        <v>2035</v>
      </c>
      <c r="BV43" s="62" t="str">
        <f t="shared" si="92"/>
        <v>Change</v>
      </c>
      <c r="BW43" s="62" t="str">
        <f t="shared" si="92"/>
        <v>Demand</v>
      </c>
      <c r="BX43" s="62" t="str">
        <f t="shared" si="92"/>
        <v>Requirement</v>
      </c>
      <c r="BZ43" s="40" t="s">
        <v>463</v>
      </c>
      <c r="CA43" s="34">
        <f>CA$6</f>
        <v>2015</v>
      </c>
      <c r="CB43" s="34">
        <f>CB$6</f>
        <v>2019</v>
      </c>
      <c r="CC43" s="34">
        <f>CC$6</f>
        <v>2020</v>
      </c>
      <c r="CD43" s="34">
        <f>CD$6</f>
        <v>2025</v>
      </c>
      <c r="CE43" s="34">
        <f>CE$6</f>
        <v>2035</v>
      </c>
      <c r="CG43" s="62" t="str">
        <f t="shared" si="93"/>
        <v>Change</v>
      </c>
      <c r="CH43" s="62" t="str">
        <f t="shared" si="93"/>
        <v>Demand</v>
      </c>
      <c r="CI43" s="62" t="str">
        <f t="shared" si="93"/>
        <v>Requirement</v>
      </c>
      <c r="CK43" s="40" t="s">
        <v>463</v>
      </c>
      <c r="CL43" s="34">
        <f>CL$6</f>
        <v>2015</v>
      </c>
      <c r="CM43" s="34">
        <f>CM$6</f>
        <v>2019</v>
      </c>
      <c r="CN43" s="34">
        <f>CN$6</f>
        <v>2020</v>
      </c>
      <c r="CO43" s="34">
        <f>CO$6</f>
        <v>2025</v>
      </c>
      <c r="CP43" s="34">
        <f>CP$6</f>
        <v>2035</v>
      </c>
      <c r="CR43" s="62" t="str">
        <f t="shared" si="94"/>
        <v>Change</v>
      </c>
      <c r="CS43" s="62" t="str">
        <f t="shared" si="94"/>
        <v>Demand</v>
      </c>
      <c r="CT43" s="62" t="str">
        <f t="shared" si="94"/>
        <v>Requirement</v>
      </c>
    </row>
    <row r="44" spans="1:98" x14ac:dyDescent="0.3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3">
      <c r="A45" t="str">
        <f t="shared" ref="A45:A70" si="95">A8</f>
        <v>11 Corporate managers and directors</v>
      </c>
      <c r="B45" s="17">
        <f t="shared" ref="B45:F54" si="96">B8/B$35*100</f>
        <v>6.7177557826347352</v>
      </c>
      <c r="C45" s="17">
        <f t="shared" si="96"/>
        <v>7.166669540006831</v>
      </c>
      <c r="D45" s="17">
        <f t="shared" si="96"/>
        <v>7.2624394279745337</v>
      </c>
      <c r="E45" s="17">
        <f t="shared" si="96"/>
        <v>6.8205270123482249</v>
      </c>
      <c r="F45" s="17">
        <f t="shared" si="96"/>
        <v>7.1881171427136348</v>
      </c>
      <c r="H45" s="67">
        <f>IF(D8&gt;0,(H8/D8)*100,0)</f>
        <v>74.391289075098882</v>
      </c>
      <c r="I45" s="68">
        <f>IF(D8&gt;0,I8/D8*100,0)</f>
        <v>71.700434306518062</v>
      </c>
      <c r="J45" s="68">
        <f>IF(D8&gt;0,(J8/D8)*100,0)</f>
        <v>146.09172338161693</v>
      </c>
      <c r="L45" t="str">
        <f>A45</f>
        <v>11 Corporate managers and directors</v>
      </c>
      <c r="M45" s="17">
        <f t="shared" ref="M45:Q54" si="97">M8/M$35*100</f>
        <v>8.0867138842250252</v>
      </c>
      <c r="N45" s="17">
        <f t="shared" si="97"/>
        <v>8.6917603117514766</v>
      </c>
      <c r="O45" s="17">
        <f t="shared" si="97"/>
        <v>8.6651114853535312</v>
      </c>
      <c r="P45" s="17">
        <f t="shared" si="97"/>
        <v>7.9128155157380711</v>
      </c>
      <c r="Q45" s="17">
        <f t="shared" si="97"/>
        <v>8.1425649512600824</v>
      </c>
      <c r="S45" s="67">
        <f t="shared" ref="S45:S70" si="98">IF(O8&gt;0,(S8/O8)*100,0)</f>
        <v>66.577066217733417</v>
      </c>
      <c r="T45" s="68">
        <f t="shared" ref="T45:T70" si="99">IF(O8&gt;0,T8/O8*100,0)</f>
        <v>69.795016060898064</v>
      </c>
      <c r="U45" s="68">
        <f t="shared" ref="U45:U70" si="100">IF(O8&gt;0,(U8/O8)*100,0)</f>
        <v>136.37208227863147</v>
      </c>
      <c r="W45" t="str">
        <f>A45</f>
        <v>11 Corporate managers and directors</v>
      </c>
      <c r="X45" s="17">
        <f t="shared" ref="X45:AB54" si="101">X8/X$35*100</f>
        <v>9.5754765993127524</v>
      </c>
      <c r="Y45" s="17">
        <f t="shared" si="101"/>
        <v>10.464827348169925</v>
      </c>
      <c r="Z45" s="17">
        <f t="shared" si="101"/>
        <v>10.243689974987626</v>
      </c>
      <c r="AA45" s="17">
        <f t="shared" si="101"/>
        <v>9.2149305532805723</v>
      </c>
      <c r="AB45" s="17">
        <f t="shared" si="101"/>
        <v>9.1527665287608979</v>
      </c>
      <c r="AD45" s="67">
        <f t="shared" ref="AD45:AD70" si="102">IF(Z8&gt;0,(AD8/Z8)*100,0)</f>
        <v>9.0808274611750193</v>
      </c>
      <c r="AE45" s="68">
        <f t="shared" ref="AE45:AE70" si="103">IF(Z8&gt;0,AE8/Z8*100,0)</f>
        <v>58.109897815902691</v>
      </c>
      <c r="AF45" s="68">
        <f t="shared" ref="AF45:AF70" si="104">IF(Z8&gt;0,(AF8/Z8)*100,0)</f>
        <v>67.190725277077718</v>
      </c>
      <c r="AH45" t="str">
        <f>L45</f>
        <v>11 Corporate managers and directors</v>
      </c>
      <c r="AI45" s="17">
        <f t="shared" ref="AI45:AM54" si="105">AI8/AI$35*100</f>
        <v>6.1292256767279838</v>
      </c>
      <c r="AJ45" s="17">
        <f t="shared" si="105"/>
        <v>6.9282114971263091</v>
      </c>
      <c r="AK45" s="17">
        <f t="shared" si="105"/>
        <v>7.1072505714853973</v>
      </c>
      <c r="AL45" s="17">
        <f t="shared" si="105"/>
        <v>6.5006050472803336</v>
      </c>
      <c r="AM45" s="17">
        <f t="shared" si="105"/>
        <v>6.3799400873731118</v>
      </c>
      <c r="AO45" s="67">
        <f t="shared" ref="AO45:AO70" si="106">IF(AK8&gt;0,(AO8/AK8)*100,0)</f>
        <v>-0.39193304365379461</v>
      </c>
      <c r="AP45" s="68">
        <f t="shared" ref="AP45:AP70" si="107">IF(AK8&gt;0,AP8/AK8*100,0)</f>
        <v>50.46832882823238</v>
      </c>
      <c r="AQ45" s="68">
        <f t="shared" ref="AQ45:AQ70" si="108">IF(AK8&gt;0,(AQ8/AK8)*100,0)</f>
        <v>50.076395784578587</v>
      </c>
      <c r="AS45" t="str">
        <f>W45</f>
        <v>11 Corporate managers and directors</v>
      </c>
      <c r="AT45" s="17">
        <f t="shared" ref="AT45:AX54" si="109">AT8/AT$35*100</f>
        <v>9.5916759793448527</v>
      </c>
      <c r="AU45" s="17">
        <f t="shared" si="109"/>
        <v>10.218366431598865</v>
      </c>
      <c r="AV45" s="17">
        <f t="shared" si="109"/>
        <v>10.298133767295134</v>
      </c>
      <c r="AW45" s="17">
        <f t="shared" si="109"/>
        <v>8.8716207102225351</v>
      </c>
      <c r="AX45" s="17">
        <f t="shared" si="109"/>
        <v>8.4313954568408533</v>
      </c>
      <c r="AZ45" s="67">
        <f t="shared" ref="AZ45:AZ70" si="110">IF(AV8&gt;0,(AZ8/AV8)*100,0)</f>
        <v>-1.5510750047834174</v>
      </c>
      <c r="BA45" s="68">
        <f t="shared" ref="BA45:BA70" si="111">IF(AV8&gt;0,BA8/AV8*100,0)</f>
        <v>50.118606829457171</v>
      </c>
      <c r="BB45" s="68">
        <f t="shared" ref="BB45:BB70" si="112">IF(AV8&gt;0,(BB8/AV8)*100,0)</f>
        <v>48.567531824673758</v>
      </c>
      <c r="BD45" t="str">
        <f>AH45</f>
        <v>11 Corporate managers and directors</v>
      </c>
      <c r="BE45" s="17">
        <f t="shared" ref="BE45:BI54" si="113">BE8/BE$35*100</f>
        <v>5.6428618039615941</v>
      </c>
      <c r="BF45" s="17">
        <f t="shared" si="113"/>
        <v>6.2933549093049619</v>
      </c>
      <c r="BG45" s="17">
        <f t="shared" si="113"/>
        <v>6.5797206713447132</v>
      </c>
      <c r="BH45" s="17">
        <f t="shared" si="113"/>
        <v>5.6169584590965709</v>
      </c>
      <c r="BI45" s="17">
        <f t="shared" si="113"/>
        <v>5.7569524860833399</v>
      </c>
      <c r="BK45" s="67">
        <f t="shared" ref="BK45:BK70" si="114">IF(BG8&gt;0,(BK8/BG8)*100,0)</f>
        <v>-14.115696554005726</v>
      </c>
      <c r="BL45" s="68">
        <f t="shared" ref="BL45:BL70" si="115">IF(BG8&gt;0,BL8/BG8*100,0)</f>
        <v>37.843408505281126</v>
      </c>
      <c r="BM45" s="68">
        <f t="shared" ref="BM45:BM70" si="116">IF(BG8&gt;0,(BM8/BG8)*100,0)</f>
        <v>23.727711951275396</v>
      </c>
      <c r="BO45" t="str">
        <f>AS45</f>
        <v>11 Corporate managers and directors</v>
      </c>
      <c r="BP45" s="17">
        <f t="shared" ref="BP45:BT54" si="117">BP8/BP$35*100</f>
        <v>4.5754201502792853</v>
      </c>
      <c r="BQ45" s="17">
        <f t="shared" si="117"/>
        <v>5.0559089623406042</v>
      </c>
      <c r="BR45" s="17">
        <f t="shared" si="117"/>
        <v>5.260003354965578</v>
      </c>
      <c r="BS45" s="17">
        <f t="shared" si="117"/>
        <v>4.4656788762574271</v>
      </c>
      <c r="BT45" s="17">
        <f t="shared" si="117"/>
        <v>4.1669797926423264</v>
      </c>
      <c r="BV45" s="67">
        <f t="shared" ref="BV45:BV70" si="118">IF(BR8&gt;0,(BV8/BR8)*100,0)</f>
        <v>-37.506692805447301</v>
      </c>
      <c r="BW45" s="68">
        <f t="shared" ref="BW45:BW70" si="119">IF(BR8&gt;0,BW8/BR8*100,0)</f>
        <v>34.657211143076495</v>
      </c>
      <c r="BX45" s="68">
        <f t="shared" ref="BX45:BX70" si="120">IF(BR8&gt;0,(BX8/BR8)*100,0)</f>
        <v>-2.8494816623708044</v>
      </c>
      <c r="BZ45" t="str">
        <f>BD45</f>
        <v>11 Corporate managers and directors</v>
      </c>
      <c r="CA45" s="17">
        <f t="shared" ref="CA45:CE54" si="121">CA8/CA$35*100</f>
        <v>4.637297694023192</v>
      </c>
      <c r="CB45" s="17">
        <f t="shared" si="121"/>
        <v>5.3398766477927344</v>
      </c>
      <c r="CC45" s="17">
        <f t="shared" si="121"/>
        <v>5.867659870354788</v>
      </c>
      <c r="CD45" s="17">
        <f t="shared" si="121"/>
        <v>5.7201085701280778</v>
      </c>
      <c r="CE45" s="17">
        <f t="shared" si="121"/>
        <v>6.471141057428377</v>
      </c>
      <c r="CG45" s="67">
        <f t="shared" ref="CG45:CG70" si="122">IF(CC8&gt;0,(CG8/CC8)*100,0)</f>
        <v>-34.221974243578579</v>
      </c>
      <c r="CH45" s="68">
        <f t="shared" ref="CH45:CH70" si="123">IF(CC8&gt;0,CH8/CC8*100,0)</f>
        <v>34.949328692303247</v>
      </c>
      <c r="CI45" s="68">
        <f t="shared" ref="CI45:CI70" si="124">IF(CC8&gt;0,(CI8/CC8)*100,0)</f>
        <v>0.72735444872466715</v>
      </c>
      <c r="CK45" t="str">
        <f>BO45</f>
        <v>11 Corporate managers and directors</v>
      </c>
      <c r="CL45" s="17">
        <f t="shared" ref="CL45:CP54" si="125">CL8/CL$35*100</f>
        <v>2.44997652827182</v>
      </c>
      <c r="CM45" s="17">
        <f t="shared" si="125"/>
        <v>3.1308358474232594</v>
      </c>
      <c r="CN45" s="17">
        <f t="shared" si="125"/>
        <v>3.343181619880796</v>
      </c>
      <c r="CO45" s="17">
        <f t="shared" si="125"/>
        <v>3.2981245765676097</v>
      </c>
      <c r="CP45" s="17">
        <f t="shared" si="125"/>
        <v>4.3940350742383387</v>
      </c>
      <c r="CR45" s="67">
        <f t="shared" ref="CR45:CR70" si="126">IF(CN8&gt;0,(CR8/CN8)*100,0)</f>
        <v>-15.123881328511166</v>
      </c>
      <c r="CS45" s="68">
        <f t="shared" ref="CS45:CS70" si="127">IF(CN8&gt;0,CS8/CN8*100,0)</f>
        <v>28.175608783399504</v>
      </c>
      <c r="CT45" s="68">
        <f t="shared" ref="CT45:CT70" si="128">IF(CN8&gt;0,(CT8/CN8)*100,0)</f>
        <v>13.051727454888335</v>
      </c>
    </row>
    <row r="46" spans="1:98" x14ac:dyDescent="0.3">
      <c r="A46" t="str">
        <f t="shared" si="95"/>
        <v>12 Other managers and proprietors</v>
      </c>
      <c r="B46" s="17">
        <f t="shared" si="96"/>
        <v>2.6906833492132578</v>
      </c>
      <c r="C46" s="17">
        <f t="shared" si="96"/>
        <v>2.7500005011167459</v>
      </c>
      <c r="D46" s="17">
        <f t="shared" si="96"/>
        <v>2.600523198013545</v>
      </c>
      <c r="E46" s="17">
        <f t="shared" si="96"/>
        <v>3.3138297254066114</v>
      </c>
      <c r="F46" s="17">
        <f t="shared" si="96"/>
        <v>3.8364252761801581</v>
      </c>
      <c r="H46" s="67">
        <f t="shared" ref="H46:H70" si="129">IF(D9&gt;0,(H9/D9)*100,0)</f>
        <v>159.93105917340213</v>
      </c>
      <c r="I46" s="68">
        <f t="shared" ref="I46:I70" si="130">IF(D9&gt;0,I9/D9*100,0)</f>
        <v>113.03869911968154</v>
      </c>
      <c r="J46" s="68">
        <f t="shared" ref="J46:J70" si="131">IF(D9&gt;0,(J9/D9)*100,0)</f>
        <v>272.96975829308366</v>
      </c>
      <c r="L46" t="str">
        <f t="shared" ref="L46:L69" si="132">A46</f>
        <v>12 Other managers and proprietors</v>
      </c>
      <c r="M46" s="17">
        <f t="shared" si="97"/>
        <v>3.224845515202686</v>
      </c>
      <c r="N46" s="17">
        <f t="shared" si="97"/>
        <v>3.2285786353964583</v>
      </c>
      <c r="O46" s="17">
        <f t="shared" si="97"/>
        <v>3.2089813445986652</v>
      </c>
      <c r="P46" s="17">
        <f t="shared" si="97"/>
        <v>3.9088260507179466</v>
      </c>
      <c r="Q46" s="17">
        <f t="shared" si="97"/>
        <v>4.3901913747984374</v>
      </c>
      <c r="S46" s="67">
        <f t="shared" si="98"/>
        <v>142.51823116997372</v>
      </c>
      <c r="T46" s="68">
        <f t="shared" si="99"/>
        <v>105.87664498242387</v>
      </c>
      <c r="U46" s="68">
        <f t="shared" si="100"/>
        <v>248.39487615239756</v>
      </c>
      <c r="W46" t="str">
        <f t="shared" ref="W46:W69" si="133">A46</f>
        <v>12 Other managers and proprietors</v>
      </c>
      <c r="X46" s="17">
        <f t="shared" si="101"/>
        <v>3.6685930375146167</v>
      </c>
      <c r="Y46" s="17">
        <f t="shared" si="101"/>
        <v>3.6740269073039449</v>
      </c>
      <c r="Z46" s="17">
        <f t="shared" si="101"/>
        <v>3.6120925335968757</v>
      </c>
      <c r="AA46" s="17">
        <f t="shared" si="101"/>
        <v>4.3754439267204868</v>
      </c>
      <c r="AB46" s="17">
        <f t="shared" si="101"/>
        <v>4.7446755412447397</v>
      </c>
      <c r="AD46" s="67">
        <f t="shared" si="102"/>
        <v>60.361502642361621</v>
      </c>
      <c r="AE46" s="68">
        <f t="shared" si="103"/>
        <v>87.570277226705443</v>
      </c>
      <c r="AF46" s="68">
        <f t="shared" si="104"/>
        <v>147.93177986906707</v>
      </c>
      <c r="AH46" t="str">
        <f t="shared" ref="AH46:AH69" si="134">L46</f>
        <v>12 Other managers and proprietors</v>
      </c>
      <c r="AI46" s="17">
        <f t="shared" si="105"/>
        <v>3.3475354228321521</v>
      </c>
      <c r="AJ46" s="17">
        <f t="shared" si="105"/>
        <v>3.7059325525682176</v>
      </c>
      <c r="AK46" s="17">
        <f t="shared" si="105"/>
        <v>3.8633511656959283</v>
      </c>
      <c r="AL46" s="17">
        <f t="shared" si="105"/>
        <v>4.6817104542209425</v>
      </c>
      <c r="AM46" s="17">
        <f t="shared" si="105"/>
        <v>5.2481442146100417</v>
      </c>
      <c r="AO46" s="67">
        <f t="shared" si="106"/>
        <v>50.737432429458309</v>
      </c>
      <c r="AP46" s="68">
        <f t="shared" si="107"/>
        <v>82.389065576447578</v>
      </c>
      <c r="AQ46" s="68">
        <f t="shared" si="108"/>
        <v>133.12649800590589</v>
      </c>
      <c r="AS46" t="str">
        <f t="shared" ref="AS46:AS69" si="135">W46</f>
        <v>12 Other managers and proprietors</v>
      </c>
      <c r="AT46" s="17">
        <f t="shared" si="109"/>
        <v>4.2106103650497175</v>
      </c>
      <c r="AU46" s="17">
        <f t="shared" si="109"/>
        <v>4.2761546514871798</v>
      </c>
      <c r="AV46" s="17">
        <f t="shared" si="109"/>
        <v>4.2572709495584391</v>
      </c>
      <c r="AW46" s="17">
        <f t="shared" si="109"/>
        <v>5.120709678409427</v>
      </c>
      <c r="AX46" s="17">
        <f t="shared" si="109"/>
        <v>5.2559093203623091</v>
      </c>
      <c r="AZ46" s="67">
        <f t="shared" si="110"/>
        <v>48.452193866113923</v>
      </c>
      <c r="BA46" s="68">
        <f t="shared" si="111"/>
        <v>78.975523194435311</v>
      </c>
      <c r="BB46" s="68">
        <f t="shared" si="112"/>
        <v>127.42771706054923</v>
      </c>
      <c r="BD46" t="str">
        <f t="shared" ref="BD46:BD69" si="136">AH46</f>
        <v>12 Other managers and proprietors</v>
      </c>
      <c r="BE46" s="17">
        <f t="shared" si="113"/>
        <v>2.8929100084806088</v>
      </c>
      <c r="BF46" s="17">
        <f t="shared" si="113"/>
        <v>2.7472023368023351</v>
      </c>
      <c r="BG46" s="17">
        <f t="shared" si="113"/>
        <v>2.8420102781776766</v>
      </c>
      <c r="BH46" s="17">
        <f t="shared" si="113"/>
        <v>3.1747537133980681</v>
      </c>
      <c r="BI46" s="17">
        <f t="shared" si="113"/>
        <v>3.3464862560833954</v>
      </c>
      <c r="BK46" s="67">
        <f t="shared" si="114"/>
        <v>15.582480617419575</v>
      </c>
      <c r="BL46" s="68">
        <f t="shared" si="115"/>
        <v>52.315669548584232</v>
      </c>
      <c r="BM46" s="68">
        <f t="shared" si="116"/>
        <v>67.898150166003816</v>
      </c>
      <c r="BO46" t="str">
        <f t="shared" ref="BO46:BO69" si="137">AS46</f>
        <v>12 Other managers and proprietors</v>
      </c>
      <c r="BP46" s="17">
        <f t="shared" si="117"/>
        <v>2.8403334690848712</v>
      </c>
      <c r="BQ46" s="17">
        <f t="shared" si="117"/>
        <v>2.9343454291498676</v>
      </c>
      <c r="BR46" s="17">
        <f t="shared" si="117"/>
        <v>3.0547804057782924</v>
      </c>
      <c r="BS46" s="17">
        <f t="shared" si="117"/>
        <v>3.6440306379414573</v>
      </c>
      <c r="BT46" s="17">
        <f t="shared" si="117"/>
        <v>3.9962573214184847</v>
      </c>
      <c r="BV46" s="67">
        <f t="shared" si="118"/>
        <v>3.1980720655358037</v>
      </c>
      <c r="BW46" s="68">
        <f t="shared" si="119"/>
        <v>58.306790501172131</v>
      </c>
      <c r="BX46" s="68">
        <f t="shared" si="120"/>
        <v>61.504862566707942</v>
      </c>
      <c r="BZ46" t="str">
        <f t="shared" ref="BZ46:BZ69" si="138">BD46</f>
        <v>12 Other managers and proprietors</v>
      </c>
      <c r="CA46" s="17">
        <f t="shared" si="121"/>
        <v>2.8434273232167548</v>
      </c>
      <c r="CB46" s="17">
        <f t="shared" si="121"/>
        <v>3.0374394187740297</v>
      </c>
      <c r="CC46" s="17">
        <f t="shared" si="121"/>
        <v>3.1362266722877399</v>
      </c>
      <c r="CD46" s="17">
        <f t="shared" si="121"/>
        <v>3.7322724584568254</v>
      </c>
      <c r="CE46" s="17">
        <f t="shared" si="121"/>
        <v>4.2452692735800648</v>
      </c>
      <c r="CG46" s="67">
        <f t="shared" si="122"/>
        <v>-19.264842377977669</v>
      </c>
      <c r="CH46" s="68">
        <f t="shared" si="123"/>
        <v>44.798430860731045</v>
      </c>
      <c r="CI46" s="68">
        <f t="shared" si="124"/>
        <v>25.533588482753377</v>
      </c>
      <c r="CK46" t="str">
        <f t="shared" ref="CK46:CK69" si="139">BO46</f>
        <v>12 Other managers and proprietors</v>
      </c>
      <c r="CL46" s="17">
        <f t="shared" si="125"/>
        <v>2.6479502487797379</v>
      </c>
      <c r="CM46" s="17">
        <f t="shared" si="125"/>
        <v>2.8043655961630862</v>
      </c>
      <c r="CN46" s="17">
        <f t="shared" si="125"/>
        <v>2.9330186265549663</v>
      </c>
      <c r="CO46" s="17">
        <f t="shared" si="125"/>
        <v>4.2490495209219699</v>
      </c>
      <c r="CP46" s="17">
        <f t="shared" si="125"/>
        <v>5.6697497509289132</v>
      </c>
      <c r="CR46" s="67">
        <f t="shared" si="126"/>
        <v>24.833466946964414</v>
      </c>
      <c r="CS46" s="68">
        <f t="shared" si="127"/>
        <v>43.653029375279658</v>
      </c>
      <c r="CT46" s="68">
        <f t="shared" si="128"/>
        <v>68.486496322244079</v>
      </c>
    </row>
    <row r="47" spans="1:98" x14ac:dyDescent="0.3">
      <c r="A47" t="str">
        <f t="shared" si="95"/>
        <v>21 Science, research, engineering and technology professionals</v>
      </c>
      <c r="B47" s="17">
        <f t="shared" si="96"/>
        <v>18.28353151814288</v>
      </c>
      <c r="C47" s="17">
        <f t="shared" si="96"/>
        <v>18.577926888994973</v>
      </c>
      <c r="D47" s="17">
        <f t="shared" si="96"/>
        <v>18.422318780459452</v>
      </c>
      <c r="E47" s="17">
        <f t="shared" si="96"/>
        <v>17.965035318970894</v>
      </c>
      <c r="F47" s="17">
        <f t="shared" si="96"/>
        <v>17.248314260322349</v>
      </c>
      <c r="H47" s="67">
        <f t="shared" si="129"/>
        <v>64.966032020477513</v>
      </c>
      <c r="I47" s="68">
        <f t="shared" si="130"/>
        <v>51.775916762346718</v>
      </c>
      <c r="J47" s="68">
        <f t="shared" si="131"/>
        <v>116.74194878282422</v>
      </c>
      <c r="L47" t="str">
        <f t="shared" si="132"/>
        <v>21 Science, research, engineering and technology professionals</v>
      </c>
      <c r="M47" s="17">
        <f t="shared" si="97"/>
        <v>10.431891255859806</v>
      </c>
      <c r="N47" s="17">
        <f t="shared" si="97"/>
        <v>10.902337071662782</v>
      </c>
      <c r="O47" s="17">
        <f t="shared" si="97"/>
        <v>11.094216454966885</v>
      </c>
      <c r="P47" s="17">
        <f t="shared" si="97"/>
        <v>11.308043407910333</v>
      </c>
      <c r="Q47" s="17">
        <f t="shared" si="97"/>
        <v>11.275330372588217</v>
      </c>
      <c r="S47" s="67">
        <f t="shared" si="98"/>
        <v>80.160995514104783</v>
      </c>
      <c r="T47" s="68">
        <f t="shared" si="99"/>
        <v>57.239230593057179</v>
      </c>
      <c r="U47" s="68">
        <f t="shared" si="100"/>
        <v>137.40022610716196</v>
      </c>
      <c r="W47" t="str">
        <f t="shared" si="133"/>
        <v>21 Science, research, engineering and technology professionals</v>
      </c>
      <c r="X47" s="17">
        <f t="shared" si="101"/>
        <v>9.7356668205171726</v>
      </c>
      <c r="Y47" s="17">
        <f t="shared" si="101"/>
        <v>9.790775659284531</v>
      </c>
      <c r="Z47" s="17">
        <f t="shared" si="101"/>
        <v>9.7251289958978067</v>
      </c>
      <c r="AA47" s="17">
        <f t="shared" si="101"/>
        <v>9.3397796743283141</v>
      </c>
      <c r="AB47" s="17">
        <f t="shared" si="101"/>
        <v>8.5163086392510667</v>
      </c>
      <c r="AD47" s="67">
        <f t="shared" si="102"/>
        <v>6.9075771243343409</v>
      </c>
      <c r="AE47" s="68">
        <f t="shared" si="103"/>
        <v>41.466162174440747</v>
      </c>
      <c r="AF47" s="68">
        <f t="shared" si="104"/>
        <v>48.373739298775085</v>
      </c>
      <c r="AH47" t="str">
        <f t="shared" si="134"/>
        <v>21 Science, research, engineering and technology professionals</v>
      </c>
      <c r="AI47" s="17">
        <f t="shared" si="105"/>
        <v>3.4018333822487139</v>
      </c>
      <c r="AJ47" s="17">
        <f t="shared" si="105"/>
        <v>3.6723377791204901</v>
      </c>
      <c r="AK47" s="17">
        <f t="shared" si="105"/>
        <v>3.8860281598282871</v>
      </c>
      <c r="AL47" s="17">
        <f t="shared" si="105"/>
        <v>4.016213138687343</v>
      </c>
      <c r="AM47" s="17">
        <f t="shared" si="105"/>
        <v>3.9951898121614802</v>
      </c>
      <c r="AO47" s="67">
        <f t="shared" si="106"/>
        <v>14.080394135062013</v>
      </c>
      <c r="AP47" s="68">
        <f t="shared" si="107"/>
        <v>41.576972042295573</v>
      </c>
      <c r="AQ47" s="68">
        <f t="shared" si="108"/>
        <v>55.657366177357581</v>
      </c>
      <c r="AS47" t="str">
        <f t="shared" si="135"/>
        <v>21 Science, research, engineering and technology professionals</v>
      </c>
      <c r="AT47" s="17">
        <f t="shared" si="109"/>
        <v>9.2038990540801997</v>
      </c>
      <c r="AU47" s="17">
        <f t="shared" si="109"/>
        <v>9.2291914369373824</v>
      </c>
      <c r="AV47" s="17">
        <f t="shared" si="109"/>
        <v>9.1794978146132333</v>
      </c>
      <c r="AW47" s="17">
        <f t="shared" si="109"/>
        <v>8.2881655171502899</v>
      </c>
      <c r="AX47" s="17">
        <f t="shared" si="109"/>
        <v>7.2394367129232338</v>
      </c>
      <c r="AZ47" s="67">
        <f t="shared" si="110"/>
        <v>-5.1677836528610586</v>
      </c>
      <c r="BA47" s="68">
        <f t="shared" si="111"/>
        <v>35.025854224159971</v>
      </c>
      <c r="BB47" s="68">
        <f t="shared" si="112"/>
        <v>29.858070571298917</v>
      </c>
      <c r="BD47" t="str">
        <f t="shared" si="136"/>
        <v>21 Science, research, engineering and technology professionals</v>
      </c>
      <c r="BE47" s="17">
        <f t="shared" si="113"/>
        <v>3.4140405992808849</v>
      </c>
      <c r="BF47" s="17">
        <f t="shared" si="113"/>
        <v>3.562003056153308</v>
      </c>
      <c r="BG47" s="17">
        <f t="shared" si="113"/>
        <v>3.7782992811811482</v>
      </c>
      <c r="BH47" s="17">
        <f t="shared" si="113"/>
        <v>3.3822792378367028</v>
      </c>
      <c r="BI47" s="17">
        <f t="shared" si="113"/>
        <v>3.1878771109510815</v>
      </c>
      <c r="BK47" s="67">
        <f t="shared" si="114"/>
        <v>-17.18026713405046</v>
      </c>
      <c r="BL47" s="68">
        <f t="shared" si="115"/>
        <v>25.846950170932466</v>
      </c>
      <c r="BM47" s="68">
        <f t="shared" si="116"/>
        <v>8.6666830368820005</v>
      </c>
      <c r="BO47" t="str">
        <f t="shared" si="137"/>
        <v>21 Science, research, engineering and technology professionals</v>
      </c>
      <c r="BP47" s="17">
        <f t="shared" si="117"/>
        <v>2.4724681542999249</v>
      </c>
      <c r="BQ47" s="17">
        <f t="shared" si="117"/>
        <v>2.6680761590702686</v>
      </c>
      <c r="BR47" s="17">
        <f t="shared" si="117"/>
        <v>2.8932488857575813</v>
      </c>
      <c r="BS47" s="17">
        <f t="shared" si="117"/>
        <v>2.7797748157723361</v>
      </c>
      <c r="BT47" s="17">
        <f t="shared" si="117"/>
        <v>2.8305897614239131</v>
      </c>
      <c r="BV47" s="67">
        <f t="shared" si="118"/>
        <v>-22.822754882048272</v>
      </c>
      <c r="BW47" s="68">
        <f t="shared" si="119"/>
        <v>29.46659121570611</v>
      </c>
      <c r="BX47" s="68">
        <f t="shared" si="120"/>
        <v>6.6438363336578377</v>
      </c>
      <c r="BZ47" t="str">
        <f t="shared" si="138"/>
        <v>21 Science, research, engineering and technology professionals</v>
      </c>
      <c r="CA47" s="17">
        <f t="shared" si="121"/>
        <v>2.2125881604852049</v>
      </c>
      <c r="CB47" s="17">
        <f t="shared" si="121"/>
        <v>2.5099114988948039</v>
      </c>
      <c r="CC47" s="17">
        <f t="shared" si="121"/>
        <v>2.7353900996311165</v>
      </c>
      <c r="CD47" s="17">
        <f t="shared" si="121"/>
        <v>2.8376487429273549</v>
      </c>
      <c r="CE47" s="17">
        <f t="shared" si="121"/>
        <v>2.893058604638215</v>
      </c>
      <c r="CG47" s="67">
        <f t="shared" si="122"/>
        <v>-36.918376844950146</v>
      </c>
      <c r="CH47" s="68">
        <f t="shared" si="123"/>
        <v>25.05462903156317</v>
      </c>
      <c r="CI47" s="68">
        <f t="shared" si="124"/>
        <v>-11.863747813386981</v>
      </c>
      <c r="CK47" t="str">
        <f t="shared" si="139"/>
        <v>21 Science, research, engineering and technology professionals</v>
      </c>
      <c r="CL47" s="17">
        <f t="shared" si="125"/>
        <v>1.2033531496392709</v>
      </c>
      <c r="CM47" s="17">
        <f t="shared" si="125"/>
        <v>1.6699056651248063</v>
      </c>
      <c r="CN47" s="17">
        <f t="shared" si="125"/>
        <v>1.9168455820951951</v>
      </c>
      <c r="CO47" s="17">
        <f t="shared" si="125"/>
        <v>2.6828484526906355</v>
      </c>
      <c r="CP47" s="17">
        <f t="shared" si="125"/>
        <v>3.8433967721514146</v>
      </c>
      <c r="CR47" s="67">
        <f t="shared" si="126"/>
        <v>29.482195715550123</v>
      </c>
      <c r="CS47" s="68">
        <f t="shared" si="127"/>
        <v>35.750731181973904</v>
      </c>
      <c r="CT47" s="68">
        <f t="shared" si="128"/>
        <v>65.232926897524024</v>
      </c>
    </row>
    <row r="48" spans="1:98" x14ac:dyDescent="0.3">
      <c r="A48" t="str">
        <f t="shared" si="95"/>
        <v>22 Health professionals</v>
      </c>
      <c r="B48" s="17">
        <f t="shared" si="96"/>
        <v>17.131004473750579</v>
      </c>
      <c r="C48" s="17">
        <f t="shared" si="96"/>
        <v>18.35891249129299</v>
      </c>
      <c r="D48" s="17">
        <f t="shared" si="96"/>
        <v>18.250880516802088</v>
      </c>
      <c r="E48" s="17">
        <f t="shared" si="96"/>
        <v>18.887152342627314</v>
      </c>
      <c r="F48" s="17">
        <f t="shared" si="96"/>
        <v>18.755309126043905</v>
      </c>
      <c r="H48" s="67">
        <f t="shared" si="129"/>
        <v>81.064191509712629</v>
      </c>
      <c r="I48" s="68">
        <f t="shared" si="130"/>
        <v>71.556543328375994</v>
      </c>
      <c r="J48" s="68">
        <f t="shared" si="131"/>
        <v>152.62073483808862</v>
      </c>
      <c r="L48" t="str">
        <f t="shared" si="132"/>
        <v>22 Health professionals</v>
      </c>
      <c r="M48" s="17">
        <f t="shared" si="97"/>
        <v>7.3869257468527998</v>
      </c>
      <c r="N48" s="17">
        <f t="shared" si="97"/>
        <v>7.7933456080300694</v>
      </c>
      <c r="O48" s="17">
        <f t="shared" si="97"/>
        <v>7.5562251046523992</v>
      </c>
      <c r="P48" s="17">
        <f t="shared" si="97"/>
        <v>7.5786705465898496</v>
      </c>
      <c r="Q48" s="17">
        <f t="shared" si="97"/>
        <v>7.1880007921638676</v>
      </c>
      <c r="S48" s="67">
        <f t="shared" si="98"/>
        <v>68.628649201031124</v>
      </c>
      <c r="T48" s="68">
        <f t="shared" si="99"/>
        <v>72.962960595181272</v>
      </c>
      <c r="U48" s="68">
        <f t="shared" si="100"/>
        <v>141.5916097962124</v>
      </c>
      <c r="W48" t="str">
        <f t="shared" si="133"/>
        <v>22 Health professionals</v>
      </c>
      <c r="X48" s="17">
        <f t="shared" si="101"/>
        <v>7.903478709557886</v>
      </c>
      <c r="Y48" s="17">
        <f t="shared" si="101"/>
        <v>8.4302444477815914</v>
      </c>
      <c r="Z48" s="17">
        <f t="shared" si="101"/>
        <v>8.2682402131077986</v>
      </c>
      <c r="AA48" s="17">
        <f t="shared" si="101"/>
        <v>8.6299686724227556</v>
      </c>
      <c r="AB48" s="17">
        <f t="shared" si="101"/>
        <v>8.4852522389521088</v>
      </c>
      <c r="AD48" s="67">
        <f t="shared" si="102"/>
        <v>25.28645960527157</v>
      </c>
      <c r="AE48" s="68">
        <f t="shared" si="103"/>
        <v>66.383320905861382</v>
      </c>
      <c r="AF48" s="68">
        <f t="shared" si="104"/>
        <v>91.669780511132956</v>
      </c>
      <c r="AH48" t="str">
        <f t="shared" si="134"/>
        <v>22 Health professionals</v>
      </c>
      <c r="AI48" s="17">
        <f t="shared" si="105"/>
        <v>14.000101675722668</v>
      </c>
      <c r="AJ48" s="17">
        <f t="shared" si="105"/>
        <v>11.117368931026531</v>
      </c>
      <c r="AK48" s="17">
        <f t="shared" si="105"/>
        <v>9.9181162849376463</v>
      </c>
      <c r="AL48" s="17">
        <f t="shared" si="105"/>
        <v>6.0052799909325065</v>
      </c>
      <c r="AM48" s="17">
        <f t="shared" si="105"/>
        <v>2.0724680926667651</v>
      </c>
      <c r="AO48" s="67">
        <f t="shared" si="106"/>
        <v>-76.813339887487814</v>
      </c>
      <c r="AP48" s="68">
        <f t="shared" si="107"/>
        <v>20.293716906339185</v>
      </c>
      <c r="AQ48" s="68">
        <f t="shared" si="108"/>
        <v>-56.519622981148643</v>
      </c>
      <c r="AS48" t="str">
        <f t="shared" si="135"/>
        <v>22 Health professionals</v>
      </c>
      <c r="AT48" s="17">
        <f t="shared" si="109"/>
        <v>1.9308011535844549</v>
      </c>
      <c r="AU48" s="17">
        <f t="shared" si="109"/>
        <v>2.0796259038934553</v>
      </c>
      <c r="AV48" s="17">
        <f t="shared" si="109"/>
        <v>2.2324363622655676</v>
      </c>
      <c r="AW48" s="17">
        <f t="shared" si="109"/>
        <v>2.2689607369508402</v>
      </c>
      <c r="AX48" s="17">
        <f t="shared" si="109"/>
        <v>2.2155132217799611</v>
      </c>
      <c r="AZ48" s="67">
        <f t="shared" si="110"/>
        <v>19.334304414126198</v>
      </c>
      <c r="BA48" s="68">
        <f t="shared" si="111"/>
        <v>56.390630523830133</v>
      </c>
      <c r="BB48" s="68">
        <f t="shared" si="112"/>
        <v>75.72493493795632</v>
      </c>
      <c r="BD48" t="str">
        <f t="shared" si="136"/>
        <v>22 Health professionals</v>
      </c>
      <c r="BE48" s="17">
        <f t="shared" si="113"/>
        <v>1.8968437352900751</v>
      </c>
      <c r="BF48" s="17">
        <f t="shared" si="113"/>
        <v>2.3022221328920223</v>
      </c>
      <c r="BG48" s="17">
        <f t="shared" si="113"/>
        <v>2.3700074749276734</v>
      </c>
      <c r="BH48" s="17">
        <f t="shared" si="113"/>
        <v>2.6187001344781211</v>
      </c>
      <c r="BI48" s="17">
        <f t="shared" si="113"/>
        <v>2.819196311278545</v>
      </c>
      <c r="BK48" s="67">
        <f t="shared" si="114"/>
        <v>16.762722387558544</v>
      </c>
      <c r="BL48" s="68">
        <f t="shared" si="115"/>
        <v>61.162374996595744</v>
      </c>
      <c r="BM48" s="68">
        <f t="shared" si="116"/>
        <v>77.925097384154299</v>
      </c>
      <c r="BO48" t="str">
        <f t="shared" si="137"/>
        <v>22 Health professionals</v>
      </c>
      <c r="BP48" s="17">
        <f t="shared" si="117"/>
        <v>1.4437008705554721</v>
      </c>
      <c r="BQ48" s="17">
        <f t="shared" si="117"/>
        <v>1.6799554234135321</v>
      </c>
      <c r="BR48" s="17">
        <f t="shared" si="117"/>
        <v>1.758413225869097</v>
      </c>
      <c r="BS48" s="17">
        <f t="shared" si="117"/>
        <v>1.8166313528072229</v>
      </c>
      <c r="BT48" s="17">
        <f t="shared" si="117"/>
        <v>1.7106058322334972</v>
      </c>
      <c r="BV48" s="67">
        <f t="shared" si="118"/>
        <v>-23.259055150004304</v>
      </c>
      <c r="BW48" s="68">
        <f t="shared" si="119"/>
        <v>43.916102734807637</v>
      </c>
      <c r="BX48" s="68">
        <f t="shared" si="120"/>
        <v>20.657047584803333</v>
      </c>
      <c r="BZ48" t="str">
        <f t="shared" si="138"/>
        <v>22 Health professionals</v>
      </c>
      <c r="CA48" s="17">
        <f t="shared" si="121"/>
        <v>1.2574026868103692</v>
      </c>
      <c r="CB48" s="17">
        <f t="shared" si="121"/>
        <v>1.5398887567832023</v>
      </c>
      <c r="CC48" s="17">
        <f t="shared" si="121"/>
        <v>1.4870953043959518</v>
      </c>
      <c r="CD48" s="17">
        <f t="shared" si="121"/>
        <v>1.5948347528225475</v>
      </c>
      <c r="CE48" s="17">
        <f t="shared" si="121"/>
        <v>1.451542069591913</v>
      </c>
      <c r="CG48" s="67">
        <f t="shared" si="122"/>
        <v>-41.782208795458374</v>
      </c>
      <c r="CH48" s="68">
        <f t="shared" si="123"/>
        <v>35.21174127368927</v>
      </c>
      <c r="CI48" s="68">
        <f t="shared" si="124"/>
        <v>-6.5704675217690998</v>
      </c>
      <c r="CK48" t="str">
        <f t="shared" si="139"/>
        <v>22 Health professionals</v>
      </c>
      <c r="CL48" s="17">
        <f t="shared" si="125"/>
        <v>0.41430211388602178</v>
      </c>
      <c r="CM48" s="17">
        <f t="shared" si="125"/>
        <v>0.61096514733495122</v>
      </c>
      <c r="CN48" s="17">
        <f t="shared" si="125"/>
        <v>0.71850181830651272</v>
      </c>
      <c r="CO48" s="17">
        <f t="shared" si="125"/>
        <v>1.092821590908879</v>
      </c>
      <c r="CP48" s="17">
        <f t="shared" si="125"/>
        <v>1.9200937321621949</v>
      </c>
      <c r="CR48" s="67">
        <f t="shared" si="126"/>
        <v>72.574459153863231</v>
      </c>
      <c r="CS48" s="68">
        <f t="shared" si="127"/>
        <v>56.354123388645462</v>
      </c>
      <c r="CT48" s="68">
        <f t="shared" si="128"/>
        <v>128.92858254250868</v>
      </c>
    </row>
    <row r="49" spans="1:98" x14ac:dyDescent="0.3">
      <c r="A49" t="str">
        <f t="shared" si="95"/>
        <v>23 Teaching and other educational professionals</v>
      </c>
      <c r="B49" s="17">
        <f t="shared" si="96"/>
        <v>29.271076165423693</v>
      </c>
      <c r="C49" s="17">
        <f t="shared" si="96"/>
        <v>26.462092543454258</v>
      </c>
      <c r="D49" s="17">
        <f t="shared" si="96"/>
        <v>26.435172529608892</v>
      </c>
      <c r="E49" s="17">
        <f t="shared" si="96"/>
        <v>24.357038044818193</v>
      </c>
      <c r="F49" s="17">
        <f t="shared" si="96"/>
        <v>21.418144966481925</v>
      </c>
      <c r="H49" s="67">
        <f t="shared" si="129"/>
        <v>42.75517790598235</v>
      </c>
      <c r="I49" s="68">
        <f t="shared" si="130"/>
        <v>61.927212439117504</v>
      </c>
      <c r="J49" s="68">
        <f t="shared" si="131"/>
        <v>104.68239034509985</v>
      </c>
      <c r="L49" t="str">
        <f t="shared" si="132"/>
        <v>23 Teaching and other educational professionals</v>
      </c>
      <c r="M49" s="17">
        <f t="shared" si="97"/>
        <v>23.475588799028692</v>
      </c>
      <c r="N49" s="17">
        <f t="shared" si="97"/>
        <v>21.44767850489869</v>
      </c>
      <c r="O49" s="17">
        <f t="shared" si="97"/>
        <v>21.189802574021634</v>
      </c>
      <c r="P49" s="17">
        <f t="shared" si="97"/>
        <v>19.350520592917935</v>
      </c>
      <c r="Q49" s="17">
        <f t="shared" si="97"/>
        <v>16.568530468365086</v>
      </c>
      <c r="S49" s="67">
        <f t="shared" si="98"/>
        <v>38.607015551355346</v>
      </c>
      <c r="T49" s="68">
        <f t="shared" si="99"/>
        <v>63.5845096449995</v>
      </c>
      <c r="U49" s="68">
        <f t="shared" si="100"/>
        <v>102.19152519635483</v>
      </c>
      <c r="W49" t="str">
        <f t="shared" si="133"/>
        <v>23 Teaching and other educational professionals</v>
      </c>
      <c r="X49" s="17">
        <f t="shared" si="101"/>
        <v>7.8805015510586145</v>
      </c>
      <c r="Y49" s="17">
        <f t="shared" si="101"/>
        <v>6.4797363737623099</v>
      </c>
      <c r="Z49" s="17">
        <f t="shared" si="101"/>
        <v>6.5498994182648707</v>
      </c>
      <c r="AA49" s="17">
        <f t="shared" si="101"/>
        <v>5.3070064836875641</v>
      </c>
      <c r="AB49" s="17">
        <f t="shared" si="101"/>
        <v>3.9105854313072648</v>
      </c>
      <c r="AD49" s="67">
        <f t="shared" si="102"/>
        <v>-27.111399353268794</v>
      </c>
      <c r="AE49" s="68">
        <f t="shared" si="103"/>
        <v>43.375848205664134</v>
      </c>
      <c r="AF49" s="68">
        <f t="shared" si="104"/>
        <v>16.26444885239534</v>
      </c>
      <c r="AH49" t="str">
        <f t="shared" si="134"/>
        <v>23 Teaching and other educational professionals</v>
      </c>
      <c r="AI49" s="17">
        <f t="shared" si="105"/>
        <v>3.5461647963235943</v>
      </c>
      <c r="AJ49" s="17">
        <f t="shared" si="105"/>
        <v>2.1071144220126685</v>
      </c>
      <c r="AK49" s="17">
        <f t="shared" si="105"/>
        <v>1.9101804612888376</v>
      </c>
      <c r="AL49" s="17">
        <f t="shared" si="105"/>
        <v>1.3648620579621973</v>
      </c>
      <c r="AM49" s="17">
        <f t="shared" si="105"/>
        <v>1.2951962525565006</v>
      </c>
      <c r="AO49" s="67">
        <f t="shared" si="106"/>
        <v>-24.761397636397259</v>
      </c>
      <c r="AP49" s="68">
        <f t="shared" si="107"/>
        <v>23.789722485691001</v>
      </c>
      <c r="AQ49" s="68">
        <f t="shared" si="108"/>
        <v>-0.97167515070625876</v>
      </c>
      <c r="AS49" t="str">
        <f t="shared" si="135"/>
        <v>23 Teaching and other educational professionals</v>
      </c>
      <c r="AT49" s="17">
        <f t="shared" si="109"/>
        <v>1.063596239181682</v>
      </c>
      <c r="AU49" s="17">
        <f t="shared" si="109"/>
        <v>1.0078844120122639</v>
      </c>
      <c r="AV49" s="17">
        <f t="shared" si="109"/>
        <v>1.0221112779747477</v>
      </c>
      <c r="AW49" s="17">
        <f t="shared" si="109"/>
        <v>0.87148098498329107</v>
      </c>
      <c r="AX49" s="17">
        <f t="shared" si="109"/>
        <v>0.71897844195709371</v>
      </c>
      <c r="AZ49" s="67">
        <f t="shared" si="110"/>
        <v>-15.416094137763919</v>
      </c>
      <c r="BA49" s="68">
        <f t="shared" si="111"/>
        <v>44.905569095719073</v>
      </c>
      <c r="BB49" s="68">
        <f t="shared" si="112"/>
        <v>29.489474957955153</v>
      </c>
      <c r="BD49" t="str">
        <f t="shared" si="136"/>
        <v>23 Teaching and other educational professionals</v>
      </c>
      <c r="BE49" s="17">
        <f t="shared" si="113"/>
        <v>1.011110317593505</v>
      </c>
      <c r="BF49" s="17">
        <f t="shared" si="113"/>
        <v>1.010512608672717</v>
      </c>
      <c r="BG49" s="17">
        <f t="shared" si="113"/>
        <v>1.1301534735489396</v>
      </c>
      <c r="BH49" s="17">
        <f t="shared" si="113"/>
        <v>1.1575140309510825</v>
      </c>
      <c r="BI49" s="17">
        <f t="shared" si="113"/>
        <v>1.282818524172328</v>
      </c>
      <c r="BK49" s="67">
        <f t="shared" si="114"/>
        <v>11.418269255336121</v>
      </c>
      <c r="BL49" s="68">
        <f t="shared" si="115"/>
        <v>44.341865197861665</v>
      </c>
      <c r="BM49" s="68">
        <f t="shared" si="116"/>
        <v>55.760134453197786</v>
      </c>
      <c r="BO49" t="str">
        <f t="shared" si="137"/>
        <v>23 Teaching and other educational professionals</v>
      </c>
      <c r="BP49" s="17">
        <f t="shared" si="117"/>
        <v>0.77302259190140643</v>
      </c>
      <c r="BQ49" s="17">
        <f t="shared" si="117"/>
        <v>0.78728612286016653</v>
      </c>
      <c r="BR49" s="17">
        <f t="shared" si="117"/>
        <v>0.8544354619481298</v>
      </c>
      <c r="BS49" s="17">
        <f t="shared" si="117"/>
        <v>0.84405919545162278</v>
      </c>
      <c r="BT49" s="17">
        <f t="shared" si="117"/>
        <v>0.88482260100427901</v>
      </c>
      <c r="BV49" s="67">
        <f t="shared" si="118"/>
        <v>-18.308837221904508</v>
      </c>
      <c r="BW49" s="68">
        <f t="shared" si="119"/>
        <v>42.234579375456541</v>
      </c>
      <c r="BX49" s="68">
        <f t="shared" si="120"/>
        <v>23.925742153552036</v>
      </c>
      <c r="BZ49" t="str">
        <f t="shared" si="138"/>
        <v>23 Teaching and other educational professionals</v>
      </c>
      <c r="CA49" s="17">
        <f t="shared" si="121"/>
        <v>0.81071885833950597</v>
      </c>
      <c r="CB49" s="17">
        <f t="shared" si="121"/>
        <v>0.86740898636908548</v>
      </c>
      <c r="CC49" s="17">
        <f t="shared" si="121"/>
        <v>0.97675579744444152</v>
      </c>
      <c r="CD49" s="17">
        <f t="shared" si="121"/>
        <v>1.0430869786615216</v>
      </c>
      <c r="CE49" s="17">
        <f t="shared" si="121"/>
        <v>1.2262348146126234</v>
      </c>
      <c r="CG49" s="67">
        <f t="shared" si="122"/>
        <v>-25.122291738018387</v>
      </c>
      <c r="CH49" s="68">
        <f t="shared" si="123"/>
        <v>38.475513645323886</v>
      </c>
      <c r="CI49" s="68">
        <f t="shared" si="124"/>
        <v>13.353221907305496</v>
      </c>
      <c r="CK49" t="str">
        <f t="shared" si="139"/>
        <v>23 Teaching and other educational professionals</v>
      </c>
      <c r="CL49" s="17">
        <f t="shared" si="125"/>
        <v>0.41105715336055171</v>
      </c>
      <c r="CM49" s="17">
        <f t="shared" si="125"/>
        <v>0.53744460545155537</v>
      </c>
      <c r="CN49" s="17">
        <f t="shared" si="125"/>
        <v>0.715241317534553</v>
      </c>
      <c r="CO49" s="17">
        <f t="shared" si="125"/>
        <v>0.98851137013042867</v>
      </c>
      <c r="CP49" s="17">
        <f t="shared" si="125"/>
        <v>1.2939555491493955</v>
      </c>
      <c r="CR49" s="67">
        <f t="shared" si="126"/>
        <v>16.828479770984732</v>
      </c>
      <c r="CS49" s="68">
        <f t="shared" si="127"/>
        <v>45.156567578045795</v>
      </c>
      <c r="CT49" s="68">
        <f t="shared" si="128"/>
        <v>61.98504734903053</v>
      </c>
    </row>
    <row r="50" spans="1:98" x14ac:dyDescent="0.3">
      <c r="A50" t="str">
        <f t="shared" si="95"/>
        <v>24 Business, media and public service professionals</v>
      </c>
      <c r="B50" s="17">
        <f t="shared" si="96"/>
        <v>7.6763171682906348</v>
      </c>
      <c r="C50" s="17">
        <f t="shared" si="96"/>
        <v>8.2689552334261975</v>
      </c>
      <c r="D50" s="17">
        <f t="shared" si="96"/>
        <v>8.6148211790918676</v>
      </c>
      <c r="E50" s="17">
        <f t="shared" si="96"/>
        <v>9.6182125286713429</v>
      </c>
      <c r="F50" s="17">
        <f t="shared" si="96"/>
        <v>10.318954904454632</v>
      </c>
      <c r="H50" s="67">
        <f t="shared" si="129"/>
        <v>111.04818058003794</v>
      </c>
      <c r="I50" s="68">
        <f t="shared" si="130"/>
        <v>78.364522506135756</v>
      </c>
      <c r="J50" s="68">
        <f t="shared" si="131"/>
        <v>189.41270308617371</v>
      </c>
      <c r="L50" t="str">
        <f t="shared" si="132"/>
        <v>24 Business, media and public service professionals</v>
      </c>
      <c r="M50" s="17">
        <f t="shared" si="97"/>
        <v>13.866095129304782</v>
      </c>
      <c r="N50" s="17">
        <f t="shared" si="97"/>
        <v>14.741123463749881</v>
      </c>
      <c r="O50" s="17">
        <f t="shared" si="97"/>
        <v>15.10736677700304</v>
      </c>
      <c r="P50" s="17">
        <f t="shared" si="97"/>
        <v>15.78349777679221</v>
      </c>
      <c r="Q50" s="17">
        <f t="shared" si="97"/>
        <v>15.518452157395576</v>
      </c>
      <c r="S50" s="67">
        <f t="shared" si="98"/>
        <v>82.090697993960134</v>
      </c>
      <c r="T50" s="68">
        <f t="shared" si="99"/>
        <v>71.643301254363635</v>
      </c>
      <c r="U50" s="68">
        <f t="shared" si="100"/>
        <v>153.73399924832376</v>
      </c>
      <c r="W50" t="str">
        <f t="shared" si="133"/>
        <v>24 Business, media and public service professionals</v>
      </c>
      <c r="X50" s="17">
        <f t="shared" si="101"/>
        <v>11.973791603727848</v>
      </c>
      <c r="Y50" s="17">
        <f t="shared" si="101"/>
        <v>12.415738783777844</v>
      </c>
      <c r="Z50" s="17">
        <f t="shared" si="101"/>
        <v>12.947070356449276</v>
      </c>
      <c r="AA50" s="17">
        <f t="shared" si="101"/>
        <v>13.019046833595263</v>
      </c>
      <c r="AB50" s="17">
        <f t="shared" si="101"/>
        <v>11.972112311987317</v>
      </c>
      <c r="AD50" s="67">
        <f t="shared" si="102"/>
        <v>12.889029576299125</v>
      </c>
      <c r="AE50" s="68">
        <f t="shared" si="103"/>
        <v>56.347371942639057</v>
      </c>
      <c r="AF50" s="68">
        <f t="shared" si="104"/>
        <v>69.23640151893818</v>
      </c>
      <c r="AH50" t="str">
        <f t="shared" si="134"/>
        <v>24 Business, media and public service professionals</v>
      </c>
      <c r="AI50" s="17">
        <f t="shared" si="105"/>
        <v>4.0644001602713287</v>
      </c>
      <c r="AJ50" s="17">
        <f t="shared" si="105"/>
        <v>3.9645067474382754</v>
      </c>
      <c r="AK50" s="17">
        <f t="shared" si="105"/>
        <v>4.2832850257373334</v>
      </c>
      <c r="AL50" s="17">
        <f t="shared" si="105"/>
        <v>4.1298222508244518</v>
      </c>
      <c r="AM50" s="17">
        <f t="shared" si="105"/>
        <v>3.9054344719917617</v>
      </c>
      <c r="AO50" s="67">
        <f t="shared" si="106"/>
        <v>1.1746985650549864</v>
      </c>
      <c r="AP50" s="68">
        <f t="shared" si="107"/>
        <v>37.579105657557761</v>
      </c>
      <c r="AQ50" s="68">
        <f t="shared" si="108"/>
        <v>38.753804222612743</v>
      </c>
      <c r="AS50" t="str">
        <f t="shared" si="135"/>
        <v>24 Business, media and public service professionals</v>
      </c>
      <c r="AT50" s="17">
        <f t="shared" si="109"/>
        <v>6.5694761021869459</v>
      </c>
      <c r="AU50" s="17">
        <f t="shared" si="109"/>
        <v>6.8346097021609635</v>
      </c>
      <c r="AV50" s="17">
        <f t="shared" si="109"/>
        <v>7.2475348398176616</v>
      </c>
      <c r="AW50" s="17">
        <f t="shared" si="109"/>
        <v>7.4133669741985795</v>
      </c>
      <c r="AX50" s="17">
        <f t="shared" si="109"/>
        <v>6.9859534148915703</v>
      </c>
      <c r="AZ50" s="67">
        <f t="shared" si="110"/>
        <v>15.905867317743775</v>
      </c>
      <c r="BA50" s="68">
        <f t="shared" si="111"/>
        <v>53.480550011976959</v>
      </c>
      <c r="BB50" s="68">
        <f t="shared" si="112"/>
        <v>69.386417329720729</v>
      </c>
      <c r="BD50" t="str">
        <f t="shared" si="136"/>
        <v>24 Business, media and public service professionals</v>
      </c>
      <c r="BE50" s="17">
        <f t="shared" si="113"/>
        <v>3.5815241622887366</v>
      </c>
      <c r="BF50" s="17">
        <f t="shared" si="113"/>
        <v>3.9525435863844911</v>
      </c>
      <c r="BG50" s="17">
        <f t="shared" si="113"/>
        <v>4.3950243126716444</v>
      </c>
      <c r="BH50" s="17">
        <f t="shared" si="113"/>
        <v>4.5631443913641139</v>
      </c>
      <c r="BI50" s="17">
        <f t="shared" si="113"/>
        <v>4.6396156700973936</v>
      </c>
      <c r="BK50" s="67">
        <f t="shared" si="114"/>
        <v>3.6213710349845085</v>
      </c>
      <c r="BL50" s="68">
        <f t="shared" si="115"/>
        <v>42.08477639427349</v>
      </c>
      <c r="BM50" s="68">
        <f t="shared" si="116"/>
        <v>45.706147429258003</v>
      </c>
      <c r="BO50" t="str">
        <f t="shared" si="137"/>
        <v>24 Business, media and public service professionals</v>
      </c>
      <c r="BP50" s="17">
        <f t="shared" si="117"/>
        <v>2.5639438490752906</v>
      </c>
      <c r="BQ50" s="17">
        <f t="shared" si="117"/>
        <v>2.7939960478092285</v>
      </c>
      <c r="BR50" s="17">
        <f t="shared" si="117"/>
        <v>3.0867180132116019</v>
      </c>
      <c r="BS50" s="17">
        <f t="shared" si="117"/>
        <v>3.0899145972972906</v>
      </c>
      <c r="BT50" s="17">
        <f t="shared" si="117"/>
        <v>2.9916267128134386</v>
      </c>
      <c r="BV50" s="67">
        <f t="shared" si="118"/>
        <v>-23.54452666920557</v>
      </c>
      <c r="BW50" s="68">
        <f t="shared" si="119"/>
        <v>36.000473169165929</v>
      </c>
      <c r="BX50" s="68">
        <f t="shared" si="120"/>
        <v>12.455946499960358</v>
      </c>
      <c r="BZ50" t="str">
        <f t="shared" si="138"/>
        <v>24 Business, media and public service professionals</v>
      </c>
      <c r="CA50" s="17">
        <f t="shared" si="121"/>
        <v>2.3272731830049933</v>
      </c>
      <c r="CB50" s="17">
        <f t="shared" si="121"/>
        <v>2.696732746301719</v>
      </c>
      <c r="CC50" s="17">
        <f t="shared" si="121"/>
        <v>3.0590520798876129</v>
      </c>
      <c r="CD50" s="17">
        <f t="shared" si="121"/>
        <v>3.2254258133506712</v>
      </c>
      <c r="CE50" s="17">
        <f t="shared" si="121"/>
        <v>3.1722672690934086</v>
      </c>
      <c r="CG50" s="67">
        <f t="shared" si="122"/>
        <v>-38.148847200243871</v>
      </c>
      <c r="CH50" s="68">
        <f t="shared" si="123"/>
        <v>31.708040769110223</v>
      </c>
      <c r="CI50" s="68">
        <f t="shared" si="124"/>
        <v>-6.4408064311336499</v>
      </c>
      <c r="CK50" t="str">
        <f t="shared" si="139"/>
        <v>24 Business, media and public service professionals</v>
      </c>
      <c r="CL50" s="17">
        <f t="shared" si="125"/>
        <v>1.3756325785917718</v>
      </c>
      <c r="CM50" s="17">
        <f t="shared" si="125"/>
        <v>1.8514972210637062</v>
      </c>
      <c r="CN50" s="17">
        <f t="shared" si="125"/>
        <v>2.1261504741442088</v>
      </c>
      <c r="CO50" s="17">
        <f t="shared" si="125"/>
        <v>2.6995389596268775</v>
      </c>
      <c r="CP50" s="17">
        <f t="shared" si="125"/>
        <v>3.647221427127032</v>
      </c>
      <c r="CR50" s="67">
        <f t="shared" si="126"/>
        <v>10.77712650755463</v>
      </c>
      <c r="CS50" s="68">
        <f t="shared" si="127"/>
        <v>37.35454983515352</v>
      </c>
      <c r="CT50" s="68">
        <f t="shared" si="128"/>
        <v>48.131676342708154</v>
      </c>
    </row>
    <row r="51" spans="1:98" x14ac:dyDescent="0.3">
      <c r="A51" t="str">
        <f t="shared" si="95"/>
        <v>31 Science, engineering and technology associate professionals</v>
      </c>
      <c r="B51" s="17">
        <f t="shared" si="96"/>
        <v>2.1897532383045029</v>
      </c>
      <c r="C51" s="17">
        <f t="shared" si="96"/>
        <v>2.4557575814680295</v>
      </c>
      <c r="D51" s="17">
        <f t="shared" si="96"/>
        <v>2.5918126010580904</v>
      </c>
      <c r="E51" s="17">
        <f t="shared" si="96"/>
        <v>2.4002116059479541</v>
      </c>
      <c r="F51" s="17">
        <f t="shared" si="96"/>
        <v>2.6468681031215473</v>
      </c>
      <c r="H51" s="67">
        <f t="shared" si="129"/>
        <v>79.9371628272105</v>
      </c>
      <c r="I51" s="68">
        <f t="shared" si="130"/>
        <v>63.596061717880737</v>
      </c>
      <c r="J51" s="68">
        <f t="shared" si="131"/>
        <v>143.53322454509123</v>
      </c>
      <c r="L51" t="str">
        <f t="shared" si="132"/>
        <v>31 Science, engineering and technology associate professionals</v>
      </c>
      <c r="M51" s="17">
        <f t="shared" si="97"/>
        <v>1.8430672498959324</v>
      </c>
      <c r="N51" s="17">
        <f t="shared" si="97"/>
        <v>1.9547949016789961</v>
      </c>
      <c r="O51" s="17">
        <f t="shared" si="97"/>
        <v>2.0564920624402445</v>
      </c>
      <c r="P51" s="17">
        <f t="shared" si="97"/>
        <v>1.7468429176657092</v>
      </c>
      <c r="Q51" s="17">
        <f t="shared" si="97"/>
        <v>1.7380346530918009</v>
      </c>
      <c r="S51" s="67">
        <f t="shared" si="98"/>
        <v>49.816458217806556</v>
      </c>
      <c r="T51" s="68">
        <f t="shared" si="99"/>
        <v>52.861453312470452</v>
      </c>
      <c r="U51" s="68">
        <f t="shared" si="100"/>
        <v>102.67791153027702</v>
      </c>
      <c r="W51" t="str">
        <f t="shared" si="133"/>
        <v>31 Science, engineering and technology associate professionals</v>
      </c>
      <c r="X51" s="17">
        <f t="shared" si="101"/>
        <v>2.2280712446637527</v>
      </c>
      <c r="Y51" s="17">
        <f t="shared" si="101"/>
        <v>2.4415064664300852</v>
      </c>
      <c r="Z51" s="17">
        <f t="shared" si="101"/>
        <v>2.5096873281514758</v>
      </c>
      <c r="AA51" s="17">
        <f t="shared" si="101"/>
        <v>2.1572755714590501</v>
      </c>
      <c r="AB51" s="17">
        <f t="shared" si="101"/>
        <v>2.0808330394695944</v>
      </c>
      <c r="AD51" s="67">
        <f t="shared" si="102"/>
        <v>1.220873906695793</v>
      </c>
      <c r="AE51" s="68">
        <f t="shared" si="103"/>
        <v>42.995877865051959</v>
      </c>
      <c r="AF51" s="68">
        <f t="shared" si="104"/>
        <v>44.216751771747745</v>
      </c>
      <c r="AH51" t="str">
        <f t="shared" si="134"/>
        <v>31 Science, engineering and technology associate professionals</v>
      </c>
      <c r="AI51" s="17">
        <f t="shared" si="105"/>
        <v>1.240960821555559</v>
      </c>
      <c r="AJ51" s="17">
        <f t="shared" si="105"/>
        <v>1.526641130289154</v>
      </c>
      <c r="AK51" s="17">
        <f t="shared" si="105"/>
        <v>1.6451397225805509</v>
      </c>
      <c r="AL51" s="17">
        <f t="shared" si="105"/>
        <v>1.6742698015621571</v>
      </c>
      <c r="AM51" s="17">
        <f t="shared" si="105"/>
        <v>1.9606415037927996</v>
      </c>
      <c r="AO51" s="67">
        <f t="shared" si="106"/>
        <v>32.243684804491203</v>
      </c>
      <c r="AP51" s="68">
        <f t="shared" si="107"/>
        <v>52.966121542706958</v>
      </c>
      <c r="AQ51" s="68">
        <f t="shared" si="108"/>
        <v>85.209806347198153</v>
      </c>
      <c r="AS51" t="str">
        <f t="shared" si="135"/>
        <v>31 Science, engineering and technology associate professionals</v>
      </c>
      <c r="AT51" s="17">
        <f t="shared" si="109"/>
        <v>3.4954526273918871</v>
      </c>
      <c r="AU51" s="17">
        <f t="shared" si="109"/>
        <v>3.5527996073549706</v>
      </c>
      <c r="AV51" s="17">
        <f t="shared" si="109"/>
        <v>3.6190228835337761</v>
      </c>
      <c r="AW51" s="17">
        <f t="shared" si="109"/>
        <v>2.8580132248331855</v>
      </c>
      <c r="AX51" s="17">
        <f t="shared" si="109"/>
        <v>2.4733707002701082</v>
      </c>
      <c r="AZ51" s="67">
        <f t="shared" si="110"/>
        <v>-17.819660668717745</v>
      </c>
      <c r="BA51" s="68">
        <f t="shared" si="111"/>
        <v>32.514048650684607</v>
      </c>
      <c r="BB51" s="68">
        <f t="shared" si="112"/>
        <v>14.694387981966861</v>
      </c>
      <c r="BD51" t="str">
        <f t="shared" si="136"/>
        <v>31 Science, engineering and technology associate professionals</v>
      </c>
      <c r="BE51" s="17">
        <f t="shared" si="113"/>
        <v>1.5015209216820342</v>
      </c>
      <c r="BF51" s="17">
        <f t="shared" si="113"/>
        <v>1.5445032881155518</v>
      </c>
      <c r="BG51" s="17">
        <f t="shared" si="113"/>
        <v>1.7163812930922844</v>
      </c>
      <c r="BH51" s="17">
        <f t="shared" si="113"/>
        <v>1.2608719396123405</v>
      </c>
      <c r="BI51" s="17">
        <f t="shared" si="113"/>
        <v>1.0234808347676077</v>
      </c>
      <c r="BK51" s="67">
        <f t="shared" si="114"/>
        <v>-41.467839916542523</v>
      </c>
      <c r="BL51" s="68">
        <f t="shared" si="115"/>
        <v>24.518551781079495</v>
      </c>
      <c r="BM51" s="68">
        <f t="shared" si="116"/>
        <v>-16.949288135463025</v>
      </c>
      <c r="BO51" t="str">
        <f t="shared" si="137"/>
        <v>31 Science, engineering and technology associate professionals</v>
      </c>
      <c r="BP51" s="17">
        <f t="shared" si="117"/>
        <v>1.0907221615985139</v>
      </c>
      <c r="BQ51" s="17">
        <f t="shared" si="117"/>
        <v>1.2410366115042764</v>
      </c>
      <c r="BR51" s="17">
        <f t="shared" si="117"/>
        <v>1.413098656084576</v>
      </c>
      <c r="BS51" s="17">
        <f t="shared" si="117"/>
        <v>1.1783549937886517</v>
      </c>
      <c r="BT51" s="17">
        <f t="shared" si="117"/>
        <v>1.2783345438115248</v>
      </c>
      <c r="BV51" s="67">
        <f t="shared" si="118"/>
        <v>-28.637480171220098</v>
      </c>
      <c r="BW51" s="68">
        <f t="shared" si="119"/>
        <v>29.447430048569696</v>
      </c>
      <c r="BX51" s="68">
        <f t="shared" si="120"/>
        <v>0.8099498773496</v>
      </c>
      <c r="BZ51" t="str">
        <f t="shared" si="138"/>
        <v>31 Science, engineering and technology associate professionals</v>
      </c>
      <c r="CA51" s="17">
        <f t="shared" si="121"/>
        <v>1.2353711794844291</v>
      </c>
      <c r="CB51" s="17">
        <f t="shared" si="121"/>
        <v>1.5043145529266306</v>
      </c>
      <c r="CC51" s="17">
        <f t="shared" si="121"/>
        <v>1.7774542855497215</v>
      </c>
      <c r="CD51" s="17">
        <f t="shared" si="121"/>
        <v>1.5934496406759022</v>
      </c>
      <c r="CE51" s="17">
        <f t="shared" si="121"/>
        <v>1.8968475189528891</v>
      </c>
      <c r="CG51" s="67">
        <f t="shared" si="122"/>
        <v>-36.349930810237666</v>
      </c>
      <c r="CH51" s="68">
        <f t="shared" si="123"/>
        <v>26.795111423521966</v>
      </c>
      <c r="CI51" s="68">
        <f t="shared" si="124"/>
        <v>-9.5548193867156996</v>
      </c>
      <c r="CK51" t="str">
        <f t="shared" si="139"/>
        <v>31 Science, engineering and technology associate professionals</v>
      </c>
      <c r="CL51" s="17">
        <f t="shared" si="125"/>
        <v>0.61727419912186487</v>
      </c>
      <c r="CM51" s="17">
        <f t="shared" si="125"/>
        <v>0.91862395754183213</v>
      </c>
      <c r="CN51" s="17">
        <f t="shared" si="125"/>
        <v>1.1994531137107833</v>
      </c>
      <c r="CO51" s="17">
        <f t="shared" si="125"/>
        <v>1.5266504165503521</v>
      </c>
      <c r="CP51" s="17">
        <f t="shared" si="125"/>
        <v>2.6835291668792953</v>
      </c>
      <c r="CR51" s="67">
        <f t="shared" si="126"/>
        <v>44.479092913142836</v>
      </c>
      <c r="CS51" s="68">
        <f t="shared" si="127"/>
        <v>44.689909347466688</v>
      </c>
      <c r="CT51" s="68">
        <f t="shared" si="128"/>
        <v>89.169002260609517</v>
      </c>
    </row>
    <row r="52" spans="1:98" x14ac:dyDescent="0.3">
      <c r="A52" t="str">
        <f t="shared" si="95"/>
        <v>32 Health and social care associate professionals</v>
      </c>
      <c r="B52" s="17">
        <f t="shared" si="96"/>
        <v>0.55196159713148329</v>
      </c>
      <c r="C52" s="17">
        <f t="shared" si="96"/>
        <v>0.59524978093837333</v>
      </c>
      <c r="D52" s="17">
        <f t="shared" si="96"/>
        <v>0.53981957025475369</v>
      </c>
      <c r="E52" s="17">
        <f t="shared" si="96"/>
        <v>0.58634776435720237</v>
      </c>
      <c r="F52" s="17">
        <f t="shared" si="96"/>
        <v>0.68135697718977295</v>
      </c>
      <c r="H52" s="67">
        <f t="shared" si="129"/>
        <v>122.39153243611098</v>
      </c>
      <c r="I52" s="68">
        <f t="shared" si="130"/>
        <v>96.91380371232782</v>
      </c>
      <c r="J52" s="68">
        <f t="shared" si="131"/>
        <v>219.30533614843876</v>
      </c>
      <c r="L52" t="str">
        <f t="shared" si="132"/>
        <v>32 Health and social care associate professionals</v>
      </c>
      <c r="M52" s="17">
        <f t="shared" si="97"/>
        <v>1.7916712074259944</v>
      </c>
      <c r="N52" s="17">
        <f t="shared" si="97"/>
        <v>1.9022126323960793</v>
      </c>
      <c r="O52" s="17">
        <f t="shared" si="97"/>
        <v>1.8876769860236473</v>
      </c>
      <c r="P52" s="17">
        <f t="shared" si="97"/>
        <v>1.9035094427372858</v>
      </c>
      <c r="Q52" s="17">
        <f t="shared" si="97"/>
        <v>2.0543319920343852</v>
      </c>
      <c r="S52" s="67">
        <f t="shared" si="98"/>
        <v>92.917258013049988</v>
      </c>
      <c r="T52" s="68">
        <f t="shared" si="99"/>
        <v>84.812608427929831</v>
      </c>
      <c r="U52" s="68">
        <f t="shared" si="100"/>
        <v>177.72986644097981</v>
      </c>
      <c r="W52" t="str">
        <f t="shared" si="133"/>
        <v>32 Health and social care associate professionals</v>
      </c>
      <c r="X52" s="17">
        <f t="shared" si="101"/>
        <v>2.6692108922752737</v>
      </c>
      <c r="Y52" s="17">
        <f t="shared" si="101"/>
        <v>2.8685962347362626</v>
      </c>
      <c r="Z52" s="17">
        <f t="shared" si="101"/>
        <v>2.8852290439845829</v>
      </c>
      <c r="AA52" s="17">
        <f t="shared" si="101"/>
        <v>2.9877219797671053</v>
      </c>
      <c r="AB52" s="17">
        <f t="shared" si="101"/>
        <v>3.1730707681431563</v>
      </c>
      <c r="AD52" s="67">
        <f t="shared" si="102"/>
        <v>34.261633962613189</v>
      </c>
      <c r="AE52" s="68">
        <f t="shared" si="103"/>
        <v>74.652518761018626</v>
      </c>
      <c r="AF52" s="68">
        <f t="shared" si="104"/>
        <v>108.9141527236318</v>
      </c>
      <c r="AH52" t="str">
        <f t="shared" si="134"/>
        <v>32 Health and social care associate professionals</v>
      </c>
      <c r="AI52" s="17">
        <f t="shared" si="105"/>
        <v>6.2927407755325584</v>
      </c>
      <c r="AJ52" s="17">
        <f t="shared" si="105"/>
        <v>5.4786100531466806</v>
      </c>
      <c r="AK52" s="17">
        <f t="shared" si="105"/>
        <v>5.2361215035158208</v>
      </c>
      <c r="AL52" s="17">
        <f t="shared" si="105"/>
        <v>3.8840992143061062</v>
      </c>
      <c r="AM52" s="17">
        <f t="shared" si="105"/>
        <v>2.0432982563146793</v>
      </c>
      <c r="AO52" s="67">
        <f t="shared" si="106"/>
        <v>-56.698634953699091</v>
      </c>
      <c r="AP52" s="68">
        <f t="shared" si="107"/>
        <v>29.293332125473647</v>
      </c>
      <c r="AQ52" s="68">
        <f t="shared" si="108"/>
        <v>-27.405302828225441</v>
      </c>
      <c r="AS52" t="str">
        <f t="shared" si="135"/>
        <v>32 Health and social care associate professionals</v>
      </c>
      <c r="AT52" s="17">
        <f t="shared" si="109"/>
        <v>1.4424531171232804</v>
      </c>
      <c r="AU52" s="17">
        <f t="shared" si="109"/>
        <v>1.5295135185497051</v>
      </c>
      <c r="AV52" s="17">
        <f t="shared" si="109"/>
        <v>1.652826225675329</v>
      </c>
      <c r="AW52" s="17">
        <f t="shared" si="109"/>
        <v>1.5325345949456455</v>
      </c>
      <c r="AX52" s="17">
        <f t="shared" si="109"/>
        <v>1.4942807359193735</v>
      </c>
      <c r="AZ52" s="67">
        <f t="shared" si="110"/>
        <v>8.7113903065713281</v>
      </c>
      <c r="BA52" s="68">
        <f t="shared" si="111"/>
        <v>58.334034293264324</v>
      </c>
      <c r="BB52" s="68">
        <f t="shared" si="112"/>
        <v>67.045424599835655</v>
      </c>
      <c r="BD52" t="str">
        <f t="shared" si="136"/>
        <v>32 Health and social care associate professionals</v>
      </c>
      <c r="BE52" s="17">
        <f t="shared" si="113"/>
        <v>1.4250764100381632</v>
      </c>
      <c r="BF52" s="17">
        <f t="shared" si="113"/>
        <v>1.6880900907711525</v>
      </c>
      <c r="BG52" s="17">
        <f t="shared" si="113"/>
        <v>1.7925116544298414</v>
      </c>
      <c r="BH52" s="17">
        <f t="shared" si="113"/>
        <v>1.8461592817819412</v>
      </c>
      <c r="BI52" s="17">
        <f t="shared" si="113"/>
        <v>2.1065105989478212</v>
      </c>
      <c r="BK52" s="67">
        <f t="shared" si="114"/>
        <v>15.353365582078066</v>
      </c>
      <c r="BL52" s="68">
        <f t="shared" si="115"/>
        <v>61.09965796365443</v>
      </c>
      <c r="BM52" s="68">
        <f t="shared" si="116"/>
        <v>76.453023545732492</v>
      </c>
      <c r="BO52" t="str">
        <f t="shared" si="137"/>
        <v>32 Health and social care associate professionals</v>
      </c>
      <c r="BP52" s="17">
        <f t="shared" si="117"/>
        <v>1.1683153930574408</v>
      </c>
      <c r="BQ52" s="17">
        <f t="shared" si="117"/>
        <v>1.3054735423527906</v>
      </c>
      <c r="BR52" s="17">
        <f t="shared" si="117"/>
        <v>1.3728237981836677</v>
      </c>
      <c r="BS52" s="17">
        <f t="shared" si="117"/>
        <v>1.3231160412713125</v>
      </c>
      <c r="BT52" s="17">
        <f t="shared" si="117"/>
        <v>1.2663961976555898</v>
      </c>
      <c r="BV52" s="67">
        <f t="shared" si="118"/>
        <v>-27.229906324845953</v>
      </c>
      <c r="BW52" s="68">
        <f t="shared" si="119"/>
        <v>44.970123714944172</v>
      </c>
      <c r="BX52" s="68">
        <f t="shared" si="120"/>
        <v>17.74021739009822</v>
      </c>
      <c r="BZ52" t="str">
        <f t="shared" si="138"/>
        <v>32 Health and social care associate professionals</v>
      </c>
      <c r="CA52" s="17">
        <f t="shared" si="121"/>
        <v>0.70092365205990859</v>
      </c>
      <c r="CB52" s="17">
        <f t="shared" si="121"/>
        <v>0.69209873988929027</v>
      </c>
      <c r="CC52" s="17">
        <f t="shared" si="121"/>
        <v>0.68924059098862345</v>
      </c>
      <c r="CD52" s="17">
        <f t="shared" si="121"/>
        <v>0.64400076868798029</v>
      </c>
      <c r="CE52" s="17">
        <f t="shared" si="121"/>
        <v>0.59604145806980202</v>
      </c>
      <c r="CG52" s="67">
        <f t="shared" si="122"/>
        <v>-48.42128461638481</v>
      </c>
      <c r="CH52" s="68">
        <f t="shared" si="123"/>
        <v>31.790315654981367</v>
      </c>
      <c r="CI52" s="68">
        <f t="shared" si="124"/>
        <v>-16.630968961403443</v>
      </c>
      <c r="CK52" t="str">
        <f t="shared" si="139"/>
        <v>32 Health and social care associate professionals</v>
      </c>
      <c r="CL52" s="17">
        <f t="shared" si="125"/>
        <v>0.26634388329189651</v>
      </c>
      <c r="CM52" s="17">
        <f t="shared" si="125"/>
        <v>0.33593494978996385</v>
      </c>
      <c r="CN52" s="17">
        <f t="shared" si="125"/>
        <v>0.3946912277792235</v>
      </c>
      <c r="CO52" s="17">
        <f t="shared" si="125"/>
        <v>0.52429500242376315</v>
      </c>
      <c r="CP52" s="17">
        <f t="shared" si="125"/>
        <v>0.91032429937135673</v>
      </c>
      <c r="CR52" s="67">
        <f t="shared" si="126"/>
        <v>48.943180714163489</v>
      </c>
      <c r="CS52" s="68">
        <f t="shared" si="127"/>
        <v>50.770876124674622</v>
      </c>
      <c r="CT52" s="68">
        <f t="shared" si="128"/>
        <v>99.714056838838104</v>
      </c>
    </row>
    <row r="53" spans="1:98" x14ac:dyDescent="0.3">
      <c r="A53" t="str">
        <f t="shared" si="95"/>
        <v>33 Protective service occupations</v>
      </c>
      <c r="B53" s="17">
        <f t="shared" si="96"/>
        <v>0.2731931702180761</v>
      </c>
      <c r="C53" s="17">
        <f t="shared" si="96"/>
        <v>0.25395282299259025</v>
      </c>
      <c r="D53" s="17">
        <f t="shared" si="96"/>
        <v>0.26145603572151577</v>
      </c>
      <c r="E53" s="17">
        <f t="shared" si="96"/>
        <v>0.33417173960293334</v>
      </c>
      <c r="F53" s="17">
        <f t="shared" si="96"/>
        <v>0.40996508246534452</v>
      </c>
      <c r="H53" s="67">
        <f t="shared" si="129"/>
        <v>176.27422013106315</v>
      </c>
      <c r="I53" s="68">
        <f t="shared" si="130"/>
        <v>69.458359105363058</v>
      </c>
      <c r="J53" s="68">
        <f t="shared" si="131"/>
        <v>245.7325792364262</v>
      </c>
      <c r="L53" t="str">
        <f t="shared" si="132"/>
        <v>33 Protective service occupations</v>
      </c>
      <c r="M53" s="17">
        <f t="shared" si="97"/>
        <v>0.62416211276829758</v>
      </c>
      <c r="N53" s="17">
        <f t="shared" si="97"/>
        <v>0.60492465398293227</v>
      </c>
      <c r="O53" s="17">
        <f t="shared" si="97"/>
        <v>0.64402443048982372</v>
      </c>
      <c r="P53" s="17">
        <f t="shared" si="97"/>
        <v>0.7891118234704122</v>
      </c>
      <c r="Q53" s="17">
        <f t="shared" si="97"/>
        <v>0.97945313635648423</v>
      </c>
      <c r="S53" s="67">
        <f t="shared" si="98"/>
        <v>169.59352121677691</v>
      </c>
      <c r="T53" s="68">
        <f t="shared" si="99"/>
        <v>61.466289392341842</v>
      </c>
      <c r="U53" s="68">
        <f t="shared" si="100"/>
        <v>231.05981060911876</v>
      </c>
      <c r="W53" t="str">
        <f t="shared" si="133"/>
        <v>33 Protective service occupations</v>
      </c>
      <c r="X53" s="17">
        <f t="shared" si="101"/>
        <v>1.3123491516384624</v>
      </c>
      <c r="Y53" s="17">
        <f t="shared" si="101"/>
        <v>1.3540054412238289</v>
      </c>
      <c r="Z53" s="17">
        <f t="shared" si="101"/>
        <v>1.449489810004325</v>
      </c>
      <c r="AA53" s="17">
        <f t="shared" si="101"/>
        <v>1.7739985920236752</v>
      </c>
      <c r="AB53" s="17">
        <f t="shared" si="101"/>
        <v>2.1696129253784631</v>
      </c>
      <c r="AD53" s="67">
        <f t="shared" si="102"/>
        <v>82.734083057374008</v>
      </c>
      <c r="AE53" s="68">
        <f t="shared" si="103"/>
        <v>61.006843534249612</v>
      </c>
      <c r="AF53" s="68">
        <f t="shared" si="104"/>
        <v>143.74092659162361</v>
      </c>
      <c r="AH53" t="str">
        <f t="shared" si="134"/>
        <v>33 Protective service occupations</v>
      </c>
      <c r="AI53" s="17">
        <f t="shared" si="105"/>
        <v>1.1952479927142352</v>
      </c>
      <c r="AJ53" s="17">
        <f t="shared" si="105"/>
        <v>1.3149048346517564</v>
      </c>
      <c r="AK53" s="17">
        <f t="shared" si="105"/>
        <v>1.4285016374564377</v>
      </c>
      <c r="AL53" s="17">
        <f t="shared" si="105"/>
        <v>1.8303239787785406</v>
      </c>
      <c r="AM53" s="17">
        <f t="shared" si="105"/>
        <v>2.2600826958463038</v>
      </c>
      <c r="AO53" s="67">
        <f t="shared" si="106"/>
        <v>75.559011312638916</v>
      </c>
      <c r="AP53" s="68">
        <f t="shared" si="107"/>
        <v>53.089062872346481</v>
      </c>
      <c r="AQ53" s="68">
        <f t="shared" si="108"/>
        <v>128.64807418498538</v>
      </c>
      <c r="AS53" t="str">
        <f t="shared" si="135"/>
        <v>33 Protective service occupations</v>
      </c>
      <c r="AT53" s="17">
        <f t="shared" si="109"/>
        <v>1.1994808225839841</v>
      </c>
      <c r="AU53" s="17">
        <f t="shared" si="109"/>
        <v>1.0540990984352474</v>
      </c>
      <c r="AV53" s="17">
        <f t="shared" si="109"/>
        <v>1.1001313309304115</v>
      </c>
      <c r="AW53" s="17">
        <f t="shared" si="109"/>
        <v>1.1537373823529979</v>
      </c>
      <c r="AX53" s="17">
        <f t="shared" si="109"/>
        <v>1.1370342951380548</v>
      </c>
      <c r="AZ53" s="67">
        <f t="shared" si="110"/>
        <v>24.279380112675241</v>
      </c>
      <c r="BA53" s="68">
        <f t="shared" si="111"/>
        <v>41.797353509727195</v>
      </c>
      <c r="BB53" s="68">
        <f t="shared" si="112"/>
        <v>66.076733622402443</v>
      </c>
      <c r="BD53" t="str">
        <f t="shared" si="136"/>
        <v>33 Protective service occupations</v>
      </c>
      <c r="BE53" s="17">
        <f t="shared" si="113"/>
        <v>1.1216678902513681</v>
      </c>
      <c r="BF53" s="17">
        <f t="shared" si="113"/>
        <v>1.0262809228202721</v>
      </c>
      <c r="BG53" s="17">
        <f t="shared" si="113"/>
        <v>1.0831779846098342</v>
      </c>
      <c r="BH53" s="17">
        <f t="shared" si="113"/>
        <v>1.1650924206044011</v>
      </c>
      <c r="BI53" s="17">
        <f t="shared" si="113"/>
        <v>1.0748596229941501</v>
      </c>
      <c r="BK53" s="67">
        <f t="shared" si="114"/>
        <v>-2.595160738524056</v>
      </c>
      <c r="BL53" s="68">
        <f t="shared" si="115"/>
        <v>25.752813731099277</v>
      </c>
      <c r="BM53" s="68">
        <f t="shared" si="116"/>
        <v>23.157652992575226</v>
      </c>
      <c r="BO53" t="str">
        <f t="shared" si="137"/>
        <v>33 Protective service occupations</v>
      </c>
      <c r="BP53" s="17">
        <f t="shared" si="117"/>
        <v>1.2242745416445691</v>
      </c>
      <c r="BQ53" s="17">
        <f t="shared" si="117"/>
        <v>1.2267620671726067</v>
      </c>
      <c r="BR53" s="17">
        <f t="shared" si="117"/>
        <v>1.2993523591779954</v>
      </c>
      <c r="BS53" s="17">
        <f t="shared" si="117"/>
        <v>1.4425046123728731</v>
      </c>
      <c r="BT53" s="17">
        <f t="shared" si="117"/>
        <v>1.3729173893735025</v>
      </c>
      <c r="BV53" s="67">
        <f t="shared" si="118"/>
        <v>-16.648081230242525</v>
      </c>
      <c r="BW53" s="68">
        <f t="shared" si="119"/>
        <v>28.295287616304943</v>
      </c>
      <c r="BX53" s="68">
        <f t="shared" si="120"/>
        <v>11.647206386062418</v>
      </c>
      <c r="BZ53" t="str">
        <f t="shared" si="138"/>
        <v>33 Protective service occupations</v>
      </c>
      <c r="CA53" s="17">
        <f t="shared" si="121"/>
        <v>1.013493800999864</v>
      </c>
      <c r="CB53" s="17">
        <f t="shared" si="121"/>
        <v>1.0292235654126931</v>
      </c>
      <c r="CC53" s="17">
        <f t="shared" si="121"/>
        <v>1.1378327131691104</v>
      </c>
      <c r="CD53" s="17">
        <f t="shared" si="121"/>
        <v>1.3739891489715195</v>
      </c>
      <c r="CE53" s="17">
        <f t="shared" si="121"/>
        <v>1.5762108350844295</v>
      </c>
      <c r="CG53" s="67">
        <f t="shared" si="122"/>
        <v>-17.377031960356184</v>
      </c>
      <c r="CH53" s="68">
        <f t="shared" si="123"/>
        <v>34.664509897031678</v>
      </c>
      <c r="CI53" s="68">
        <f t="shared" si="124"/>
        <v>17.287477936675497</v>
      </c>
      <c r="CK53" t="str">
        <f t="shared" si="139"/>
        <v>33 Protective service occupations</v>
      </c>
      <c r="CL53" s="17">
        <f t="shared" si="125"/>
        <v>0.46452987868385598</v>
      </c>
      <c r="CM53" s="17">
        <f t="shared" si="125"/>
        <v>0.4348641102830883</v>
      </c>
      <c r="CN53" s="17">
        <f t="shared" si="125"/>
        <v>0.48020986574332991</v>
      </c>
      <c r="CO53" s="17">
        <f t="shared" si="125"/>
        <v>0.48575739583161459</v>
      </c>
      <c r="CP53" s="17">
        <f t="shared" si="125"/>
        <v>0.57248780427868251</v>
      </c>
      <c r="CR53" s="67">
        <f t="shared" si="126"/>
        <v>-23.01304837021484</v>
      </c>
      <c r="CS53" s="68">
        <f t="shared" si="127"/>
        <v>19.029991700573479</v>
      </c>
      <c r="CT53" s="68">
        <f t="shared" si="128"/>
        <v>-3.9830566696413614</v>
      </c>
    </row>
    <row r="54" spans="1:98" x14ac:dyDescent="0.3">
      <c r="A54" t="str">
        <f t="shared" si="95"/>
        <v>34 Culture, media and sports occupations</v>
      </c>
      <c r="B54" s="17">
        <f t="shared" si="96"/>
        <v>1.4404045790157654</v>
      </c>
      <c r="C54" s="17">
        <f t="shared" si="96"/>
        <v>1.5792482046649385</v>
      </c>
      <c r="D54" s="17">
        <f t="shared" si="96"/>
        <v>1.6023990299582274</v>
      </c>
      <c r="E54" s="17">
        <f t="shared" si="96"/>
        <v>1.520239407884423</v>
      </c>
      <c r="F54" s="17">
        <f t="shared" si="96"/>
        <v>1.5234660718602411</v>
      </c>
      <c r="H54" s="67">
        <f t="shared" si="129"/>
        <v>67.515222474794726</v>
      </c>
      <c r="I54" s="68">
        <f t="shared" si="130"/>
        <v>72.044348809921246</v>
      </c>
      <c r="J54" s="68">
        <f t="shared" si="131"/>
        <v>139.55957128471596</v>
      </c>
      <c r="L54" t="str">
        <f t="shared" si="132"/>
        <v>34 Culture, media and sports occupations</v>
      </c>
      <c r="M54" s="17">
        <f t="shared" si="97"/>
        <v>3.7835154957583592</v>
      </c>
      <c r="N54" s="17">
        <f t="shared" si="97"/>
        <v>3.5195585370786757</v>
      </c>
      <c r="O54" s="17">
        <f t="shared" si="97"/>
        <v>3.8635900701494363</v>
      </c>
      <c r="P54" s="17">
        <f t="shared" si="97"/>
        <v>3.7356201805807716</v>
      </c>
      <c r="Q54" s="17">
        <f t="shared" si="97"/>
        <v>3.7651778905319082</v>
      </c>
      <c r="S54" s="67">
        <f t="shared" si="98"/>
        <v>72.751803787148802</v>
      </c>
      <c r="T54" s="68">
        <f t="shared" si="99"/>
        <v>69.464093817019688</v>
      </c>
      <c r="U54" s="68">
        <f t="shared" si="100"/>
        <v>142.2158976041685</v>
      </c>
      <c r="W54" t="str">
        <f t="shared" si="133"/>
        <v>34 Culture, media and sports occupations</v>
      </c>
      <c r="X54" s="17">
        <f t="shared" si="101"/>
        <v>4.1549980827830586</v>
      </c>
      <c r="Y54" s="17">
        <f t="shared" si="101"/>
        <v>3.809340879092888</v>
      </c>
      <c r="Z54" s="17">
        <f t="shared" si="101"/>
        <v>3.8999161876034827</v>
      </c>
      <c r="AA54" s="17">
        <f t="shared" si="101"/>
        <v>3.5449555017786536</v>
      </c>
      <c r="AB54" s="17">
        <f t="shared" si="101"/>
        <v>3.2744852594834817</v>
      </c>
      <c r="AD54" s="67">
        <f t="shared" si="102"/>
        <v>2.5038626892834577</v>
      </c>
      <c r="AE54" s="68">
        <f t="shared" si="103"/>
        <v>48.345457880606872</v>
      </c>
      <c r="AF54" s="68">
        <f t="shared" si="104"/>
        <v>50.849320569890331</v>
      </c>
      <c r="AH54" t="str">
        <f t="shared" si="134"/>
        <v>34 Culture, media and sports occupations</v>
      </c>
      <c r="AI54" s="17">
        <f t="shared" si="105"/>
        <v>1.7772242955969932</v>
      </c>
      <c r="AJ54" s="17">
        <f t="shared" si="105"/>
        <v>1.7957224952414683</v>
      </c>
      <c r="AK54" s="17">
        <f t="shared" si="105"/>
        <v>2.0208773279263457</v>
      </c>
      <c r="AL54" s="17">
        <f t="shared" si="105"/>
        <v>1.9699489610633658</v>
      </c>
      <c r="AM54" s="17">
        <f t="shared" si="105"/>
        <v>2.1678649494442945</v>
      </c>
      <c r="AO54" s="67">
        <f t="shared" si="106"/>
        <v>19.034214610030109</v>
      </c>
      <c r="AP54" s="68">
        <f t="shared" si="107"/>
        <v>51.120826634983359</v>
      </c>
      <c r="AQ54" s="68">
        <f t="shared" si="108"/>
        <v>70.155041245013464</v>
      </c>
      <c r="AS54" t="str">
        <f t="shared" si="135"/>
        <v>34 Culture, media and sports occupations</v>
      </c>
      <c r="AT54" s="17">
        <f t="shared" si="109"/>
        <v>2.3812194661014776</v>
      </c>
      <c r="AU54" s="17">
        <f t="shared" si="109"/>
        <v>2.1196535756441812</v>
      </c>
      <c r="AV54" s="17">
        <f t="shared" si="109"/>
        <v>2.134689934471603</v>
      </c>
      <c r="AW54" s="17">
        <f t="shared" si="109"/>
        <v>1.832745767297439</v>
      </c>
      <c r="AX54" s="17">
        <f t="shared" si="109"/>
        <v>1.5893837448561183</v>
      </c>
      <c r="AZ54" s="67">
        <f t="shared" si="110"/>
        <v>-10.470942548972289</v>
      </c>
      <c r="BA54" s="68">
        <f t="shared" si="111"/>
        <v>42.582025053700605</v>
      </c>
      <c r="BB54" s="68">
        <f t="shared" si="112"/>
        <v>32.111082504728316</v>
      </c>
      <c r="BD54" t="str">
        <f t="shared" si="136"/>
        <v>34 Culture, media and sports occupations</v>
      </c>
      <c r="BE54" s="17">
        <f t="shared" si="113"/>
        <v>1.4952700519000837</v>
      </c>
      <c r="BF54" s="17">
        <f t="shared" si="113"/>
        <v>1.3751565445069411</v>
      </c>
      <c r="BG54" s="17">
        <f t="shared" si="113"/>
        <v>1.4401461015663684</v>
      </c>
      <c r="BH54" s="17">
        <f t="shared" si="113"/>
        <v>1.2537651041132147</v>
      </c>
      <c r="BI54" s="17">
        <f t="shared" si="113"/>
        <v>1.2194974144893063</v>
      </c>
      <c r="BK54" s="67">
        <f t="shared" si="114"/>
        <v>-16.88049651753353</v>
      </c>
      <c r="BL54" s="68">
        <f t="shared" si="115"/>
        <v>32.502896283628161</v>
      </c>
      <c r="BM54" s="68">
        <f t="shared" si="116"/>
        <v>15.622399766094636</v>
      </c>
      <c r="BO54" t="str">
        <f t="shared" si="137"/>
        <v>34 Culture, media and sports occupations</v>
      </c>
      <c r="BP54" s="17">
        <f t="shared" si="117"/>
        <v>0.82138262701768261</v>
      </c>
      <c r="BQ54" s="17">
        <f t="shared" si="117"/>
        <v>0.72090702087115821</v>
      </c>
      <c r="BR54" s="17">
        <f t="shared" si="117"/>
        <v>0.71241448084035941</v>
      </c>
      <c r="BS54" s="17">
        <f t="shared" si="117"/>
        <v>0.56054450587295579</v>
      </c>
      <c r="BT54" s="17">
        <f t="shared" si="117"/>
        <v>0.40268476845495144</v>
      </c>
      <c r="BV54" s="67">
        <f t="shared" si="118"/>
        <v>-55.410705651370584</v>
      </c>
      <c r="BW54" s="68">
        <f t="shared" si="119"/>
        <v>24.363055646232016</v>
      </c>
      <c r="BX54" s="68">
        <f t="shared" si="120"/>
        <v>-31.047650005138571</v>
      </c>
      <c r="BZ54" t="str">
        <f t="shared" si="138"/>
        <v>34 Culture, media and sports occupations</v>
      </c>
      <c r="CA54" s="17">
        <f t="shared" si="121"/>
        <v>0.98336935955137728</v>
      </c>
      <c r="CB54" s="17">
        <f t="shared" si="121"/>
        <v>0.95619308326149233</v>
      </c>
      <c r="CC54" s="17">
        <f t="shared" si="121"/>
        <v>0.99394378956216589</v>
      </c>
      <c r="CD54" s="17">
        <f t="shared" si="121"/>
        <v>0.89489512764868873</v>
      </c>
      <c r="CE54" s="17">
        <f t="shared" si="121"/>
        <v>0.87368434511312898</v>
      </c>
      <c r="CG54" s="67">
        <f t="shared" si="122"/>
        <v>-47.572683524207413</v>
      </c>
      <c r="CH54" s="68">
        <f t="shared" si="123"/>
        <v>25.825126009828043</v>
      </c>
      <c r="CI54" s="68">
        <f t="shared" si="124"/>
        <v>-21.747557514379366</v>
      </c>
      <c r="CK54" t="str">
        <f t="shared" si="139"/>
        <v>34 Culture, media and sports occupations</v>
      </c>
      <c r="CL54" s="17">
        <f t="shared" si="125"/>
        <v>0.75327116244810799</v>
      </c>
      <c r="CM54" s="17">
        <f t="shared" si="125"/>
        <v>0.94733833510701004</v>
      </c>
      <c r="CN54" s="17">
        <f t="shared" si="125"/>
        <v>0.99773258519736518</v>
      </c>
      <c r="CO54" s="17">
        <f t="shared" si="125"/>
        <v>1.1469580074487977</v>
      </c>
      <c r="CP54" s="17">
        <f t="shared" si="125"/>
        <v>1.4346749690273812</v>
      </c>
      <c r="CR54" s="67">
        <f t="shared" si="126"/>
        <v>-7.1415719225659435</v>
      </c>
      <c r="CS54" s="68">
        <f t="shared" si="127"/>
        <v>32.623877864858351</v>
      </c>
      <c r="CT54" s="68">
        <f t="shared" si="128"/>
        <v>25.482305942292406</v>
      </c>
    </row>
    <row r="55" spans="1:98" x14ac:dyDescent="0.3">
      <c r="A55" t="str">
        <f t="shared" si="95"/>
        <v>35 Business and public service associate professionals</v>
      </c>
      <c r="B55" s="17">
        <f t="shared" ref="B55:F64" si="140">B18/B$35*100</f>
        <v>5.4552455886180411</v>
      </c>
      <c r="C55" s="17">
        <f t="shared" si="140"/>
        <v>5.5351711324249564</v>
      </c>
      <c r="D55" s="17">
        <f t="shared" si="140"/>
        <v>5.5862742760515829</v>
      </c>
      <c r="E55" s="17">
        <f t="shared" si="140"/>
        <v>5.6282674427993413</v>
      </c>
      <c r="F55" s="17">
        <f t="shared" si="140"/>
        <v>6.0923880250531246</v>
      </c>
      <c r="H55" s="67">
        <f t="shared" si="129"/>
        <v>92.157555776534721</v>
      </c>
      <c r="I55" s="68">
        <f t="shared" si="130"/>
        <v>69.562351644060143</v>
      </c>
      <c r="J55" s="68">
        <f t="shared" si="131"/>
        <v>161.71990742059486</v>
      </c>
      <c r="L55" t="str">
        <f t="shared" si="132"/>
        <v>35 Business and public service associate professionals</v>
      </c>
      <c r="M55" s="17">
        <f t="shared" ref="M55:Q64" si="141">M18/M$35*100</f>
        <v>8.3118669668838212</v>
      </c>
      <c r="N55" s="17">
        <f t="shared" si="141"/>
        <v>8.3011917464260225</v>
      </c>
      <c r="O55" s="17">
        <f t="shared" si="141"/>
        <v>8.2812656779469709</v>
      </c>
      <c r="P55" s="17">
        <f t="shared" si="141"/>
        <v>7.965050821679136</v>
      </c>
      <c r="Q55" s="17">
        <f t="shared" si="141"/>
        <v>7.8724304355946799</v>
      </c>
      <c r="S55" s="67">
        <f t="shared" si="98"/>
        <v>68.515652389924412</v>
      </c>
      <c r="T55" s="68">
        <f t="shared" si="99"/>
        <v>66.294460260339832</v>
      </c>
      <c r="U55" s="68">
        <f t="shared" si="100"/>
        <v>134.81011265026424</v>
      </c>
      <c r="W55" t="str">
        <f t="shared" si="133"/>
        <v>35 Business and public service associate professionals</v>
      </c>
      <c r="X55" s="17">
        <f t="shared" ref="X55:AB64" si="142">X18/X$35*100</f>
        <v>8.7501818014851533</v>
      </c>
      <c r="Y55" s="17">
        <f t="shared" si="142"/>
        <v>8.5223282696225926</v>
      </c>
      <c r="Z55" s="17">
        <f t="shared" si="142"/>
        <v>8.4395054772044276</v>
      </c>
      <c r="AA55" s="17">
        <f t="shared" si="142"/>
        <v>7.6264462993793085</v>
      </c>
      <c r="AB55" s="17">
        <f t="shared" si="142"/>
        <v>6.900720982061423</v>
      </c>
      <c r="AD55" s="67">
        <f t="shared" si="102"/>
        <v>-0.1771571612913235</v>
      </c>
      <c r="AE55" s="68">
        <f t="shared" si="103"/>
        <v>49.850894977173986</v>
      </c>
      <c r="AF55" s="68">
        <f t="shared" si="104"/>
        <v>49.67373781588266</v>
      </c>
      <c r="AH55" t="str">
        <f t="shared" si="134"/>
        <v>35 Business and public service associate professionals</v>
      </c>
      <c r="AI55" s="17">
        <f t="shared" ref="AI55:AM64" si="143">AI18/AI$35*100</f>
        <v>7.4760981956655552</v>
      </c>
      <c r="AJ55" s="17">
        <f t="shared" si="143"/>
        <v>7.9700876427327403</v>
      </c>
      <c r="AK55" s="17">
        <f t="shared" si="143"/>
        <v>8.4213867692211775</v>
      </c>
      <c r="AL55" s="17">
        <f t="shared" si="143"/>
        <v>8.184956624806027</v>
      </c>
      <c r="AM55" s="17">
        <f t="shared" si="143"/>
        <v>8.0530222544295569</v>
      </c>
      <c r="AO55" s="67">
        <f t="shared" si="106"/>
        <v>6.1096359101959523</v>
      </c>
      <c r="AP55" s="68">
        <f t="shared" si="107"/>
        <v>49.107477257576562</v>
      </c>
      <c r="AQ55" s="68">
        <f t="shared" si="108"/>
        <v>55.21711316777251</v>
      </c>
      <c r="AS55" t="str">
        <f t="shared" si="135"/>
        <v>35 Business and public service associate professionals</v>
      </c>
      <c r="AT55" s="17">
        <f t="shared" ref="AT55:AX64" si="144">AT18/AT$35*100</f>
        <v>7.320225554762386</v>
      </c>
      <c r="AU55" s="17">
        <f t="shared" si="144"/>
        <v>7.1853888752352812</v>
      </c>
      <c r="AV55" s="17">
        <f t="shared" si="144"/>
        <v>7.3299730007149844</v>
      </c>
      <c r="AW55" s="17">
        <f t="shared" si="144"/>
        <v>6.6761603976584176</v>
      </c>
      <c r="AX55" s="17">
        <f t="shared" si="144"/>
        <v>6.2096470705685531</v>
      </c>
      <c r="AZ55" s="67">
        <f t="shared" si="110"/>
        <v>1.8672518664102487</v>
      </c>
      <c r="BA55" s="68">
        <f t="shared" si="111"/>
        <v>46.94471294103537</v>
      </c>
      <c r="BB55" s="68">
        <f t="shared" si="112"/>
        <v>48.811964807445626</v>
      </c>
      <c r="BD55" t="str">
        <f t="shared" si="136"/>
        <v>35 Business and public service associate professionals</v>
      </c>
      <c r="BE55" s="17">
        <f t="shared" ref="BE55:BI64" si="145">BE18/BE$35*100</f>
        <v>5.3978017079467566</v>
      </c>
      <c r="BF55" s="17">
        <f t="shared" si="145"/>
        <v>5.3899825888653998</v>
      </c>
      <c r="BG55" s="17">
        <f t="shared" si="145"/>
        <v>5.710616284461536</v>
      </c>
      <c r="BH55" s="17">
        <f t="shared" si="145"/>
        <v>5.0531766810028254</v>
      </c>
      <c r="BI55" s="17">
        <f t="shared" si="145"/>
        <v>4.7574104839905162</v>
      </c>
      <c r="BK55" s="67">
        <f t="shared" si="114"/>
        <v>-18.225809171988061</v>
      </c>
      <c r="BL55" s="68">
        <f t="shared" si="115"/>
        <v>36.524015643048244</v>
      </c>
      <c r="BM55" s="68">
        <f t="shared" si="116"/>
        <v>18.298206471060183</v>
      </c>
      <c r="BO55" t="str">
        <f t="shared" si="137"/>
        <v>35 Business and public service associate professionals</v>
      </c>
      <c r="BP55" s="17">
        <f t="shared" ref="BP55:BT64" si="146">BP18/BP$35*100</f>
        <v>4.4588445451859595</v>
      </c>
      <c r="BQ55" s="17">
        <f t="shared" si="146"/>
        <v>4.5110442895107097</v>
      </c>
      <c r="BR55" s="17">
        <f t="shared" si="146"/>
        <v>4.7552910031497326</v>
      </c>
      <c r="BS55" s="17">
        <f t="shared" si="146"/>
        <v>4.1847929714496814</v>
      </c>
      <c r="BT55" s="17">
        <f t="shared" si="146"/>
        <v>3.9212732194725168</v>
      </c>
      <c r="BV55" s="67">
        <f t="shared" si="118"/>
        <v>-34.949874380906522</v>
      </c>
      <c r="BW55" s="68">
        <f t="shared" si="119"/>
        <v>31.000145362838371</v>
      </c>
      <c r="BX55" s="68">
        <f t="shared" si="120"/>
        <v>-3.9497290180681479</v>
      </c>
      <c r="BZ55" t="str">
        <f t="shared" si="138"/>
        <v>35 Business and public service associate professionals</v>
      </c>
      <c r="CA55" s="17">
        <f t="shared" ref="CA55:CE64" si="147">CA18/CA$35*100</f>
        <v>4.0765035695101339</v>
      </c>
      <c r="CB55" s="17">
        <f t="shared" si="147"/>
        <v>4.2230697659798517</v>
      </c>
      <c r="CC55" s="17">
        <f t="shared" si="147"/>
        <v>4.4546677683584956</v>
      </c>
      <c r="CD55" s="17">
        <f t="shared" si="147"/>
        <v>3.9955683373546926</v>
      </c>
      <c r="CE55" s="17">
        <f t="shared" si="147"/>
        <v>3.7060273568677893</v>
      </c>
      <c r="CG55" s="67">
        <f t="shared" si="122"/>
        <v>-50.379835430362455</v>
      </c>
      <c r="CH55" s="68">
        <f t="shared" si="123"/>
        <v>25.238071925939327</v>
      </c>
      <c r="CI55" s="68">
        <f t="shared" si="124"/>
        <v>-25.141763504423121</v>
      </c>
      <c r="CK55" t="str">
        <f t="shared" si="139"/>
        <v>35 Business and public service associate professionals</v>
      </c>
      <c r="CL55" s="17">
        <f t="shared" ref="CL55:CP64" si="148">CL18/CL$35*100</f>
        <v>2.2683937046071527</v>
      </c>
      <c r="CM55" s="17">
        <f t="shared" si="148"/>
        <v>2.6435716986273938</v>
      </c>
      <c r="CN55" s="17">
        <f t="shared" si="148"/>
        <v>2.8714992175422416</v>
      </c>
      <c r="CO55" s="17">
        <f t="shared" si="148"/>
        <v>2.9632783613353624</v>
      </c>
      <c r="CP55" s="17">
        <f t="shared" si="148"/>
        <v>4.3182483064095898</v>
      </c>
      <c r="CR55" s="67">
        <f t="shared" si="126"/>
        <v>-2.8862170920697543</v>
      </c>
      <c r="CS55" s="68">
        <f t="shared" si="127"/>
        <v>29.74105035148968</v>
      </c>
      <c r="CT55" s="68">
        <f t="shared" si="128"/>
        <v>26.854833259419923</v>
      </c>
    </row>
    <row r="56" spans="1:98" x14ac:dyDescent="0.3">
      <c r="A56" t="str">
        <f t="shared" si="95"/>
        <v>41 Administrative occupations</v>
      </c>
      <c r="B56" s="17">
        <f t="shared" si="140"/>
        <v>3.2505776376967361</v>
      </c>
      <c r="C56" s="17">
        <f t="shared" si="140"/>
        <v>3.1013774063499122</v>
      </c>
      <c r="D56" s="17">
        <f t="shared" si="140"/>
        <v>3.2392593540431918</v>
      </c>
      <c r="E56" s="17">
        <f t="shared" si="140"/>
        <v>3.2319566099338752</v>
      </c>
      <c r="F56" s="17">
        <f t="shared" si="140"/>
        <v>3.569694121231616</v>
      </c>
      <c r="H56" s="67">
        <f t="shared" si="129"/>
        <v>94.167906237121088</v>
      </c>
      <c r="I56" s="68">
        <f t="shared" si="130"/>
        <v>76.19995719017902</v>
      </c>
      <c r="J56" s="68">
        <f t="shared" si="131"/>
        <v>170.36786342730008</v>
      </c>
      <c r="L56" t="str">
        <f t="shared" si="132"/>
        <v>41 Administrative occupations</v>
      </c>
      <c r="M56" s="17">
        <f t="shared" si="141"/>
        <v>5.2397432803378248</v>
      </c>
      <c r="N56" s="17">
        <f t="shared" si="141"/>
        <v>5.0167094350380044</v>
      </c>
      <c r="O56" s="17">
        <f t="shared" si="141"/>
        <v>5.1826903447136692</v>
      </c>
      <c r="P56" s="17">
        <f t="shared" si="141"/>
        <v>5.0558785444567222</v>
      </c>
      <c r="Q56" s="17">
        <f t="shared" si="141"/>
        <v>5.1889461132431185</v>
      </c>
      <c r="S56" s="67">
        <f t="shared" si="98"/>
        <v>77.481067155210496</v>
      </c>
      <c r="T56" s="68">
        <f t="shared" si="99"/>
        <v>74.185009727201617</v>
      </c>
      <c r="U56" s="68">
        <f t="shared" si="100"/>
        <v>151.66607688241211</v>
      </c>
      <c r="W56" t="str">
        <f t="shared" si="133"/>
        <v>41 Administrative occupations</v>
      </c>
      <c r="X56" s="17">
        <f t="shared" si="142"/>
        <v>8.8296994229123005</v>
      </c>
      <c r="Y56" s="17">
        <f t="shared" si="142"/>
        <v>8.3614325590500229</v>
      </c>
      <c r="Z56" s="17">
        <f t="shared" si="142"/>
        <v>8.7486002198343709</v>
      </c>
      <c r="AA56" s="17">
        <f t="shared" si="142"/>
        <v>8.4635807976244983</v>
      </c>
      <c r="AB56" s="17">
        <f t="shared" si="142"/>
        <v>8.4944105475171252</v>
      </c>
      <c r="AD56" s="67">
        <f t="shared" si="102"/>
        <v>18.535146671582119</v>
      </c>
      <c r="AE56" s="68">
        <f t="shared" si="103"/>
        <v>59.940558311582649</v>
      </c>
      <c r="AF56" s="68">
        <f t="shared" si="104"/>
        <v>78.475704983164775</v>
      </c>
      <c r="AH56" t="str">
        <f t="shared" si="134"/>
        <v>41 Administrative occupations</v>
      </c>
      <c r="AI56" s="17">
        <f t="shared" si="143"/>
        <v>10.281087116850511</v>
      </c>
      <c r="AJ56" s="17">
        <f t="shared" si="143"/>
        <v>10.835474630404644</v>
      </c>
      <c r="AK56" s="17">
        <f t="shared" si="143"/>
        <v>11.427630635440272</v>
      </c>
      <c r="AL56" s="17">
        <f t="shared" si="143"/>
        <v>11.499705061971204</v>
      </c>
      <c r="AM56" s="17">
        <f t="shared" si="143"/>
        <v>11.679559550848445</v>
      </c>
      <c r="AO56" s="67">
        <f t="shared" si="106"/>
        <v>13.409597598668801</v>
      </c>
      <c r="AP56" s="68">
        <f t="shared" si="107"/>
        <v>61.471813957823251</v>
      </c>
      <c r="AQ56" s="68">
        <f t="shared" si="108"/>
        <v>74.881411556492054</v>
      </c>
      <c r="AS56" t="str">
        <f t="shared" si="135"/>
        <v>41 Administrative occupations</v>
      </c>
      <c r="AT56" s="17">
        <f t="shared" si="144"/>
        <v>10.743746047100739</v>
      </c>
      <c r="AU56" s="17">
        <f t="shared" si="144"/>
        <v>10.376746649954983</v>
      </c>
      <c r="AV56" s="17">
        <f t="shared" si="144"/>
        <v>10.875204271730921</v>
      </c>
      <c r="AW56" s="17">
        <f t="shared" si="144"/>
        <v>10.187998673932148</v>
      </c>
      <c r="AX56" s="17">
        <f t="shared" si="144"/>
        <v>9.9929174643561129</v>
      </c>
      <c r="AZ56" s="67">
        <f t="shared" si="110"/>
        <v>10.490496426218254</v>
      </c>
      <c r="BA56" s="68">
        <f t="shared" si="111"/>
        <v>56.358465279893288</v>
      </c>
      <c r="BB56" s="68">
        <f t="shared" si="112"/>
        <v>66.848961706111552</v>
      </c>
      <c r="BD56" t="str">
        <f t="shared" si="136"/>
        <v>41 Administrative occupations</v>
      </c>
      <c r="BE56" s="17">
        <f t="shared" si="145"/>
        <v>9.2791457525114716</v>
      </c>
      <c r="BF56" s="17">
        <f t="shared" si="145"/>
        <v>8.7824206975076979</v>
      </c>
      <c r="BG56" s="17">
        <f t="shared" si="145"/>
        <v>9.3613006766202318</v>
      </c>
      <c r="BH56" s="17">
        <f t="shared" si="145"/>
        <v>8.2263014208519341</v>
      </c>
      <c r="BI56" s="17">
        <f t="shared" si="145"/>
        <v>6.8006884284862483</v>
      </c>
      <c r="BK56" s="67">
        <f t="shared" si="114"/>
        <v>-28.69084451295663</v>
      </c>
      <c r="BL56" s="68">
        <f t="shared" si="115"/>
        <v>38.689912739806068</v>
      </c>
      <c r="BM56" s="68">
        <f t="shared" si="116"/>
        <v>9.9990682268494346</v>
      </c>
      <c r="BO56" t="str">
        <f t="shared" si="137"/>
        <v>41 Administrative occupations</v>
      </c>
      <c r="BP56" s="17">
        <f t="shared" si="146"/>
        <v>10.716463560053183</v>
      </c>
      <c r="BQ56" s="17">
        <f t="shared" si="146"/>
        <v>9.9498484483936309</v>
      </c>
      <c r="BR56" s="17">
        <f t="shared" si="146"/>
        <v>10.670153579598155</v>
      </c>
      <c r="BS56" s="17">
        <f t="shared" si="146"/>
        <v>9.1563576052391387</v>
      </c>
      <c r="BT56" s="17">
        <f t="shared" si="146"/>
        <v>7.3783377881410388</v>
      </c>
      <c r="BV56" s="67">
        <f t="shared" si="118"/>
        <v>-45.451099834071314</v>
      </c>
      <c r="BW56" s="68">
        <f t="shared" si="119"/>
        <v>31.744710672371529</v>
      </c>
      <c r="BX56" s="68">
        <f t="shared" si="120"/>
        <v>-13.706389161699784</v>
      </c>
      <c r="BZ56" t="str">
        <f t="shared" si="138"/>
        <v>41 Administrative occupations</v>
      </c>
      <c r="CA56" s="17">
        <f t="shared" si="147"/>
        <v>8.6311566346534754</v>
      </c>
      <c r="CB56" s="17">
        <f t="shared" si="147"/>
        <v>7.776757066140183</v>
      </c>
      <c r="CC56" s="17">
        <f t="shared" si="147"/>
        <v>8.0348094504509309</v>
      </c>
      <c r="CD56" s="17">
        <f t="shared" si="147"/>
        <v>5.9982594924050021</v>
      </c>
      <c r="CE56" s="17">
        <f t="shared" si="147"/>
        <v>3.3336267945941995</v>
      </c>
      <c r="CG56" s="67">
        <f t="shared" si="122"/>
        <v>-75.25392666632041</v>
      </c>
      <c r="CH56" s="68">
        <f t="shared" si="123"/>
        <v>20.294221356277713</v>
      </c>
      <c r="CI56" s="68">
        <f t="shared" si="124"/>
        <v>-54.959705310042686</v>
      </c>
      <c r="CK56" t="str">
        <f t="shared" si="139"/>
        <v>41 Administrative occupations</v>
      </c>
      <c r="CL56" s="17">
        <f t="shared" si="148"/>
        <v>5.5343785374210244</v>
      </c>
      <c r="CM56" s="17">
        <f t="shared" si="148"/>
        <v>5.4425335991185442</v>
      </c>
      <c r="CN56" s="17">
        <f t="shared" si="148"/>
        <v>6.1043873316550616</v>
      </c>
      <c r="CO56" s="17">
        <f t="shared" si="148"/>
        <v>5.7911893207138982</v>
      </c>
      <c r="CP56" s="17">
        <f t="shared" si="148"/>
        <v>6.2053508268711939</v>
      </c>
      <c r="CR56" s="67">
        <f t="shared" si="126"/>
        <v>-34.354309617085946</v>
      </c>
      <c r="CS56" s="68">
        <f t="shared" si="127"/>
        <v>24.040471816200395</v>
      </c>
      <c r="CT56" s="68">
        <f t="shared" si="128"/>
        <v>-10.313837800885551</v>
      </c>
    </row>
    <row r="57" spans="1:98" x14ac:dyDescent="0.3">
      <c r="A57" t="str">
        <f t="shared" si="95"/>
        <v>42 Secretarial and related occupations</v>
      </c>
      <c r="B57" s="17">
        <f t="shared" si="140"/>
        <v>0.29709903621010753</v>
      </c>
      <c r="C57" s="17">
        <f t="shared" si="140"/>
        <v>0.30249111316541727</v>
      </c>
      <c r="D57" s="17">
        <f t="shared" si="140"/>
        <v>0.28461804838068383</v>
      </c>
      <c r="E57" s="17">
        <f t="shared" si="140"/>
        <v>0.37121042959560185</v>
      </c>
      <c r="F57" s="17">
        <f t="shared" si="140"/>
        <v>0.51306748117802314</v>
      </c>
      <c r="H57" s="67">
        <f t="shared" si="129"/>
        <v>217.61735012184161</v>
      </c>
      <c r="I57" s="68">
        <f t="shared" si="130"/>
        <v>132.96879757460763</v>
      </c>
      <c r="J57" s="68">
        <f t="shared" si="131"/>
        <v>350.58614769644925</v>
      </c>
      <c r="L57" t="str">
        <f t="shared" si="132"/>
        <v>42 Secretarial and related occupations</v>
      </c>
      <c r="M57" s="17">
        <f t="shared" si="141"/>
        <v>0.92687954901812997</v>
      </c>
      <c r="N57" s="17">
        <f t="shared" si="141"/>
        <v>0.83346869799472079</v>
      </c>
      <c r="O57" s="17">
        <f t="shared" si="141"/>
        <v>0.82120235168236189</v>
      </c>
      <c r="P57" s="17">
        <f t="shared" si="141"/>
        <v>1.0414283565403404</v>
      </c>
      <c r="Q57" s="17">
        <f t="shared" si="141"/>
        <v>1.0058397803606396</v>
      </c>
      <c r="S57" s="67">
        <f t="shared" si="98"/>
        <v>117.12346217454139</v>
      </c>
      <c r="T57" s="68">
        <f t="shared" si="99"/>
        <v>100.24714930972347</v>
      </c>
      <c r="U57" s="68">
        <f t="shared" si="100"/>
        <v>217.37061148426488</v>
      </c>
      <c r="W57" t="str">
        <f t="shared" si="133"/>
        <v>42 Secretarial and related occupations</v>
      </c>
      <c r="X57" s="17">
        <f t="shared" si="142"/>
        <v>1.6292632856214553</v>
      </c>
      <c r="Y57" s="17">
        <f t="shared" si="142"/>
        <v>1.5072486516408108</v>
      </c>
      <c r="Z57" s="17">
        <f t="shared" si="142"/>
        <v>1.5056061490414525</v>
      </c>
      <c r="AA57" s="17">
        <f t="shared" si="142"/>
        <v>2.0146605439125156</v>
      </c>
      <c r="AB57" s="17">
        <f t="shared" si="142"/>
        <v>2.4280343458435318</v>
      </c>
      <c r="AD57" s="67">
        <f t="shared" si="102"/>
        <v>96.877420874271053</v>
      </c>
      <c r="AE57" s="68">
        <f t="shared" si="103"/>
        <v>96.121954473561587</v>
      </c>
      <c r="AF57" s="68">
        <f t="shared" si="104"/>
        <v>192.99937534783265</v>
      </c>
      <c r="AH57" t="str">
        <f t="shared" si="134"/>
        <v>42 Secretarial and related occupations</v>
      </c>
      <c r="AI57" s="17">
        <f t="shared" si="143"/>
        <v>2.5254255712107869</v>
      </c>
      <c r="AJ57" s="17">
        <f t="shared" si="143"/>
        <v>2.4991901035961583</v>
      </c>
      <c r="AK57" s="17">
        <f t="shared" si="143"/>
        <v>2.6210040674354276</v>
      </c>
      <c r="AL57" s="17">
        <f t="shared" si="143"/>
        <v>3.4345428533212439</v>
      </c>
      <c r="AM57" s="17">
        <f t="shared" si="143"/>
        <v>3.4672390942055826</v>
      </c>
      <c r="AO57" s="67">
        <f t="shared" si="106"/>
        <v>46.78971749619275</v>
      </c>
      <c r="AP57" s="68">
        <f t="shared" si="107"/>
        <v>80.271857826719099</v>
      </c>
      <c r="AQ57" s="68">
        <f t="shared" si="108"/>
        <v>127.06157532291186</v>
      </c>
      <c r="AS57" t="str">
        <f t="shared" si="135"/>
        <v>42 Secretarial and related occupations</v>
      </c>
      <c r="AT57" s="17">
        <f t="shared" si="144"/>
        <v>2.1373344663344054</v>
      </c>
      <c r="AU57" s="17">
        <f t="shared" si="144"/>
        <v>1.8871194452122275</v>
      </c>
      <c r="AV57" s="17">
        <f t="shared" si="144"/>
        <v>1.9342696180848673</v>
      </c>
      <c r="AW57" s="17">
        <f t="shared" si="144"/>
        <v>2.2538099487700114</v>
      </c>
      <c r="AX57" s="17">
        <f t="shared" si="144"/>
        <v>1.9250406157988744</v>
      </c>
      <c r="AZ57" s="67">
        <f t="shared" si="110"/>
        <v>19.672106108624501</v>
      </c>
      <c r="BA57" s="68">
        <f t="shared" si="111"/>
        <v>67.517528520205943</v>
      </c>
      <c r="BB57" s="68">
        <f t="shared" si="112"/>
        <v>87.189634628830433</v>
      </c>
      <c r="BD57" t="str">
        <f t="shared" si="136"/>
        <v>42 Secretarial and related occupations</v>
      </c>
      <c r="BE57" s="17">
        <f t="shared" si="145"/>
        <v>2.112516158997638</v>
      </c>
      <c r="BF57" s="17">
        <f t="shared" si="145"/>
        <v>1.8643105273132659</v>
      </c>
      <c r="BG57" s="17">
        <f t="shared" si="145"/>
        <v>1.8773260039115429</v>
      </c>
      <c r="BH57" s="17">
        <f t="shared" si="145"/>
        <v>2.0310020853654378</v>
      </c>
      <c r="BI57" s="17">
        <f t="shared" si="145"/>
        <v>0.80310405120404049</v>
      </c>
      <c r="BK57" s="67">
        <f t="shared" si="114"/>
        <v>-58.008563642443811</v>
      </c>
      <c r="BL57" s="68">
        <f t="shared" si="115"/>
        <v>40.426234407098576</v>
      </c>
      <c r="BM57" s="68">
        <f t="shared" si="116"/>
        <v>-17.582329235345235</v>
      </c>
      <c r="BO57" t="str">
        <f t="shared" si="137"/>
        <v>42 Secretarial and related occupations</v>
      </c>
      <c r="BP57" s="17">
        <f t="shared" si="146"/>
        <v>2.7834953832535065</v>
      </c>
      <c r="BQ57" s="17">
        <f t="shared" si="146"/>
        <v>2.2705786265711394</v>
      </c>
      <c r="BR57" s="17">
        <f t="shared" si="146"/>
        <v>2.252065740905004</v>
      </c>
      <c r="BS57" s="17">
        <f t="shared" si="146"/>
        <v>1.9008121579715203</v>
      </c>
      <c r="BT57" s="17">
        <f t="shared" si="146"/>
        <v>0.61535957313102696</v>
      </c>
      <c r="BV57" s="67">
        <f t="shared" si="118"/>
        <v>-78.445098999893673</v>
      </c>
      <c r="BW57" s="68">
        <f t="shared" si="119"/>
        <v>27.928049874501525</v>
      </c>
      <c r="BX57" s="68">
        <f t="shared" si="120"/>
        <v>-50.517049125392141</v>
      </c>
      <c r="BZ57" t="str">
        <f t="shared" si="138"/>
        <v>42 Secretarial and related occupations</v>
      </c>
      <c r="CA57" s="17">
        <f t="shared" si="147"/>
        <v>3.5535525698781685</v>
      </c>
      <c r="CB57" s="17">
        <f t="shared" si="147"/>
        <v>3.2935516935386815</v>
      </c>
      <c r="CC57" s="17">
        <f t="shared" si="147"/>
        <v>3.2296862679160294</v>
      </c>
      <c r="CD57" s="17">
        <f t="shared" si="147"/>
        <v>2.1292652538116759</v>
      </c>
      <c r="CE57" s="17">
        <f t="shared" si="147"/>
        <v>0.73439591465856302</v>
      </c>
      <c r="CG57" s="67">
        <f t="shared" si="122"/>
        <v>-86.4376541678579</v>
      </c>
      <c r="CH57" s="68">
        <f t="shared" si="123"/>
        <v>20.158407780591791</v>
      </c>
      <c r="CI57" s="68">
        <f t="shared" si="124"/>
        <v>-66.279246387266127</v>
      </c>
      <c r="CK57" t="str">
        <f t="shared" si="139"/>
        <v>42 Secretarial and related occupations</v>
      </c>
      <c r="CL57" s="17">
        <f t="shared" si="148"/>
        <v>2.1298623141493871</v>
      </c>
      <c r="CM57" s="17">
        <f t="shared" si="148"/>
        <v>2.3360484961651138</v>
      </c>
      <c r="CN57" s="17">
        <f t="shared" si="148"/>
        <v>2.5729276314172802</v>
      </c>
      <c r="CO57" s="17">
        <f t="shared" si="148"/>
        <v>3.2998622501549031</v>
      </c>
      <c r="CP57" s="17">
        <f t="shared" si="148"/>
        <v>3.9023797520209289</v>
      </c>
      <c r="CR57" s="67">
        <f t="shared" si="126"/>
        <v>-2.054627745988689</v>
      </c>
      <c r="CS57" s="68">
        <f t="shared" si="127"/>
        <v>41.480752322409217</v>
      </c>
      <c r="CT57" s="68">
        <f t="shared" si="128"/>
        <v>39.426124576420534</v>
      </c>
    </row>
    <row r="58" spans="1:98" x14ac:dyDescent="0.3">
      <c r="A58" t="str">
        <f t="shared" si="95"/>
        <v>51 Skilled agricultural and related trades</v>
      </c>
      <c r="B58" s="17">
        <f t="shared" si="140"/>
        <v>0.20070080809002439</v>
      </c>
      <c r="C58" s="17">
        <f t="shared" si="140"/>
        <v>0.21025066560850283</v>
      </c>
      <c r="D58" s="17">
        <f t="shared" si="140"/>
        <v>0.24345701440542347</v>
      </c>
      <c r="E58" s="17">
        <f t="shared" si="140"/>
        <v>0.24467888887601763</v>
      </c>
      <c r="F58" s="17">
        <f t="shared" si="140"/>
        <v>0.28108312981495032</v>
      </c>
      <c r="H58" s="67">
        <f t="shared" si="129"/>
        <v>103.42515423094314</v>
      </c>
      <c r="I58" s="68">
        <f t="shared" si="130"/>
        <v>98.710336055646422</v>
      </c>
      <c r="J58" s="68">
        <f t="shared" si="131"/>
        <v>202.13549028658954</v>
      </c>
      <c r="L58" t="str">
        <f t="shared" si="132"/>
        <v>51 Skilled agricultural and related trades</v>
      </c>
      <c r="M58" s="17">
        <f t="shared" si="141"/>
        <v>0.19906019430668137</v>
      </c>
      <c r="N58" s="17">
        <f t="shared" si="141"/>
        <v>0.17881402706711122</v>
      </c>
      <c r="O58" s="17">
        <f t="shared" si="141"/>
        <v>0.15613047267557087</v>
      </c>
      <c r="P58" s="17">
        <f t="shared" si="141"/>
        <v>0.14687691660842139</v>
      </c>
      <c r="Q58" s="17">
        <f t="shared" si="141"/>
        <v>0.16064871186620724</v>
      </c>
      <c r="S58" s="67">
        <f t="shared" si="98"/>
        <v>82.39700600647646</v>
      </c>
      <c r="T58" s="68">
        <f t="shared" si="99"/>
        <v>79.171617707612512</v>
      </c>
      <c r="U58" s="68">
        <f t="shared" si="100"/>
        <v>161.56862371408897</v>
      </c>
      <c r="W58" t="str">
        <f t="shared" si="133"/>
        <v>51 Skilled agricultural and related trades</v>
      </c>
      <c r="X58" s="17">
        <f t="shared" si="142"/>
        <v>0.7614981110331287</v>
      </c>
      <c r="Y58" s="17">
        <f t="shared" si="142"/>
        <v>0.73410994468053348</v>
      </c>
      <c r="Z58" s="17">
        <f t="shared" si="142"/>
        <v>0.75067217812642661</v>
      </c>
      <c r="AA58" s="17">
        <f t="shared" si="142"/>
        <v>0.82077141517292673</v>
      </c>
      <c r="AB58" s="17">
        <f t="shared" si="142"/>
        <v>1.0165704918840568</v>
      </c>
      <c r="AD58" s="67">
        <f t="shared" si="102"/>
        <v>65.325423766688672</v>
      </c>
      <c r="AE58" s="68">
        <f t="shared" si="103"/>
        <v>87.077556735282656</v>
      </c>
      <c r="AF58" s="68">
        <f t="shared" si="104"/>
        <v>152.40298050197131</v>
      </c>
      <c r="AH58" t="str">
        <f t="shared" si="134"/>
        <v>51 Skilled agricultural and related trades</v>
      </c>
      <c r="AI58" s="17">
        <f t="shared" si="143"/>
        <v>1.1722675037529762</v>
      </c>
      <c r="AJ58" s="17">
        <f t="shared" si="143"/>
        <v>1.3131883291793485</v>
      </c>
      <c r="AK58" s="17">
        <f t="shared" si="143"/>
        <v>1.2049083804760192</v>
      </c>
      <c r="AL58" s="17">
        <f t="shared" si="143"/>
        <v>1.4224424887794</v>
      </c>
      <c r="AM58" s="17">
        <f t="shared" si="143"/>
        <v>1.7381635826221393</v>
      </c>
      <c r="AO58" s="67">
        <f t="shared" si="106"/>
        <v>60.072290816729513</v>
      </c>
      <c r="AP58" s="68">
        <f t="shared" si="107"/>
        <v>91.744748746442113</v>
      </c>
      <c r="AQ58" s="68">
        <f t="shared" si="108"/>
        <v>151.81703956317162</v>
      </c>
      <c r="AS58" t="str">
        <f t="shared" si="135"/>
        <v>51 Skilled agricultural and related trades</v>
      </c>
      <c r="AT58" s="17">
        <f t="shared" si="144"/>
        <v>1.8987065323155479</v>
      </c>
      <c r="AU58" s="17">
        <f t="shared" si="144"/>
        <v>1.9308639281852156</v>
      </c>
      <c r="AV58" s="17">
        <f t="shared" si="144"/>
        <v>1.7741634709661891</v>
      </c>
      <c r="AW58" s="17">
        <f t="shared" si="144"/>
        <v>1.9192053212127562</v>
      </c>
      <c r="AX58" s="17">
        <f t="shared" si="144"/>
        <v>2.3066649121227076</v>
      </c>
      <c r="AZ58" s="67">
        <f t="shared" si="110"/>
        <v>56.336694010811364</v>
      </c>
      <c r="BA58" s="68">
        <f t="shared" si="111"/>
        <v>79.085923482476517</v>
      </c>
      <c r="BB58" s="68">
        <f t="shared" si="112"/>
        <v>135.42261749328787</v>
      </c>
      <c r="BD58" t="str">
        <f t="shared" si="136"/>
        <v>51 Skilled agricultural and related trades</v>
      </c>
      <c r="BE58" s="17">
        <f t="shared" si="145"/>
        <v>0.93497487827231829</v>
      </c>
      <c r="BF58" s="17">
        <f t="shared" si="145"/>
        <v>0.90214344615886999</v>
      </c>
      <c r="BG58" s="17">
        <f t="shared" si="145"/>
        <v>0.81437683718582987</v>
      </c>
      <c r="BH58" s="17">
        <f t="shared" si="145"/>
        <v>0.78882439911560098</v>
      </c>
      <c r="BI58" s="17">
        <f t="shared" si="145"/>
        <v>0.79007348081381201</v>
      </c>
      <c r="BK58" s="67">
        <f t="shared" si="114"/>
        <v>-4.7706803781196969</v>
      </c>
      <c r="BL58" s="68">
        <f t="shared" si="115"/>
        <v>49.193008545025762</v>
      </c>
      <c r="BM58" s="68">
        <f t="shared" si="116"/>
        <v>44.42232816690607</v>
      </c>
      <c r="BO58" t="str">
        <f t="shared" si="137"/>
        <v>51 Skilled agricultural and related trades</v>
      </c>
      <c r="BP58" s="17">
        <f t="shared" si="146"/>
        <v>1.4143850559133999</v>
      </c>
      <c r="BQ58" s="17">
        <f t="shared" si="146"/>
        <v>1.4219511827894993</v>
      </c>
      <c r="BR58" s="17">
        <f t="shared" si="146"/>
        <v>1.3302965295922258</v>
      </c>
      <c r="BS58" s="17">
        <f t="shared" si="146"/>
        <v>1.3379020508324055</v>
      </c>
      <c r="BT58" s="17">
        <f t="shared" si="146"/>
        <v>1.5504153045351585</v>
      </c>
      <c r="BV58" s="67">
        <f t="shared" si="118"/>
        <v>-8.0614343671595101</v>
      </c>
      <c r="BW58" s="68">
        <f t="shared" si="119"/>
        <v>50.481367146494648</v>
      </c>
      <c r="BX58" s="68">
        <f t="shared" si="120"/>
        <v>42.419932779335134</v>
      </c>
      <c r="BZ58" t="str">
        <f t="shared" si="138"/>
        <v>51 Skilled agricultural and related trades</v>
      </c>
      <c r="CA58" s="17">
        <f t="shared" si="147"/>
        <v>1.6581425653492374</v>
      </c>
      <c r="CB58" s="17">
        <f t="shared" si="147"/>
        <v>1.6213337380451411</v>
      </c>
      <c r="CC58" s="17">
        <f t="shared" si="147"/>
        <v>1.6342577618905636</v>
      </c>
      <c r="CD58" s="17">
        <f t="shared" si="147"/>
        <v>1.7204948114267062</v>
      </c>
      <c r="CE58" s="17">
        <f t="shared" si="147"/>
        <v>2.7640159262443849</v>
      </c>
      <c r="CG58" s="67">
        <f t="shared" si="122"/>
        <v>0.87531036221843495</v>
      </c>
      <c r="CH58" s="68">
        <f t="shared" si="123"/>
        <v>44.44861293296298</v>
      </c>
      <c r="CI58" s="68">
        <f t="shared" si="124"/>
        <v>45.323923295181416</v>
      </c>
      <c r="CK58" t="str">
        <f t="shared" si="139"/>
        <v>51 Skilled agricultural and related trades</v>
      </c>
      <c r="CL58" s="17">
        <f t="shared" si="148"/>
        <v>3.1686227678253478</v>
      </c>
      <c r="CM58" s="17">
        <f t="shared" si="148"/>
        <v>3.3827498714950668</v>
      </c>
      <c r="CN58" s="17">
        <f t="shared" si="148"/>
        <v>3.35020771903346</v>
      </c>
      <c r="CO58" s="17">
        <f t="shared" si="148"/>
        <v>3.7987859667342985</v>
      </c>
      <c r="CP58" s="17">
        <f t="shared" si="148"/>
        <v>2.6029492186541878</v>
      </c>
      <c r="CR58" s="67">
        <f t="shared" si="126"/>
        <v>-49.826323753418549</v>
      </c>
      <c r="CS58" s="68">
        <f t="shared" si="127"/>
        <v>28.034703648182003</v>
      </c>
      <c r="CT58" s="68">
        <f t="shared" si="128"/>
        <v>-21.791620105236547</v>
      </c>
    </row>
    <row r="59" spans="1:98" x14ac:dyDescent="0.3">
      <c r="A59" t="str">
        <f t="shared" si="95"/>
        <v>52 Skilled metal, electrical and electronic trades</v>
      </c>
      <c r="B59" s="17">
        <f t="shared" si="140"/>
        <v>0.26809802135628136</v>
      </c>
      <c r="C59" s="17">
        <f t="shared" si="140"/>
        <v>0.25753163335110663</v>
      </c>
      <c r="D59" s="17">
        <f t="shared" si="140"/>
        <v>0.25846747372275986</v>
      </c>
      <c r="E59" s="17">
        <f t="shared" si="140"/>
        <v>0.26174562502180748</v>
      </c>
      <c r="F59" s="17">
        <f t="shared" si="140"/>
        <v>0.30434680977518175</v>
      </c>
      <c r="H59" s="67">
        <f t="shared" si="129"/>
        <v>107.4698632981365</v>
      </c>
      <c r="I59" s="68">
        <f t="shared" si="130"/>
        <v>68.478436848906171</v>
      </c>
      <c r="J59" s="68">
        <f t="shared" si="131"/>
        <v>175.94830014704272</v>
      </c>
      <c r="L59" t="str">
        <f t="shared" si="132"/>
        <v>52 Skilled metal, electrical and electronic trades</v>
      </c>
      <c r="M59" s="17">
        <f t="shared" si="141"/>
        <v>0.70341887320778285</v>
      </c>
      <c r="N59" s="17">
        <f t="shared" si="141"/>
        <v>0.7104989034308562</v>
      </c>
      <c r="O59" s="17">
        <f t="shared" si="141"/>
        <v>0.58712262551005345</v>
      </c>
      <c r="P59" s="17">
        <f t="shared" si="141"/>
        <v>0.73562759121781152</v>
      </c>
      <c r="Q59" s="17">
        <f t="shared" si="141"/>
        <v>0.87917482007966485</v>
      </c>
      <c r="S59" s="67">
        <f t="shared" si="98"/>
        <v>165.44500448837044</v>
      </c>
      <c r="T59" s="68">
        <f t="shared" si="99"/>
        <v>91.220386839712404</v>
      </c>
      <c r="U59" s="68">
        <f t="shared" si="100"/>
        <v>256.66539132808282</v>
      </c>
      <c r="W59" t="str">
        <f t="shared" si="133"/>
        <v>52 Skilled metal, electrical and electronic trades</v>
      </c>
      <c r="X59" s="17">
        <f t="shared" si="142"/>
        <v>1.0694475603912257</v>
      </c>
      <c r="Y59" s="17">
        <f t="shared" si="142"/>
        <v>1.0556876766694065</v>
      </c>
      <c r="Z59" s="17">
        <f t="shared" si="142"/>
        <v>0.86867055818686356</v>
      </c>
      <c r="AA59" s="17">
        <f t="shared" si="142"/>
        <v>1.0085001857374136</v>
      </c>
      <c r="AB59" s="17">
        <f t="shared" si="142"/>
        <v>1.132798591782195</v>
      </c>
      <c r="AD59" s="67">
        <f t="shared" si="102"/>
        <v>59.202566108997715</v>
      </c>
      <c r="AE59" s="68">
        <f t="shared" si="103"/>
        <v>66.051219043581071</v>
      </c>
      <c r="AF59" s="68">
        <f t="shared" si="104"/>
        <v>125.25378515257879</v>
      </c>
      <c r="AH59" t="str">
        <f t="shared" si="134"/>
        <v>52 Skilled metal, electrical and electronic trades</v>
      </c>
      <c r="AI59" s="17">
        <f t="shared" si="143"/>
        <v>1.2869605395313444</v>
      </c>
      <c r="AJ59" s="17">
        <f t="shared" si="143"/>
        <v>1.3566659777707231</v>
      </c>
      <c r="AK59" s="17">
        <f t="shared" si="143"/>
        <v>1.1955383794017906</v>
      </c>
      <c r="AL59" s="17">
        <f t="shared" si="143"/>
        <v>1.3206331917337344</v>
      </c>
      <c r="AM59" s="17">
        <f t="shared" si="143"/>
        <v>1.5336436216984395</v>
      </c>
      <c r="AO59" s="67">
        <f t="shared" si="106"/>
        <v>42.344427168626794</v>
      </c>
      <c r="AP59" s="68">
        <f t="shared" si="107"/>
        <v>55.07586194218478</v>
      </c>
      <c r="AQ59" s="68">
        <f t="shared" si="108"/>
        <v>97.420289110811567</v>
      </c>
      <c r="AS59" t="str">
        <f t="shared" si="135"/>
        <v>52 Skilled metal, electrical and electronic trades</v>
      </c>
      <c r="AT59" s="17">
        <f t="shared" si="144"/>
        <v>5.5957471484252075</v>
      </c>
      <c r="AU59" s="17">
        <f t="shared" si="144"/>
        <v>5.3567433303863625</v>
      </c>
      <c r="AV59" s="17">
        <f t="shared" si="144"/>
        <v>4.6633827748974044</v>
      </c>
      <c r="AW59" s="17">
        <f t="shared" si="144"/>
        <v>4.8450678879993694</v>
      </c>
      <c r="AX59" s="17">
        <f t="shared" si="144"/>
        <v>5.1486416526020529</v>
      </c>
      <c r="AZ59" s="67">
        <f t="shared" si="110"/>
        <v>32.758289807768705</v>
      </c>
      <c r="BA59" s="68">
        <f t="shared" si="111"/>
        <v>52.169799995919909</v>
      </c>
      <c r="BB59" s="68">
        <f t="shared" si="112"/>
        <v>84.928089803688607</v>
      </c>
      <c r="BD59" t="str">
        <f t="shared" si="136"/>
        <v>52 Skilled metal, electrical and electronic trades</v>
      </c>
      <c r="BE59" s="17">
        <f t="shared" si="145"/>
        <v>7.6632148518729331</v>
      </c>
      <c r="BF59" s="17">
        <f t="shared" si="145"/>
        <v>7.5525534109181764</v>
      </c>
      <c r="BG59" s="17">
        <f t="shared" si="145"/>
        <v>6.7551868019323695</v>
      </c>
      <c r="BH59" s="17">
        <f t="shared" si="145"/>
        <v>6.5476615034750845</v>
      </c>
      <c r="BI59" s="17">
        <f t="shared" si="145"/>
        <v>6.0700040245267468</v>
      </c>
      <c r="BK59" s="67">
        <f t="shared" si="114"/>
        <v>-11.797635963726382</v>
      </c>
      <c r="BL59" s="68">
        <f t="shared" si="115"/>
        <v>32.317935485442952</v>
      </c>
      <c r="BM59" s="68">
        <f t="shared" si="116"/>
        <v>20.520299521716566</v>
      </c>
      <c r="BO59" t="str">
        <f t="shared" si="137"/>
        <v>52 Skilled metal, electrical and electronic trades</v>
      </c>
      <c r="BP59" s="17">
        <f t="shared" si="146"/>
        <v>4.4927979008128416</v>
      </c>
      <c r="BQ59" s="17">
        <f t="shared" si="146"/>
        <v>4.5019825120310886</v>
      </c>
      <c r="BR59" s="17">
        <f t="shared" si="146"/>
        <v>4.1794223392787559</v>
      </c>
      <c r="BS59" s="17">
        <f t="shared" si="146"/>
        <v>3.9728852634231342</v>
      </c>
      <c r="BT59" s="17">
        <f t="shared" si="146"/>
        <v>3.911487886682472</v>
      </c>
      <c r="BV59" s="67">
        <f t="shared" si="118"/>
        <v>-26.171530537309977</v>
      </c>
      <c r="BW59" s="68">
        <f t="shared" si="119"/>
        <v>31.366705011019825</v>
      </c>
      <c r="BX59" s="68">
        <f t="shared" si="120"/>
        <v>5.1951744737098471</v>
      </c>
      <c r="BZ59" t="str">
        <f t="shared" si="138"/>
        <v>52 Skilled metal, electrical and electronic trades</v>
      </c>
      <c r="CA59" s="17">
        <f t="shared" si="147"/>
        <v>3.3988082297907023</v>
      </c>
      <c r="CB59" s="17">
        <f t="shared" si="147"/>
        <v>3.3565845915247028</v>
      </c>
      <c r="CC59" s="17">
        <f t="shared" si="147"/>
        <v>3.1037761535115731</v>
      </c>
      <c r="CD59" s="17">
        <f t="shared" si="147"/>
        <v>3.1760919713312767</v>
      </c>
      <c r="CE59" s="17">
        <f t="shared" si="147"/>
        <v>2.7715308010429771</v>
      </c>
      <c r="CG59" s="67">
        <f t="shared" si="122"/>
        <v>-46.740851776333081</v>
      </c>
      <c r="CH59" s="68">
        <f t="shared" si="123"/>
        <v>28.704576814888927</v>
      </c>
      <c r="CI59" s="68">
        <f t="shared" si="124"/>
        <v>-18.036274961444157</v>
      </c>
      <c r="CK59" t="str">
        <f t="shared" si="139"/>
        <v>52 Skilled metal, electrical and electronic trades</v>
      </c>
      <c r="CL59" s="17">
        <f t="shared" si="148"/>
        <v>3.3888231797819119</v>
      </c>
      <c r="CM59" s="17">
        <f t="shared" si="148"/>
        <v>3.7843290494929085</v>
      </c>
      <c r="CN59" s="17">
        <f t="shared" si="148"/>
        <v>3.4998361375589884</v>
      </c>
      <c r="CO59" s="17">
        <f t="shared" si="148"/>
        <v>3.8692819330588915</v>
      </c>
      <c r="CP59" s="17">
        <f t="shared" si="148"/>
        <v>3.5476201569407588</v>
      </c>
      <c r="CR59" s="67">
        <f t="shared" si="126"/>
        <v>-34.540698724093666</v>
      </c>
      <c r="CS59" s="68">
        <f t="shared" si="127"/>
        <v>28.418685924668274</v>
      </c>
      <c r="CT59" s="68">
        <f t="shared" si="128"/>
        <v>-6.1220127994253941</v>
      </c>
    </row>
    <row r="60" spans="1:98" x14ac:dyDescent="0.3">
      <c r="A60" t="str">
        <f t="shared" si="95"/>
        <v>53 Skilled construction and building trades</v>
      </c>
      <c r="B60" s="17">
        <f t="shared" si="140"/>
        <v>0.13697267832134327</v>
      </c>
      <c r="C60" s="17">
        <f t="shared" si="140"/>
        <v>8.5183690576793328E-2</v>
      </c>
      <c r="D60" s="17">
        <f t="shared" si="140"/>
        <v>6.0503070477112765E-2</v>
      </c>
      <c r="E60" s="17">
        <f t="shared" si="140"/>
        <v>8.4942017898155808E-2</v>
      </c>
      <c r="F60" s="17">
        <f t="shared" si="140"/>
        <v>7.9612613803345125E-2</v>
      </c>
      <c r="H60" s="67">
        <f t="shared" si="129"/>
        <v>131.84441181951922</v>
      </c>
      <c r="I60" s="68">
        <f t="shared" si="130"/>
        <v>85.328697535291084</v>
      </c>
      <c r="J60" s="68">
        <f t="shared" si="131"/>
        <v>217.17310935481029</v>
      </c>
      <c r="L60" t="str">
        <f t="shared" si="132"/>
        <v>53 Skilled construction and building trades</v>
      </c>
      <c r="M60" s="17">
        <f t="shared" si="141"/>
        <v>0.36779091473833131</v>
      </c>
      <c r="N60" s="17">
        <f t="shared" si="141"/>
        <v>0.33438880139204386</v>
      </c>
      <c r="O60" s="17">
        <f t="shared" si="141"/>
        <v>0.26669978618439921</v>
      </c>
      <c r="P60" s="17">
        <f t="shared" si="141"/>
        <v>0.31322913975087036</v>
      </c>
      <c r="Q60" s="17">
        <f t="shared" si="141"/>
        <v>0.358301201013633</v>
      </c>
      <c r="S60" s="67">
        <f t="shared" si="98"/>
        <v>138.15172334394944</v>
      </c>
      <c r="T60" s="68">
        <f t="shared" si="99"/>
        <v>87.788776733915554</v>
      </c>
      <c r="U60" s="68">
        <f t="shared" si="100"/>
        <v>225.94050007786498</v>
      </c>
      <c r="W60" t="str">
        <f t="shared" si="133"/>
        <v>53 Skilled construction and building trades</v>
      </c>
      <c r="X60" s="17">
        <f t="shared" si="142"/>
        <v>0.62383232583401194</v>
      </c>
      <c r="Y60" s="17">
        <f t="shared" si="142"/>
        <v>0.55679727639428478</v>
      </c>
      <c r="Z60" s="17">
        <f t="shared" si="142"/>
        <v>0.4627257712452133</v>
      </c>
      <c r="AA60" s="17">
        <f t="shared" si="142"/>
        <v>0.5484300207171946</v>
      </c>
      <c r="AB60" s="17">
        <f t="shared" si="142"/>
        <v>0.57863965898031255</v>
      </c>
      <c r="AD60" s="67">
        <f t="shared" si="102"/>
        <v>52.664118221916567</v>
      </c>
      <c r="AE60" s="68">
        <f t="shared" si="103"/>
        <v>70.358761452631981</v>
      </c>
      <c r="AF60" s="68">
        <f t="shared" si="104"/>
        <v>123.02287967454855</v>
      </c>
      <c r="AH60" t="str">
        <f t="shared" si="134"/>
        <v>53 Skilled construction and building trades</v>
      </c>
      <c r="AI60" s="17">
        <f t="shared" si="143"/>
        <v>1.2514454572976694</v>
      </c>
      <c r="AJ60" s="17">
        <f t="shared" si="143"/>
        <v>1.3755465152256865</v>
      </c>
      <c r="AK60" s="17">
        <f t="shared" si="143"/>
        <v>1.1532017384507554</v>
      </c>
      <c r="AL60" s="17">
        <f t="shared" si="143"/>
        <v>1.4231443626676008</v>
      </c>
      <c r="AM60" s="17">
        <f t="shared" si="143"/>
        <v>1.5886640624985762</v>
      </c>
      <c r="AO60" s="67">
        <f t="shared" si="106"/>
        <v>52.864387931389366</v>
      </c>
      <c r="AP60" s="68">
        <f t="shared" si="107"/>
        <v>73.906493989789297</v>
      </c>
      <c r="AQ60" s="68">
        <f t="shared" si="108"/>
        <v>126.77088192117867</v>
      </c>
      <c r="AS60" t="str">
        <f t="shared" si="135"/>
        <v>53 Skilled construction and building trades</v>
      </c>
      <c r="AT60" s="17">
        <f t="shared" si="144"/>
        <v>2.0914308973714357</v>
      </c>
      <c r="AU60" s="17">
        <f t="shared" si="144"/>
        <v>1.9388155347627671</v>
      </c>
      <c r="AV60" s="17">
        <f t="shared" si="144"/>
        <v>1.6526945398511756</v>
      </c>
      <c r="AW60" s="17">
        <f t="shared" si="144"/>
        <v>2.0308535738954623</v>
      </c>
      <c r="AX60" s="17">
        <f t="shared" si="144"/>
        <v>2.0780785952459446</v>
      </c>
      <c r="AZ60" s="67">
        <f t="shared" si="110"/>
        <v>51.195694542805434</v>
      </c>
      <c r="BA60" s="68">
        <f t="shared" si="111"/>
        <v>74.05183785490668</v>
      </c>
      <c r="BB60" s="68">
        <f t="shared" si="112"/>
        <v>125.24753239771212</v>
      </c>
      <c r="BD60" t="str">
        <f t="shared" si="136"/>
        <v>53 Skilled construction and building trades</v>
      </c>
      <c r="BE60" s="17">
        <f t="shared" si="145"/>
        <v>5.6940157351463743</v>
      </c>
      <c r="BF60" s="17">
        <f t="shared" si="145"/>
        <v>5.2726019745034032</v>
      </c>
      <c r="BG60" s="17">
        <f t="shared" si="145"/>
        <v>4.5570230703635657</v>
      </c>
      <c r="BH60" s="17">
        <f t="shared" si="145"/>
        <v>4.5766882511215075</v>
      </c>
      <c r="BI60" s="17">
        <f t="shared" si="145"/>
        <v>4.0791037117693936</v>
      </c>
      <c r="BK60" s="67">
        <f t="shared" si="114"/>
        <v>-12.135765488852115</v>
      </c>
      <c r="BL60" s="68">
        <f t="shared" si="115"/>
        <v>35.828322398297544</v>
      </c>
      <c r="BM60" s="68">
        <f t="shared" si="116"/>
        <v>23.692556909445429</v>
      </c>
      <c r="BO60" t="str">
        <f t="shared" si="137"/>
        <v>53 Skilled construction and building trades</v>
      </c>
      <c r="BP60" s="17">
        <f t="shared" si="146"/>
        <v>4.8225700887320686</v>
      </c>
      <c r="BQ60" s="17">
        <f t="shared" si="146"/>
        <v>5.114802937545937</v>
      </c>
      <c r="BR60" s="17">
        <f t="shared" si="146"/>
        <v>4.6124754584550356</v>
      </c>
      <c r="BS60" s="17">
        <f t="shared" si="146"/>
        <v>5.2331459487504173</v>
      </c>
      <c r="BT60" s="17">
        <f t="shared" si="146"/>
        <v>6.2189399489681723</v>
      </c>
      <c r="BV60" s="67">
        <f t="shared" si="118"/>
        <v>6.3605146342026808</v>
      </c>
      <c r="BW60" s="68">
        <f t="shared" si="119"/>
        <v>46.984727541186338</v>
      </c>
      <c r="BX60" s="68">
        <f t="shared" si="120"/>
        <v>53.345242175389018</v>
      </c>
      <c r="BZ60" t="str">
        <f t="shared" si="138"/>
        <v>53 Skilled construction and building trades</v>
      </c>
      <c r="CA60" s="17">
        <f t="shared" si="147"/>
        <v>3.7939042040471911</v>
      </c>
      <c r="CB60" s="17">
        <f t="shared" si="147"/>
        <v>3.7708281250261466</v>
      </c>
      <c r="CC60" s="17">
        <f t="shared" si="147"/>
        <v>3.4192188098515519</v>
      </c>
      <c r="CD60" s="17">
        <f t="shared" si="147"/>
        <v>3.9505339216828168</v>
      </c>
      <c r="CE60" s="17">
        <f t="shared" si="147"/>
        <v>5.440776357929221</v>
      </c>
      <c r="CG60" s="67">
        <f t="shared" si="122"/>
        <v>-5.0928614014665801</v>
      </c>
      <c r="CH60" s="68">
        <f t="shared" si="123"/>
        <v>39.34804062281453</v>
      </c>
      <c r="CI60" s="68">
        <f t="shared" si="124"/>
        <v>34.255179221347944</v>
      </c>
      <c r="CK60" t="str">
        <f t="shared" si="139"/>
        <v>53 Skilled construction and building trades</v>
      </c>
      <c r="CL60" s="17">
        <f t="shared" si="148"/>
        <v>5.484094614336299</v>
      </c>
      <c r="CM60" s="17">
        <f t="shared" si="148"/>
        <v>5.4541695166202313</v>
      </c>
      <c r="CN60" s="17">
        <f t="shared" si="148"/>
        <v>4.7625394637628142</v>
      </c>
      <c r="CO60" s="17">
        <f t="shared" si="148"/>
        <v>4.3510709093773237</v>
      </c>
      <c r="CP60" s="17">
        <f t="shared" si="148"/>
        <v>1.6509923464038414</v>
      </c>
      <c r="CR60" s="67">
        <f t="shared" si="126"/>
        <v>-77.613384754641274</v>
      </c>
      <c r="CS60" s="68">
        <f t="shared" si="127"/>
        <v>16.899121796934608</v>
      </c>
      <c r="CT60" s="68">
        <f t="shared" si="128"/>
        <v>-60.71426295770668</v>
      </c>
    </row>
    <row r="61" spans="1:98" x14ac:dyDescent="0.3">
      <c r="A61" t="str">
        <f t="shared" si="95"/>
        <v>54 Textiles, printing and other skilled trades</v>
      </c>
      <c r="B61" s="17">
        <f t="shared" si="140"/>
        <v>0.52557697137902282</v>
      </c>
      <c r="C61" s="17">
        <f t="shared" si="140"/>
        <v>0.43797662210918464</v>
      </c>
      <c r="D61" s="17">
        <f t="shared" si="140"/>
        <v>0.4190293315145916</v>
      </c>
      <c r="E61" s="17">
        <f t="shared" si="140"/>
        <v>0.45939904432967343</v>
      </c>
      <c r="F61" s="17">
        <f t="shared" si="140"/>
        <v>0.49951300816430155</v>
      </c>
      <c r="H61" s="67">
        <f t="shared" si="129"/>
        <v>110.03638913199008</v>
      </c>
      <c r="I61" s="68">
        <f t="shared" si="130"/>
        <v>80.218609541395594</v>
      </c>
      <c r="J61" s="68">
        <f t="shared" si="131"/>
        <v>190.2549986733857</v>
      </c>
      <c r="L61" t="str">
        <f t="shared" si="132"/>
        <v>54 Textiles, printing and other skilled trades</v>
      </c>
      <c r="M61" s="17">
        <f t="shared" si="141"/>
        <v>0.64723105030701467</v>
      </c>
      <c r="N61" s="17">
        <f t="shared" si="141"/>
        <v>0.60869394948341038</v>
      </c>
      <c r="O61" s="17">
        <f t="shared" si="141"/>
        <v>0.5989516041351659</v>
      </c>
      <c r="P61" s="17">
        <f t="shared" si="141"/>
        <v>0.66936615823871182</v>
      </c>
      <c r="Q61" s="17">
        <f t="shared" si="141"/>
        <v>0.81321721111337997</v>
      </c>
      <c r="S61" s="67">
        <f t="shared" si="98"/>
        <v>140.68163957324134</v>
      </c>
      <c r="T61" s="68">
        <f t="shared" si="99"/>
        <v>91.352535712107411</v>
      </c>
      <c r="U61" s="68">
        <f t="shared" si="100"/>
        <v>232.03417528534871</v>
      </c>
      <c r="W61" t="str">
        <f t="shared" si="133"/>
        <v>54 Textiles, printing and other skilled trades</v>
      </c>
      <c r="X61" s="17">
        <f t="shared" si="142"/>
        <v>0.95628184244415659</v>
      </c>
      <c r="Y61" s="17">
        <f t="shared" si="142"/>
        <v>0.87663635293114917</v>
      </c>
      <c r="Z61" s="17">
        <f t="shared" si="142"/>
        <v>0.82213389744728238</v>
      </c>
      <c r="AA61" s="17">
        <f t="shared" si="142"/>
        <v>0.93680337076223474</v>
      </c>
      <c r="AB61" s="17">
        <f t="shared" si="142"/>
        <v>1.0633512051557155</v>
      </c>
      <c r="AD61" s="67">
        <f t="shared" si="102"/>
        <v>57.901639031525676</v>
      </c>
      <c r="AE61" s="68">
        <f t="shared" si="103"/>
        <v>72.714843754281347</v>
      </c>
      <c r="AF61" s="68">
        <f t="shared" si="104"/>
        <v>130.61648278580702</v>
      </c>
      <c r="AH61" t="str">
        <f t="shared" si="134"/>
        <v>54 Textiles, printing and other skilled trades</v>
      </c>
      <c r="AI61" s="17">
        <f t="shared" si="143"/>
        <v>1.2195122662933215</v>
      </c>
      <c r="AJ61" s="17">
        <f t="shared" si="143"/>
        <v>1.1670218236103533</v>
      </c>
      <c r="AK61" s="17">
        <f t="shared" si="143"/>
        <v>1.1746297976975089</v>
      </c>
      <c r="AL61" s="17">
        <f t="shared" si="143"/>
        <v>1.2554449338785316</v>
      </c>
      <c r="AM61" s="17">
        <f t="shared" si="143"/>
        <v>1.3986799800688274</v>
      </c>
      <c r="AO61" s="67">
        <f t="shared" si="106"/>
        <v>32.128615327229717</v>
      </c>
      <c r="AP61" s="68">
        <f t="shared" si="107"/>
        <v>64.207149976425413</v>
      </c>
      <c r="AQ61" s="68">
        <f t="shared" si="108"/>
        <v>96.335765303655137</v>
      </c>
      <c r="AS61" t="str">
        <f t="shared" si="135"/>
        <v>54 Textiles, printing and other skilled trades</v>
      </c>
      <c r="AT61" s="17">
        <f t="shared" si="144"/>
        <v>1.5725521992405025</v>
      </c>
      <c r="AU61" s="17">
        <f t="shared" si="144"/>
        <v>1.4147944953925877</v>
      </c>
      <c r="AV61" s="17">
        <f t="shared" si="144"/>
        <v>1.3558789624476542</v>
      </c>
      <c r="AW61" s="17">
        <f t="shared" si="144"/>
        <v>1.5003262795795078</v>
      </c>
      <c r="AX61" s="17">
        <f t="shared" si="144"/>
        <v>1.593187690675997</v>
      </c>
      <c r="AZ61" s="67">
        <f t="shared" si="110"/>
        <v>41.291510330975107</v>
      </c>
      <c r="BA61" s="68">
        <f t="shared" si="111"/>
        <v>65.793644434365049</v>
      </c>
      <c r="BB61" s="68">
        <f t="shared" si="112"/>
        <v>107.08515476534015</v>
      </c>
      <c r="BD61" t="str">
        <f t="shared" si="136"/>
        <v>54 Textiles, printing and other skilled trades</v>
      </c>
      <c r="BE61" s="17">
        <f t="shared" si="145"/>
        <v>2.7385869698797327</v>
      </c>
      <c r="BF61" s="17">
        <f t="shared" si="145"/>
        <v>2.4970066314424839</v>
      </c>
      <c r="BG61" s="17">
        <f t="shared" si="145"/>
        <v>2.3467028271384089</v>
      </c>
      <c r="BH61" s="17">
        <f t="shared" si="145"/>
        <v>2.479548953985252</v>
      </c>
      <c r="BI61" s="17">
        <f t="shared" si="145"/>
        <v>2.5139400567622014</v>
      </c>
      <c r="BK61" s="67">
        <f t="shared" si="114"/>
        <v>5.1539112207102091</v>
      </c>
      <c r="BL61" s="68">
        <f t="shared" si="115"/>
        <v>42.426521374379853</v>
      </c>
      <c r="BM61" s="68">
        <f t="shared" si="116"/>
        <v>47.580432595090059</v>
      </c>
      <c r="BO61" t="str">
        <f t="shared" si="137"/>
        <v>54 Textiles, printing and other skilled trades</v>
      </c>
      <c r="BP61" s="17">
        <f t="shared" si="146"/>
        <v>2.8819152117873572</v>
      </c>
      <c r="BQ61" s="17">
        <f t="shared" si="146"/>
        <v>2.4452057010075716</v>
      </c>
      <c r="BR61" s="17">
        <f t="shared" si="146"/>
        <v>2.4604876029662357</v>
      </c>
      <c r="BS61" s="17">
        <f t="shared" si="146"/>
        <v>2.217339326386853</v>
      </c>
      <c r="BT61" s="17">
        <f t="shared" si="146"/>
        <v>2.2654851034579555</v>
      </c>
      <c r="BV61" s="67">
        <f t="shared" si="118"/>
        <v>-27.36630050744127</v>
      </c>
      <c r="BW61" s="68">
        <f t="shared" si="119"/>
        <v>32.001815234979389</v>
      </c>
      <c r="BX61" s="68">
        <f t="shared" si="120"/>
        <v>4.6355147275381228</v>
      </c>
      <c r="BZ61" t="str">
        <f t="shared" si="138"/>
        <v>54 Textiles, printing and other skilled trades</v>
      </c>
      <c r="CA61" s="17">
        <f t="shared" si="147"/>
        <v>3.6426021931245431</v>
      </c>
      <c r="CB61" s="17">
        <f t="shared" si="147"/>
        <v>3.3873795769511115</v>
      </c>
      <c r="CC61" s="17">
        <f t="shared" si="147"/>
        <v>3.431085251492306</v>
      </c>
      <c r="CD61" s="17">
        <f t="shared" si="147"/>
        <v>3.6889134149072156</v>
      </c>
      <c r="CE61" s="17">
        <f t="shared" si="147"/>
        <v>4.346480229710032</v>
      </c>
      <c r="CG61" s="67">
        <f t="shared" si="122"/>
        <v>-24.443627568533415</v>
      </c>
      <c r="CH61" s="68">
        <f t="shared" si="123"/>
        <v>32.105948907423731</v>
      </c>
      <c r="CI61" s="68">
        <f t="shared" si="124"/>
        <v>7.6623213388903144</v>
      </c>
      <c r="CK61" t="str">
        <f t="shared" si="139"/>
        <v>54 Textiles, printing and other skilled trades</v>
      </c>
      <c r="CL61" s="17">
        <f t="shared" si="148"/>
        <v>4.3068263205712842</v>
      </c>
      <c r="CM61" s="17">
        <f t="shared" si="148"/>
        <v>4.0491380899284568</v>
      </c>
      <c r="CN61" s="17">
        <f t="shared" si="148"/>
        <v>4.0774356646177452</v>
      </c>
      <c r="CO61" s="17">
        <f t="shared" si="148"/>
        <v>3.5484807362675661</v>
      </c>
      <c r="CP61" s="17">
        <f t="shared" si="148"/>
        <v>3.2784661855707351</v>
      </c>
      <c r="CR61" s="67">
        <f t="shared" si="126"/>
        <v>-48.076309333423467</v>
      </c>
      <c r="CS61" s="68">
        <f t="shared" si="127"/>
        <v>20.755456605903476</v>
      </c>
      <c r="CT61" s="68">
        <f t="shared" si="128"/>
        <v>-27.320852727519995</v>
      </c>
    </row>
    <row r="62" spans="1:98" x14ac:dyDescent="0.3">
      <c r="A62" t="str">
        <f t="shared" si="95"/>
        <v>61 Caring personal service occupations</v>
      </c>
      <c r="B62" s="17">
        <f t="shared" si="140"/>
        <v>0.39902772065820447</v>
      </c>
      <c r="C62" s="17">
        <f t="shared" si="140"/>
        <v>0.37623720493240098</v>
      </c>
      <c r="D62" s="17">
        <f t="shared" si="140"/>
        <v>0.36144519284146076</v>
      </c>
      <c r="E62" s="17">
        <f t="shared" si="140"/>
        <v>0.42989860754773634</v>
      </c>
      <c r="F62" s="17">
        <f t="shared" si="140"/>
        <v>0.51283508158378421</v>
      </c>
      <c r="H62" s="67">
        <f t="shared" si="129"/>
        <v>149.99276404834333</v>
      </c>
      <c r="I62" s="68">
        <f t="shared" si="130"/>
        <v>97.570475004296</v>
      </c>
      <c r="J62" s="68">
        <f t="shared" si="131"/>
        <v>247.56323905263935</v>
      </c>
      <c r="L62" t="str">
        <f t="shared" si="132"/>
        <v>61 Caring personal service occupations</v>
      </c>
      <c r="M62" s="17">
        <f t="shared" si="141"/>
        <v>2.6044794594159701</v>
      </c>
      <c r="N62" s="17">
        <f t="shared" si="141"/>
        <v>2.7011373890706958</v>
      </c>
      <c r="O62" s="17">
        <f t="shared" si="141"/>
        <v>2.5710369038037686</v>
      </c>
      <c r="P62" s="17">
        <f t="shared" si="141"/>
        <v>2.9226161121563163</v>
      </c>
      <c r="Q62" s="17">
        <f t="shared" si="141"/>
        <v>3.3740498107958006</v>
      </c>
      <c r="S62" s="67">
        <f t="shared" si="98"/>
        <v>132.6329947435089</v>
      </c>
      <c r="T62" s="68">
        <f t="shared" si="99"/>
        <v>98.968354182617318</v>
      </c>
      <c r="U62" s="68">
        <f t="shared" si="100"/>
        <v>231.60134892612626</v>
      </c>
      <c r="W62" t="str">
        <f t="shared" si="133"/>
        <v>61 Caring personal service occupations</v>
      </c>
      <c r="X62" s="17">
        <f t="shared" si="142"/>
        <v>4.1847315445289848</v>
      </c>
      <c r="Y62" s="17">
        <f t="shared" si="142"/>
        <v>4.2653924705574076</v>
      </c>
      <c r="Z62" s="17">
        <f t="shared" si="142"/>
        <v>4.162540149201484</v>
      </c>
      <c r="AA62" s="17">
        <f t="shared" si="142"/>
        <v>4.6494201242198576</v>
      </c>
      <c r="AB62" s="17">
        <f t="shared" si="142"/>
        <v>5.0975332144104781</v>
      </c>
      <c r="AD62" s="67">
        <f t="shared" si="102"/>
        <v>49.504441240818927</v>
      </c>
      <c r="AE62" s="68">
        <f t="shared" si="103"/>
        <v>82.95459298468829</v>
      </c>
      <c r="AF62" s="68">
        <f t="shared" si="104"/>
        <v>132.45903422550722</v>
      </c>
      <c r="AH62" t="str">
        <f t="shared" si="134"/>
        <v>61 Caring personal service occupations</v>
      </c>
      <c r="AI62" s="17">
        <f t="shared" si="143"/>
        <v>12.770026491500786</v>
      </c>
      <c r="AJ62" s="17">
        <f t="shared" si="143"/>
        <v>12.629633076990942</v>
      </c>
      <c r="AK62" s="17">
        <f t="shared" si="143"/>
        <v>12.378936620212396</v>
      </c>
      <c r="AL62" s="17">
        <f t="shared" si="143"/>
        <v>13.122662640641092</v>
      </c>
      <c r="AM62" s="17">
        <f t="shared" si="143"/>
        <v>12.676245671805223</v>
      </c>
      <c r="AO62" s="67">
        <f t="shared" si="106"/>
        <v>13.628388332517517</v>
      </c>
      <c r="AP62" s="68">
        <f t="shared" si="107"/>
        <v>63.749089263655392</v>
      </c>
      <c r="AQ62" s="68">
        <f t="shared" si="108"/>
        <v>77.377477596172909</v>
      </c>
      <c r="AS62" t="str">
        <f t="shared" si="135"/>
        <v>61 Caring personal service occupations</v>
      </c>
      <c r="AT62" s="17">
        <f t="shared" si="144"/>
        <v>7.2810128999110946</v>
      </c>
      <c r="AU62" s="17">
        <f t="shared" si="144"/>
        <v>7.3609826308776523</v>
      </c>
      <c r="AV62" s="17">
        <f t="shared" si="144"/>
        <v>7.2286010745746347</v>
      </c>
      <c r="AW62" s="17">
        <f t="shared" si="144"/>
        <v>7.52754166852176</v>
      </c>
      <c r="AX62" s="17">
        <f t="shared" si="144"/>
        <v>7.473461422507147</v>
      </c>
      <c r="AZ62" s="67">
        <f t="shared" si="110"/>
        <v>24.319022503519765</v>
      </c>
      <c r="BA62" s="68">
        <f t="shared" si="111"/>
        <v>68.309200530270402</v>
      </c>
      <c r="BB62" s="68">
        <f t="shared" si="112"/>
        <v>92.628223033790164</v>
      </c>
      <c r="BD62" t="str">
        <f t="shared" si="136"/>
        <v>61 Caring personal service occupations</v>
      </c>
      <c r="BE62" s="17">
        <f t="shared" si="145"/>
        <v>11.681885807911085</v>
      </c>
      <c r="BF62" s="17">
        <f t="shared" si="145"/>
        <v>12.480071077898414</v>
      </c>
      <c r="BG62" s="17">
        <f t="shared" si="145"/>
        <v>12.482935996908004</v>
      </c>
      <c r="BH62" s="17">
        <f t="shared" si="145"/>
        <v>14.021314494978535</v>
      </c>
      <c r="BI62" s="17">
        <f t="shared" si="145"/>
        <v>16.297928793015213</v>
      </c>
      <c r="BK62" s="67">
        <f t="shared" si="114"/>
        <v>28.157575193647517</v>
      </c>
      <c r="BL62" s="68">
        <f t="shared" si="115"/>
        <v>64.608199583085593</v>
      </c>
      <c r="BM62" s="68">
        <f t="shared" si="116"/>
        <v>92.76577477673311</v>
      </c>
      <c r="BO62" t="str">
        <f t="shared" si="137"/>
        <v>61 Caring personal service occupations</v>
      </c>
      <c r="BP62" s="17">
        <f t="shared" si="146"/>
        <v>9.6049941677028201</v>
      </c>
      <c r="BQ62" s="17">
        <f t="shared" si="146"/>
        <v>9.326179144064433</v>
      </c>
      <c r="BR62" s="17">
        <f t="shared" si="146"/>
        <v>9.1719183861623677</v>
      </c>
      <c r="BS62" s="17">
        <f t="shared" si="146"/>
        <v>9.5613756123121139</v>
      </c>
      <c r="BT62" s="17">
        <f t="shared" si="146"/>
        <v>9.2525788186184599</v>
      </c>
      <c r="BV62" s="67">
        <f t="shared" si="118"/>
        <v>-20.420584137881669</v>
      </c>
      <c r="BW62" s="68">
        <f t="shared" si="119"/>
        <v>45.758949689841266</v>
      </c>
      <c r="BX62" s="68">
        <f t="shared" si="120"/>
        <v>25.338365551959601</v>
      </c>
      <c r="BZ62" t="str">
        <f t="shared" si="138"/>
        <v>61 Caring personal service occupations</v>
      </c>
      <c r="CA62" s="17">
        <f t="shared" si="147"/>
        <v>4.1545818667568328</v>
      </c>
      <c r="CB62" s="17">
        <f t="shared" si="147"/>
        <v>2.548943349416628</v>
      </c>
      <c r="CC62" s="17">
        <f t="shared" si="147"/>
        <v>2.399162785694132</v>
      </c>
      <c r="CD62" s="17">
        <f t="shared" si="147"/>
        <v>1.9978108759912592</v>
      </c>
      <c r="CE62" s="17">
        <f t="shared" si="147"/>
        <v>2.5184578158673681</v>
      </c>
      <c r="CG62" s="67">
        <f t="shared" si="122"/>
        <v>-37.390553608860415</v>
      </c>
      <c r="CH62" s="68">
        <f t="shared" si="123"/>
        <v>23.79756428343854</v>
      </c>
      <c r="CI62" s="68">
        <f t="shared" si="124"/>
        <v>-13.592989325421875</v>
      </c>
      <c r="CK62" t="str">
        <f t="shared" si="139"/>
        <v>61 Caring personal service occupations</v>
      </c>
      <c r="CL62" s="17">
        <f t="shared" si="148"/>
        <v>1.7748628404244411</v>
      </c>
      <c r="CM62" s="17">
        <f t="shared" si="148"/>
        <v>1.6799810804230451</v>
      </c>
      <c r="CN62" s="17">
        <f t="shared" si="148"/>
        <v>1.7683635400721331</v>
      </c>
      <c r="CO62" s="17">
        <f t="shared" si="148"/>
        <v>2.3216989258655851</v>
      </c>
      <c r="CP62" s="17">
        <f t="shared" si="148"/>
        <v>3.0776180150081278</v>
      </c>
      <c r="CR62" s="67">
        <f t="shared" si="126"/>
        <v>12.389341325063889</v>
      </c>
      <c r="CS62" s="68">
        <f t="shared" si="127"/>
        <v>30.816434913825553</v>
      </c>
      <c r="CT62" s="68">
        <f t="shared" si="128"/>
        <v>43.205776238889442</v>
      </c>
    </row>
    <row r="63" spans="1:98" x14ac:dyDescent="0.3">
      <c r="A63" t="str">
        <f t="shared" si="95"/>
        <v>62 Leisure, travel and related personal service occupations</v>
      </c>
      <c r="B63" s="17">
        <f t="shared" si="140"/>
        <v>0.18211241524965444</v>
      </c>
      <c r="C63" s="17">
        <f t="shared" si="140"/>
        <v>0.20533590939256696</v>
      </c>
      <c r="D63" s="17">
        <f t="shared" si="140"/>
        <v>0.20688254280720389</v>
      </c>
      <c r="E63" s="17">
        <f t="shared" si="140"/>
        <v>0.22919513610988579</v>
      </c>
      <c r="F63" s="17">
        <f t="shared" si="140"/>
        <v>0.27000333186762432</v>
      </c>
      <c r="H63" s="67">
        <f t="shared" si="129"/>
        <v>129.9521333190014</v>
      </c>
      <c r="I63" s="68">
        <f t="shared" si="130"/>
        <v>91.246561994341263</v>
      </c>
      <c r="J63" s="68">
        <f t="shared" si="131"/>
        <v>221.19869531334265</v>
      </c>
      <c r="L63" t="str">
        <f t="shared" si="132"/>
        <v>62 Leisure, travel and related personal service occupations</v>
      </c>
      <c r="M63" s="17">
        <f t="shared" si="141"/>
        <v>0.50148954653087208</v>
      </c>
      <c r="N63" s="17">
        <f t="shared" si="141"/>
        <v>0.50989279479747474</v>
      </c>
      <c r="O63" s="17">
        <f t="shared" si="141"/>
        <v>0.43950848918261637</v>
      </c>
      <c r="P63" s="17">
        <f t="shared" si="141"/>
        <v>0.47029385179874811</v>
      </c>
      <c r="Q63" s="17">
        <f t="shared" si="141"/>
        <v>0.53813078809829251</v>
      </c>
      <c r="S63" s="67">
        <f t="shared" si="98"/>
        <v>117.04445959568901</v>
      </c>
      <c r="T63" s="68">
        <f t="shared" si="99"/>
        <v>88.312833571994105</v>
      </c>
      <c r="U63" s="68">
        <f t="shared" si="100"/>
        <v>205.35729316768311</v>
      </c>
      <c r="W63" t="str">
        <f t="shared" si="133"/>
        <v>62 Leisure, travel and related personal service occupations</v>
      </c>
      <c r="X63" s="17">
        <f t="shared" si="142"/>
        <v>1.0987551613903321</v>
      </c>
      <c r="Y63" s="17">
        <f t="shared" si="142"/>
        <v>1.2280383917597568</v>
      </c>
      <c r="Z63" s="17">
        <f t="shared" si="142"/>
        <v>1.1148549671862371</v>
      </c>
      <c r="AA63" s="17">
        <f t="shared" si="142"/>
        <v>1.2818296604234443</v>
      </c>
      <c r="AB63" s="17">
        <f t="shared" si="142"/>
        <v>1.5388592978783868</v>
      </c>
      <c r="AD63" s="67">
        <f t="shared" si="102"/>
        <v>68.512842793756107</v>
      </c>
      <c r="AE63" s="68">
        <f t="shared" si="103"/>
        <v>82.921674005915619</v>
      </c>
      <c r="AF63" s="68">
        <f t="shared" si="104"/>
        <v>151.43451679967174</v>
      </c>
      <c r="AH63" t="str">
        <f t="shared" si="134"/>
        <v>62 Leisure, travel and related personal service occupations</v>
      </c>
      <c r="AI63" s="17">
        <f t="shared" si="143"/>
        <v>2.2347845447343597</v>
      </c>
      <c r="AJ63" s="17">
        <f t="shared" si="143"/>
        <v>2.7608808053239979</v>
      </c>
      <c r="AK63" s="17">
        <f t="shared" si="143"/>
        <v>2.5558538620700246</v>
      </c>
      <c r="AL63" s="17">
        <f t="shared" si="143"/>
        <v>2.9261238614578993</v>
      </c>
      <c r="AM63" s="17">
        <f t="shared" si="143"/>
        <v>3.5613578895733085</v>
      </c>
      <c r="AO63" s="67">
        <f t="shared" si="106"/>
        <v>54.617675450409401</v>
      </c>
      <c r="AP63" s="68">
        <f t="shared" si="107"/>
        <v>78.663435824968971</v>
      </c>
      <c r="AQ63" s="68">
        <f t="shared" si="108"/>
        <v>133.28111127537835</v>
      </c>
      <c r="AS63" t="str">
        <f t="shared" si="135"/>
        <v>62 Leisure, travel and related personal service occupations</v>
      </c>
      <c r="AT63" s="17">
        <f t="shared" si="144"/>
        <v>2.8567731293046359</v>
      </c>
      <c r="AU63" s="17">
        <f t="shared" si="144"/>
        <v>3.3453988036367823</v>
      </c>
      <c r="AV63" s="17">
        <f t="shared" si="144"/>
        <v>3.3232002926522237</v>
      </c>
      <c r="AW63" s="17">
        <f t="shared" si="144"/>
        <v>3.759293418819694</v>
      </c>
      <c r="AX63" s="17">
        <f t="shared" si="144"/>
        <v>4.6026396837434955</v>
      </c>
      <c r="AZ63" s="67">
        <f t="shared" si="110"/>
        <v>66.540746794246871</v>
      </c>
      <c r="BA63" s="68">
        <f t="shared" si="111"/>
        <v>82.312100408660399</v>
      </c>
      <c r="BB63" s="68">
        <f t="shared" si="112"/>
        <v>148.85284720290727</v>
      </c>
      <c r="BD63" t="str">
        <f t="shared" si="136"/>
        <v>62 Leisure, travel and related personal service occupations</v>
      </c>
      <c r="BE63" s="17">
        <f t="shared" si="145"/>
        <v>2.7992024645009859</v>
      </c>
      <c r="BF63" s="17">
        <f t="shared" si="145"/>
        <v>2.8317266524569882</v>
      </c>
      <c r="BG63" s="17">
        <f t="shared" si="145"/>
        <v>2.6319130904666448</v>
      </c>
      <c r="BH63" s="17">
        <f t="shared" si="145"/>
        <v>2.564558328618745</v>
      </c>
      <c r="BI63" s="17">
        <f t="shared" si="145"/>
        <v>2.40837834123632</v>
      </c>
      <c r="BK63" s="67">
        <f t="shared" si="114"/>
        <v>-10.178194966184453</v>
      </c>
      <c r="BL63" s="68">
        <f t="shared" si="115"/>
        <v>42.730990654993334</v>
      </c>
      <c r="BM63" s="68">
        <f t="shared" si="116"/>
        <v>32.552795688808885</v>
      </c>
      <c r="BO63" t="str">
        <f t="shared" si="137"/>
        <v>62 Leisure, travel and related personal service occupations</v>
      </c>
      <c r="BP63" s="17">
        <f t="shared" si="146"/>
        <v>2.8689177447341683</v>
      </c>
      <c r="BQ63" s="17">
        <f t="shared" si="146"/>
        <v>2.9148878255017303</v>
      </c>
      <c r="BR63" s="17">
        <f t="shared" si="146"/>
        <v>2.7593231057613115</v>
      </c>
      <c r="BS63" s="17">
        <f t="shared" si="146"/>
        <v>2.6039683975098478</v>
      </c>
      <c r="BT63" s="17">
        <f t="shared" si="146"/>
        <v>2.4420995934325891</v>
      </c>
      <c r="BV63" s="67">
        <f t="shared" si="118"/>
        <v>-30.183359220282984</v>
      </c>
      <c r="BW63" s="68">
        <f t="shared" si="119"/>
        <v>39.011731873617897</v>
      </c>
      <c r="BX63" s="68">
        <f t="shared" si="120"/>
        <v>8.8283726533349096</v>
      </c>
      <c r="BZ63" t="str">
        <f t="shared" si="138"/>
        <v>62 Leisure, travel and related personal service occupations</v>
      </c>
      <c r="CA63" s="17">
        <f t="shared" si="147"/>
        <v>2.6680846396482849</v>
      </c>
      <c r="CB63" s="17">
        <f t="shared" si="147"/>
        <v>2.9554740168610718</v>
      </c>
      <c r="CC63" s="17">
        <f t="shared" si="147"/>
        <v>2.8648578581071975</v>
      </c>
      <c r="CD63" s="17">
        <f t="shared" si="147"/>
        <v>3.0775302655038272</v>
      </c>
      <c r="CE63" s="17">
        <f t="shared" si="147"/>
        <v>3.5626612447232531</v>
      </c>
      <c r="CG63" s="67">
        <f t="shared" si="122"/>
        <v>-25.828621673425577</v>
      </c>
      <c r="CH63" s="68">
        <f t="shared" si="123"/>
        <v>36.92688371555009</v>
      </c>
      <c r="CI63" s="68">
        <f t="shared" si="124"/>
        <v>11.09826204212451</v>
      </c>
      <c r="CK63" t="str">
        <f t="shared" si="139"/>
        <v>62 Leisure, travel and related personal service occupations</v>
      </c>
      <c r="CL63" s="17">
        <f t="shared" si="148"/>
        <v>2.8522142327263937</v>
      </c>
      <c r="CM63" s="17">
        <f t="shared" si="148"/>
        <v>2.9045621395193568</v>
      </c>
      <c r="CN63" s="17">
        <f t="shared" si="148"/>
        <v>2.8663915957990316</v>
      </c>
      <c r="CO63" s="17">
        <f t="shared" si="148"/>
        <v>2.8335228789516451</v>
      </c>
      <c r="CP63" s="17">
        <f t="shared" si="148"/>
        <v>2.7148595447920294</v>
      </c>
      <c r="CR63" s="67">
        <f t="shared" si="126"/>
        <v>-38.836291936108559</v>
      </c>
      <c r="CS63" s="68">
        <f t="shared" si="127"/>
        <v>24.339867785740147</v>
      </c>
      <c r="CT63" s="68">
        <f t="shared" si="128"/>
        <v>-14.496424150368409</v>
      </c>
    </row>
    <row r="64" spans="1:98" x14ac:dyDescent="0.3">
      <c r="A64" t="str">
        <f t="shared" si="95"/>
        <v>63 Community and civil enforcement occupations</v>
      </c>
      <c r="B64" s="17">
        <f t="shared" si="140"/>
        <v>1.7254454765563896E-2</v>
      </c>
      <c r="C64" s="17">
        <f t="shared" si="140"/>
        <v>1.4999213133253309E-2</v>
      </c>
      <c r="D64" s="17">
        <f t="shared" si="140"/>
        <v>1.6047121694346283E-2</v>
      </c>
      <c r="E64" s="17">
        <f t="shared" si="140"/>
        <v>1.6088044969551154E-2</v>
      </c>
      <c r="F64" s="17">
        <f t="shared" si="140"/>
        <v>1.8494740178325395E-2</v>
      </c>
      <c r="H64" s="67">
        <f t="shared" si="129"/>
        <v>103.06882386874823</v>
      </c>
      <c r="I64" s="68">
        <f t="shared" si="130"/>
        <v>83.854551623382918</v>
      </c>
      <c r="J64" s="68">
        <f t="shared" si="131"/>
        <v>186.92337549213116</v>
      </c>
      <c r="L64" t="str">
        <f t="shared" si="132"/>
        <v>63 Community and civil enforcement occupations</v>
      </c>
      <c r="M64" s="17">
        <f t="shared" si="141"/>
        <v>4.1467465069279494E-2</v>
      </c>
      <c r="N64" s="17">
        <f t="shared" si="141"/>
        <v>3.3124437019158418E-2</v>
      </c>
      <c r="O64" s="17">
        <f t="shared" si="141"/>
        <v>4.3173659183085827E-2</v>
      </c>
      <c r="P64" s="17">
        <f t="shared" si="141"/>
        <v>3.5647266890927336E-2</v>
      </c>
      <c r="Q64" s="17">
        <f t="shared" si="141"/>
        <v>4.2510848311945841E-2</v>
      </c>
      <c r="S64" s="67">
        <f t="shared" si="98"/>
        <v>74.545656002604019</v>
      </c>
      <c r="T64" s="68">
        <f t="shared" si="99"/>
        <v>68.449009329593792</v>
      </c>
      <c r="U64" s="68">
        <f t="shared" si="100"/>
        <v>142.99466533219783</v>
      </c>
      <c r="W64" t="str">
        <f t="shared" si="133"/>
        <v>63 Community and civil enforcement occupations</v>
      </c>
      <c r="X64" s="17">
        <f t="shared" si="142"/>
        <v>9.092234210355303E-2</v>
      </c>
      <c r="Y64" s="17">
        <f t="shared" si="142"/>
        <v>8.7315280037111268E-2</v>
      </c>
      <c r="Z64" s="17">
        <f t="shared" si="142"/>
        <v>9.4223967472129744E-2</v>
      </c>
      <c r="AA64" s="17">
        <f t="shared" si="142"/>
        <v>9.7060264196969101E-2</v>
      </c>
      <c r="AB64" s="17">
        <f t="shared" si="142"/>
        <v>0.10553499181629235</v>
      </c>
      <c r="AD64" s="67">
        <f t="shared" si="102"/>
        <v>36.737476017486756</v>
      </c>
      <c r="AE64" s="68">
        <f t="shared" si="103"/>
        <v>75.850237675508112</v>
      </c>
      <c r="AF64" s="68">
        <f t="shared" si="104"/>
        <v>112.58771369299487</v>
      </c>
      <c r="AH64" t="str">
        <f t="shared" si="134"/>
        <v>63 Community and civil enforcement occupations</v>
      </c>
      <c r="AI64" s="17">
        <f t="shared" si="143"/>
        <v>8.6859848965375519E-2</v>
      </c>
      <c r="AJ64" s="17">
        <f t="shared" si="143"/>
        <v>8.391179615621791E-2</v>
      </c>
      <c r="AK64" s="17">
        <f t="shared" si="143"/>
        <v>0.10639902732046172</v>
      </c>
      <c r="AL64" s="17">
        <f t="shared" si="143"/>
        <v>9.5628081357401459E-2</v>
      </c>
      <c r="AM64" s="17">
        <f t="shared" si="143"/>
        <v>0.10627944614703538</v>
      </c>
      <c r="AO64" s="67">
        <f t="shared" si="106"/>
        <v>10.838633676101527</v>
      </c>
      <c r="AP64" s="68">
        <f t="shared" si="107"/>
        <v>57.989419369834231</v>
      </c>
      <c r="AQ64" s="68">
        <f t="shared" si="108"/>
        <v>68.828053045935761</v>
      </c>
      <c r="AS64" t="str">
        <f t="shared" si="135"/>
        <v>63 Community and civil enforcement occupations</v>
      </c>
      <c r="AT64" s="17">
        <f t="shared" si="144"/>
        <v>9.3596849821819678E-2</v>
      </c>
      <c r="AU64" s="17">
        <f t="shared" si="144"/>
        <v>7.7288142711017985E-2</v>
      </c>
      <c r="AV64" s="17">
        <f t="shared" si="144"/>
        <v>9.2700210785743725E-2</v>
      </c>
      <c r="AW64" s="17">
        <f t="shared" si="144"/>
        <v>7.2882131040810871E-2</v>
      </c>
      <c r="AX64" s="17">
        <f t="shared" si="144"/>
        <v>6.8012521894499176E-2</v>
      </c>
      <c r="AZ64" s="67">
        <f t="shared" si="110"/>
        <v>-11.777734780465627</v>
      </c>
      <c r="BA64" s="68">
        <f t="shared" si="111"/>
        <v>51.440883522193324</v>
      </c>
      <c r="BB64" s="68">
        <f t="shared" si="112"/>
        <v>39.663148741727703</v>
      </c>
      <c r="BD64" t="str">
        <f t="shared" si="136"/>
        <v>63 Community and civil enforcement occupations</v>
      </c>
      <c r="BE64" s="17">
        <f t="shared" si="145"/>
        <v>9.342469498023516E-2</v>
      </c>
      <c r="BF64" s="17">
        <f t="shared" si="145"/>
        <v>6.367451861524337E-2</v>
      </c>
      <c r="BG64" s="17">
        <f t="shared" si="145"/>
        <v>9.1833538457096991E-2</v>
      </c>
      <c r="BH64" s="17">
        <f t="shared" si="145"/>
        <v>5.9059030567259335E-2</v>
      </c>
      <c r="BI64" s="17">
        <f t="shared" si="145"/>
        <v>6.0068493111889359E-2</v>
      </c>
      <c r="BK64" s="67">
        <f t="shared" si="114"/>
        <v>-35.794234494944291</v>
      </c>
      <c r="BL64" s="68">
        <f t="shared" si="115"/>
        <v>24.407187926412579</v>
      </c>
      <c r="BM64" s="68">
        <f t="shared" si="116"/>
        <v>-11.387046568531716</v>
      </c>
      <c r="BO64" t="str">
        <f t="shared" si="137"/>
        <v>63 Community and civil enforcement occupations</v>
      </c>
      <c r="BP64" s="17">
        <f t="shared" si="146"/>
        <v>0.12741692401328084</v>
      </c>
      <c r="BQ64" s="17">
        <f t="shared" si="146"/>
        <v>0.10864768590731505</v>
      </c>
      <c r="BR64" s="17">
        <f t="shared" si="146"/>
        <v>0.14623216477594858</v>
      </c>
      <c r="BS64" s="17">
        <f t="shared" si="146"/>
        <v>0.11167162272950175</v>
      </c>
      <c r="BT64" s="17">
        <f t="shared" si="146"/>
        <v>0.12675300438666831</v>
      </c>
      <c r="BV64" s="67">
        <f t="shared" si="118"/>
        <v>-31.622457502425398</v>
      </c>
      <c r="BW64" s="68">
        <f t="shared" si="119"/>
        <v>30.683994924418851</v>
      </c>
      <c r="BX64" s="68">
        <f t="shared" si="120"/>
        <v>-0.93846257800654731</v>
      </c>
      <c r="BZ64" t="str">
        <f t="shared" si="138"/>
        <v>63 Community and civil enforcement occupations</v>
      </c>
      <c r="CA64" s="17">
        <f t="shared" si="147"/>
        <v>0.1562437276059242</v>
      </c>
      <c r="CB64" s="17">
        <f t="shared" si="147"/>
        <v>0.14362875426119104</v>
      </c>
      <c r="CC64" s="17">
        <f t="shared" si="147"/>
        <v>0.19443057277796008</v>
      </c>
      <c r="CD64" s="17">
        <f t="shared" si="147"/>
        <v>0.17177307071657968</v>
      </c>
      <c r="CE64" s="17">
        <f t="shared" si="147"/>
        <v>0.22111000519664928</v>
      </c>
      <c r="CG64" s="67">
        <f t="shared" si="122"/>
        <v>-32.172042660676873</v>
      </c>
      <c r="CH64" s="68">
        <f t="shared" si="123"/>
        <v>30.727195894981641</v>
      </c>
      <c r="CI64" s="68">
        <f t="shared" si="124"/>
        <v>-1.4448467656952317</v>
      </c>
      <c r="CK64" t="str">
        <f t="shared" si="139"/>
        <v>63 Community and civil enforcement occupations</v>
      </c>
      <c r="CL64" s="17">
        <f t="shared" si="148"/>
        <v>0.14233313007965526</v>
      </c>
      <c r="CM64" s="17">
        <f t="shared" si="148"/>
        <v>0.10580018709199231</v>
      </c>
      <c r="CN64" s="17">
        <f t="shared" si="148"/>
        <v>0.16016742432795822</v>
      </c>
      <c r="CO64" s="17">
        <f t="shared" si="148"/>
        <v>0.10001197044916281</v>
      </c>
      <c r="CP64" s="17">
        <f t="shared" si="148"/>
        <v>9.9588370944315621E-2</v>
      </c>
      <c r="CR64" s="67">
        <f t="shared" si="126"/>
        <v>-59.847147893086436</v>
      </c>
      <c r="CS64" s="68">
        <f t="shared" si="127"/>
        <v>13.498075197491538</v>
      </c>
      <c r="CT64" s="68">
        <f t="shared" si="128"/>
        <v>-46.349072695594899</v>
      </c>
    </row>
    <row r="65" spans="1:98" x14ac:dyDescent="0.3">
      <c r="A65" t="str">
        <f t="shared" si="95"/>
        <v>71 Sales occupations</v>
      </c>
      <c r="B65" s="17">
        <f t="shared" ref="B65:F70" si="149">B28/B$35*100</f>
        <v>1.2116691122465728</v>
      </c>
      <c r="C65" s="17">
        <f t="shared" si="149"/>
        <v>1.08340555760408</v>
      </c>
      <c r="D65" s="17">
        <f t="shared" si="149"/>
        <v>0.94603649886671748</v>
      </c>
      <c r="E65" s="17">
        <f t="shared" si="149"/>
        <v>0.92929713034215389</v>
      </c>
      <c r="F65" s="17">
        <f t="shared" si="149"/>
        <v>0.96913519101261303</v>
      </c>
      <c r="H65" s="67">
        <f t="shared" si="129"/>
        <v>80.496438414421974</v>
      </c>
      <c r="I65" s="68">
        <f t="shared" si="130"/>
        <v>65.681778133371111</v>
      </c>
      <c r="J65" s="68">
        <f t="shared" si="131"/>
        <v>146.17821654779308</v>
      </c>
      <c r="L65" t="str">
        <f t="shared" si="132"/>
        <v>71 Sales occupations</v>
      </c>
      <c r="M65" s="17">
        <f t="shared" ref="M65:Q70" si="150">M28/M$35*100</f>
        <v>2.1868891035356541</v>
      </c>
      <c r="N65" s="17">
        <f t="shared" si="150"/>
        <v>2.030053169808693</v>
      </c>
      <c r="O65" s="17">
        <f t="shared" si="150"/>
        <v>1.9861626021455212</v>
      </c>
      <c r="P65" s="17">
        <f t="shared" si="150"/>
        <v>2.0139326338429471</v>
      </c>
      <c r="Q65" s="17">
        <f t="shared" si="150"/>
        <v>2.3655248762447765</v>
      </c>
      <c r="S65" s="67">
        <f t="shared" si="98"/>
        <v>111.12557795819346</v>
      </c>
      <c r="T65" s="68">
        <f t="shared" si="99"/>
        <v>73.4073082354967</v>
      </c>
      <c r="U65" s="68">
        <f t="shared" si="100"/>
        <v>184.53288619369016</v>
      </c>
      <c r="W65" t="str">
        <f t="shared" si="133"/>
        <v>71 Sales occupations</v>
      </c>
      <c r="X65" s="17">
        <f t="shared" ref="X65:AB70" si="151">X28/X$35*100</f>
        <v>4.3065500543836812</v>
      </c>
      <c r="Y65" s="17">
        <f t="shared" si="151"/>
        <v>4.1039479930161704</v>
      </c>
      <c r="Z65" s="17">
        <f t="shared" si="151"/>
        <v>4.1291013232644564</v>
      </c>
      <c r="AA65" s="17">
        <f t="shared" si="151"/>
        <v>4.1669874913459886</v>
      </c>
      <c r="AB65" s="17">
        <f t="shared" si="151"/>
        <v>4.6711449175786273</v>
      </c>
      <c r="AD65" s="67">
        <f t="shared" si="102"/>
        <v>38.108454836055529</v>
      </c>
      <c r="AE65" s="68">
        <f t="shared" si="103"/>
        <v>64.242531018155816</v>
      </c>
      <c r="AF65" s="68">
        <f t="shared" si="104"/>
        <v>102.35098585421134</v>
      </c>
      <c r="AH65" t="str">
        <f t="shared" si="134"/>
        <v>71 Sales occupations</v>
      </c>
      <c r="AI65" s="17">
        <f t="shared" ref="AI65:AM70" si="152">AI28/AI$35*100</f>
        <v>4.8437970712453247</v>
      </c>
      <c r="AJ65" s="17">
        <f t="shared" si="152"/>
        <v>4.851663189454996</v>
      </c>
      <c r="AK65" s="17">
        <f t="shared" si="152"/>
        <v>4.9784202251380014</v>
      </c>
      <c r="AL65" s="17">
        <f t="shared" si="152"/>
        <v>5.0931977703157445</v>
      </c>
      <c r="AM65" s="17">
        <f t="shared" si="152"/>
        <v>5.7151831567806965</v>
      </c>
      <c r="AO65" s="67">
        <f t="shared" si="106"/>
        <v>27.384955411363016</v>
      </c>
      <c r="AP65" s="68">
        <f t="shared" si="107"/>
        <v>61.487031912605651</v>
      </c>
      <c r="AQ65" s="68">
        <f t="shared" si="108"/>
        <v>88.871987323968654</v>
      </c>
      <c r="AS65" t="str">
        <f t="shared" si="135"/>
        <v>71 Sales occupations</v>
      </c>
      <c r="AT65" s="17">
        <f t="shared" ref="AT65:AX70" si="153">AT28/AT$35*100</f>
        <v>4.4328343861966806</v>
      </c>
      <c r="AU65" s="17">
        <f t="shared" si="153"/>
        <v>4.023224467015698</v>
      </c>
      <c r="AV65" s="17">
        <f t="shared" si="153"/>
        <v>3.9807342341004852</v>
      </c>
      <c r="AW65" s="17">
        <f t="shared" si="153"/>
        <v>3.7614636313048995</v>
      </c>
      <c r="AX65" s="17">
        <f t="shared" si="153"/>
        <v>3.9125475554187807</v>
      </c>
      <c r="AZ65" s="67">
        <f t="shared" si="110"/>
        <v>18.186124881601188</v>
      </c>
      <c r="BA65" s="68">
        <f t="shared" si="111"/>
        <v>50.394403119099763</v>
      </c>
      <c r="BB65" s="68">
        <f t="shared" si="112"/>
        <v>68.580528000700951</v>
      </c>
      <c r="BD65" t="str">
        <f t="shared" si="136"/>
        <v>71 Sales occupations</v>
      </c>
      <c r="BE65" s="17">
        <f t="shared" ref="BE65:BI70" si="154">BE28/BE$35*100</f>
        <v>8.7005517580978804</v>
      </c>
      <c r="BF65" s="17">
        <f t="shared" si="154"/>
        <v>8.2662660005072883</v>
      </c>
      <c r="BG65" s="17">
        <f t="shared" si="154"/>
        <v>8.5189611057669534</v>
      </c>
      <c r="BH65" s="17">
        <f t="shared" si="154"/>
        <v>8.1551751157253296</v>
      </c>
      <c r="BI65" s="17">
        <f t="shared" si="154"/>
        <v>8.3007308418364367</v>
      </c>
      <c r="BK65" s="67">
        <f t="shared" si="114"/>
        <v>-4.3558733599206434</v>
      </c>
      <c r="BL65" s="68">
        <f t="shared" si="115"/>
        <v>43.391911616431187</v>
      </c>
      <c r="BM65" s="68">
        <f t="shared" si="116"/>
        <v>39.036038256510544</v>
      </c>
      <c r="BO65" t="str">
        <f t="shared" si="137"/>
        <v>71 Sales occupations</v>
      </c>
      <c r="BP65" s="17">
        <f t="shared" ref="BP65:BT70" si="155">BP28/BP$35*100</f>
        <v>9.217015663951118</v>
      </c>
      <c r="BQ65" s="17">
        <f t="shared" si="155"/>
        <v>8.3048232861234599</v>
      </c>
      <c r="BR65" s="17">
        <f t="shared" si="155"/>
        <v>8.4584976837712258</v>
      </c>
      <c r="BS65" s="17">
        <f t="shared" si="155"/>
        <v>7.6989944933695149</v>
      </c>
      <c r="BT65" s="17">
        <f t="shared" si="155"/>
        <v>7.1703500378379541</v>
      </c>
      <c r="BV65" s="67">
        <f t="shared" si="118"/>
        <v>-33.127854395920899</v>
      </c>
      <c r="BW65" s="68">
        <f t="shared" si="119"/>
        <v>37.57107244071031</v>
      </c>
      <c r="BX65" s="68">
        <f t="shared" si="120"/>
        <v>4.443218044789413</v>
      </c>
      <c r="BZ65" t="str">
        <f t="shared" si="138"/>
        <v>71 Sales occupations</v>
      </c>
      <c r="CA65" s="17">
        <f t="shared" ref="CA65:CE70" si="156">CA28/CA$35*100</f>
        <v>9.1928342351748906</v>
      </c>
      <c r="CB65" s="17">
        <f t="shared" si="156"/>
        <v>8.8576903617811933</v>
      </c>
      <c r="CC65" s="17">
        <f t="shared" si="156"/>
        <v>8.9109412361036942</v>
      </c>
      <c r="CD65" s="17">
        <f t="shared" si="156"/>
        <v>7.903987103573912</v>
      </c>
      <c r="CE65" s="17">
        <f t="shared" si="156"/>
        <v>4.6934694889891588</v>
      </c>
      <c r="CG65" s="67">
        <f t="shared" si="122"/>
        <v>-68.58512627135066</v>
      </c>
      <c r="CH65" s="68">
        <f t="shared" si="123"/>
        <v>23.664623772955302</v>
      </c>
      <c r="CI65" s="68">
        <f t="shared" si="124"/>
        <v>-44.920502498395358</v>
      </c>
      <c r="CK65" t="str">
        <f t="shared" si="139"/>
        <v>71 Sales occupations</v>
      </c>
      <c r="CL65" s="17">
        <f t="shared" ref="CL65:CP70" si="157">CL28/CL$35*100</f>
        <v>10.994096674129068</v>
      </c>
      <c r="CM65" s="17">
        <f t="shared" si="157"/>
        <v>9.913166978645453</v>
      </c>
      <c r="CN65" s="17">
        <f t="shared" si="157"/>
        <v>9.8455938348552774</v>
      </c>
      <c r="CO65" s="17">
        <f t="shared" si="157"/>
        <v>8.184528498961166</v>
      </c>
      <c r="CP65" s="17">
        <f t="shared" si="157"/>
        <v>6.8726157362208022</v>
      </c>
      <c r="CR65" s="67">
        <f t="shared" si="126"/>
        <v>-54.922262612528563</v>
      </c>
      <c r="CS65" s="68">
        <f t="shared" si="127"/>
        <v>16.998872602732558</v>
      </c>
      <c r="CT65" s="68">
        <f t="shared" si="128"/>
        <v>-37.923390009796002</v>
      </c>
    </row>
    <row r="66" spans="1:98" x14ac:dyDescent="0.3">
      <c r="A66" t="str">
        <f t="shared" si="95"/>
        <v>72 Customer service occupations</v>
      </c>
      <c r="B66" s="17">
        <f t="shared" si="149"/>
        <v>0.41720215581708503</v>
      </c>
      <c r="C66" s="17">
        <f t="shared" si="149"/>
        <v>0.39728404180453475</v>
      </c>
      <c r="D66" s="17">
        <f t="shared" si="149"/>
        <v>0.42488621031845591</v>
      </c>
      <c r="E66" s="17">
        <f t="shared" si="149"/>
        <v>0.57541004654181716</v>
      </c>
      <c r="F66" s="17">
        <f t="shared" si="149"/>
        <v>0.6838053419811988</v>
      </c>
      <c r="H66" s="67">
        <f t="shared" si="129"/>
        <v>183.5646033478331</v>
      </c>
      <c r="I66" s="68">
        <f t="shared" si="130"/>
        <v>93.65704061598781</v>
      </c>
      <c r="J66" s="68">
        <f t="shared" si="131"/>
        <v>277.2216439638209</v>
      </c>
      <c r="L66" t="str">
        <f t="shared" si="132"/>
        <v>72 Customer service occupations</v>
      </c>
      <c r="M66" s="17">
        <f t="shared" si="150"/>
        <v>0.66965164427908674</v>
      </c>
      <c r="N66" s="17">
        <f t="shared" si="150"/>
        <v>0.68329879068416044</v>
      </c>
      <c r="O66" s="17">
        <f t="shared" si="150"/>
        <v>0.68459582756459803</v>
      </c>
      <c r="P66" s="17">
        <f t="shared" si="150"/>
        <v>0.9034859014528811</v>
      </c>
      <c r="Q66" s="17">
        <f t="shared" si="150"/>
        <v>1.0409481517139378</v>
      </c>
      <c r="S66" s="67">
        <f t="shared" si="98"/>
        <v>169.53985019731047</v>
      </c>
      <c r="T66" s="68">
        <f t="shared" si="99"/>
        <v>95.292167152895388</v>
      </c>
      <c r="U66" s="68">
        <f t="shared" si="100"/>
        <v>264.83201735020583</v>
      </c>
      <c r="W66" t="str">
        <f t="shared" si="133"/>
        <v>72 Customer service occupations</v>
      </c>
      <c r="X66" s="17">
        <f t="shared" si="151"/>
        <v>1.3507119425511214</v>
      </c>
      <c r="Y66" s="17">
        <f t="shared" si="151"/>
        <v>1.3836334719030379</v>
      </c>
      <c r="Z66" s="17">
        <f t="shared" si="151"/>
        <v>1.4415601925756603</v>
      </c>
      <c r="AA66" s="17">
        <f t="shared" si="151"/>
        <v>1.8593794936556753</v>
      </c>
      <c r="AB66" s="17">
        <f t="shared" si="151"/>
        <v>2.1712276412722638</v>
      </c>
      <c r="AD66" s="67">
        <f t="shared" si="102"/>
        <v>83.875998255063948</v>
      </c>
      <c r="AE66" s="68">
        <f t="shared" si="103"/>
        <v>76.60557007162781</v>
      </c>
      <c r="AF66" s="68">
        <f t="shared" si="104"/>
        <v>160.48156832669176</v>
      </c>
      <c r="AH66" t="str">
        <f t="shared" si="134"/>
        <v>72 Customer service occupations</v>
      </c>
      <c r="AI66" s="17">
        <f t="shared" si="152"/>
        <v>1.3383625213547929</v>
      </c>
      <c r="AJ66" s="17">
        <f t="shared" si="152"/>
        <v>1.5731627708135731</v>
      </c>
      <c r="AK66" s="17">
        <f t="shared" si="152"/>
        <v>1.6976547558588098</v>
      </c>
      <c r="AL66" s="17">
        <f t="shared" si="152"/>
        <v>2.3541693992604538</v>
      </c>
      <c r="AM66" s="17">
        <f t="shared" si="152"/>
        <v>2.8299981142138315</v>
      </c>
      <c r="AO66" s="67">
        <f t="shared" si="106"/>
        <v>84.976394664287184</v>
      </c>
      <c r="AP66" s="68">
        <f t="shared" si="107"/>
        <v>81.609664752839024</v>
      </c>
      <c r="AQ66" s="68">
        <f t="shared" si="108"/>
        <v>166.58605941712619</v>
      </c>
      <c r="AS66" t="str">
        <f t="shared" si="135"/>
        <v>72 Customer service occupations</v>
      </c>
      <c r="AT66" s="17">
        <f t="shared" si="153"/>
        <v>2.0698504631691366</v>
      </c>
      <c r="AU66" s="17">
        <f t="shared" si="153"/>
        <v>2.1263213789544877</v>
      </c>
      <c r="AV66" s="17">
        <f t="shared" si="153"/>
        <v>2.1219663686040295</v>
      </c>
      <c r="AW66" s="17">
        <f t="shared" si="153"/>
        <v>2.7023839524322857</v>
      </c>
      <c r="AX66" s="17">
        <f t="shared" si="153"/>
        <v>2.8411104645364804</v>
      </c>
      <c r="AZ66" s="67">
        <f t="shared" si="110"/>
        <v>60.997699684665022</v>
      </c>
      <c r="BA66" s="68">
        <f t="shared" si="111"/>
        <v>66.390122818239419</v>
      </c>
      <c r="BB66" s="68">
        <f t="shared" si="112"/>
        <v>127.38782250290444</v>
      </c>
      <c r="BD66" t="str">
        <f t="shared" si="136"/>
        <v>72 Customer service occupations</v>
      </c>
      <c r="BE66" s="17">
        <f t="shared" si="154"/>
        <v>1.9909782207093374</v>
      </c>
      <c r="BF66" s="17">
        <f t="shared" si="154"/>
        <v>2.05584376773511</v>
      </c>
      <c r="BG66" s="17">
        <f t="shared" si="154"/>
        <v>2.1670368796418793</v>
      </c>
      <c r="BH66" s="17">
        <f t="shared" si="154"/>
        <v>2.6941447360880262</v>
      </c>
      <c r="BI66" s="17">
        <f t="shared" si="154"/>
        <v>3.0124292648986901</v>
      </c>
      <c r="BK66" s="67">
        <f t="shared" si="114"/>
        <v>36.451767351712171</v>
      </c>
      <c r="BL66" s="68">
        <f t="shared" si="115"/>
        <v>53.72327910287985</v>
      </c>
      <c r="BM66" s="68">
        <f t="shared" si="116"/>
        <v>90.175046454592035</v>
      </c>
      <c r="BO66" t="str">
        <f t="shared" si="137"/>
        <v>72 Customer service occupations</v>
      </c>
      <c r="BP66" s="17">
        <f t="shared" si="155"/>
        <v>2.111422680589174</v>
      </c>
      <c r="BQ66" s="17">
        <f t="shared" si="155"/>
        <v>2.2396553279470681</v>
      </c>
      <c r="BR66" s="17">
        <f t="shared" si="155"/>
        <v>2.3209585122472838</v>
      </c>
      <c r="BS66" s="17">
        <f t="shared" si="155"/>
        <v>2.954131490853535</v>
      </c>
      <c r="BT66" s="17">
        <f t="shared" si="155"/>
        <v>3.2713677340074443</v>
      </c>
      <c r="BV66" s="67">
        <f t="shared" si="118"/>
        <v>11.188564600411635</v>
      </c>
      <c r="BW66" s="68">
        <f t="shared" si="119"/>
        <v>53.385796800775886</v>
      </c>
      <c r="BX66" s="68">
        <f t="shared" si="120"/>
        <v>64.574361401187531</v>
      </c>
      <c r="BZ66" t="str">
        <f t="shared" si="138"/>
        <v>72 Customer service occupations</v>
      </c>
      <c r="CA66" s="17">
        <f t="shared" si="156"/>
        <v>1.618388590707126</v>
      </c>
      <c r="CB66" s="17">
        <f t="shared" si="156"/>
        <v>1.6188630689602257</v>
      </c>
      <c r="CC66" s="17">
        <f t="shared" si="156"/>
        <v>1.7272976243832501</v>
      </c>
      <c r="CD66" s="17">
        <f t="shared" si="156"/>
        <v>2.0760753169945763</v>
      </c>
      <c r="CE66" s="17">
        <f t="shared" si="156"/>
        <v>2.7263571573276915</v>
      </c>
      <c r="CG66" s="67">
        <f t="shared" si="122"/>
        <v>-5.8586391447802981</v>
      </c>
      <c r="CH66" s="68">
        <f t="shared" si="123"/>
        <v>33.896056692127736</v>
      </c>
      <c r="CI66" s="68">
        <f t="shared" si="124"/>
        <v>28.037417547347438</v>
      </c>
      <c r="CK66" t="str">
        <f t="shared" si="139"/>
        <v>72 Customer service occupations</v>
      </c>
      <c r="CL66" s="17">
        <f t="shared" si="157"/>
        <v>1.2501722483030411</v>
      </c>
      <c r="CM66" s="17">
        <f t="shared" si="157"/>
        <v>1.6212019534496271</v>
      </c>
      <c r="CN66" s="17">
        <f t="shared" si="157"/>
        <v>1.8079188849831025</v>
      </c>
      <c r="CO66" s="17">
        <f t="shared" si="157"/>
        <v>3.0083033089367812</v>
      </c>
      <c r="CP66" s="17">
        <f t="shared" si="157"/>
        <v>4.5645636917302657</v>
      </c>
      <c r="CR66" s="67">
        <f t="shared" si="126"/>
        <v>63.043050647033262</v>
      </c>
      <c r="CS66" s="68">
        <f t="shared" si="127"/>
        <v>47.358470755028854</v>
      </c>
      <c r="CT66" s="68">
        <f t="shared" si="128"/>
        <v>110.40152140206212</v>
      </c>
    </row>
    <row r="67" spans="1:98" x14ac:dyDescent="0.3">
      <c r="A67" t="str">
        <f t="shared" si="95"/>
        <v>81 Process, plant and machine operatives</v>
      </c>
      <c r="B67" s="17">
        <f t="shared" si="149"/>
        <v>0.33115869868246062</v>
      </c>
      <c r="C67" s="17">
        <f t="shared" si="149"/>
        <v>0.33403061515753835</v>
      </c>
      <c r="D67" s="17">
        <f t="shared" si="149"/>
        <v>0.27997924684926712</v>
      </c>
      <c r="E67" s="17">
        <f t="shared" si="149"/>
        <v>0.38401920121862509</v>
      </c>
      <c r="F67" s="17">
        <f t="shared" si="149"/>
        <v>0.55478632626576729</v>
      </c>
      <c r="H67" s="67">
        <f t="shared" si="129"/>
        <v>249.13394255248406</v>
      </c>
      <c r="I67" s="68">
        <f t="shared" si="130"/>
        <v>115.21213913217858</v>
      </c>
      <c r="J67" s="68">
        <f t="shared" si="131"/>
        <v>364.34608168466264</v>
      </c>
      <c r="L67" t="str">
        <f t="shared" si="132"/>
        <v>81 Process, plant and machine operatives</v>
      </c>
      <c r="M67" s="17">
        <f t="shared" si="150"/>
        <v>0.3364563362415674</v>
      </c>
      <c r="N67" s="17">
        <f t="shared" si="150"/>
        <v>0.33373956755403433</v>
      </c>
      <c r="O67" s="17">
        <f t="shared" si="150"/>
        <v>0.28521030746679465</v>
      </c>
      <c r="P67" s="17">
        <f t="shared" si="150"/>
        <v>0.39381248024433063</v>
      </c>
      <c r="Q67" s="17">
        <f t="shared" si="150"/>
        <v>0.52190482073698286</v>
      </c>
      <c r="S67" s="67">
        <f t="shared" si="98"/>
        <v>224.38011520916689</v>
      </c>
      <c r="T67" s="68">
        <f t="shared" si="99"/>
        <v>107.66674521168889</v>
      </c>
      <c r="U67" s="68">
        <f t="shared" si="100"/>
        <v>332.04686042085581</v>
      </c>
      <c r="W67" t="str">
        <f t="shared" si="133"/>
        <v>81 Process, plant and machine operatives</v>
      </c>
      <c r="X67" s="17">
        <f t="shared" si="151"/>
        <v>0.48713039789125018</v>
      </c>
      <c r="Y67" s="17">
        <f t="shared" si="151"/>
        <v>0.45339880907726576</v>
      </c>
      <c r="Z67" s="17">
        <f t="shared" si="151"/>
        <v>0.40323191231738259</v>
      </c>
      <c r="AA67" s="17">
        <f t="shared" si="151"/>
        <v>0.60764486999443079</v>
      </c>
      <c r="AB67" s="17">
        <f t="shared" si="151"/>
        <v>0.90195175906238567</v>
      </c>
      <c r="AD67" s="67">
        <f t="shared" si="102"/>
        <v>173.07433195112498</v>
      </c>
      <c r="AE67" s="68">
        <f t="shared" si="103"/>
        <v>99.413158959172307</v>
      </c>
      <c r="AF67" s="68">
        <f t="shared" si="104"/>
        <v>272.48749091029731</v>
      </c>
      <c r="AH67" t="str">
        <f t="shared" si="134"/>
        <v>81 Process, plant and machine operatives</v>
      </c>
      <c r="AI67" s="17">
        <f t="shared" si="152"/>
        <v>0.72918602867859683</v>
      </c>
      <c r="AJ67" s="17">
        <f t="shared" si="152"/>
        <v>0.75267521619841493</v>
      </c>
      <c r="AK67" s="17">
        <f t="shared" si="152"/>
        <v>0.70419978594042065</v>
      </c>
      <c r="AL67" s="17">
        <f t="shared" si="152"/>
        <v>1.0757639220342903</v>
      </c>
      <c r="AM67" s="17">
        <f t="shared" si="152"/>
        <v>1.4571476313582024</v>
      </c>
      <c r="AO67" s="67">
        <f t="shared" si="106"/>
        <v>129.60809994737431</v>
      </c>
      <c r="AP67" s="68">
        <f t="shared" si="107"/>
        <v>83.29763682018752</v>
      </c>
      <c r="AQ67" s="68">
        <f t="shared" si="108"/>
        <v>212.90573676756179</v>
      </c>
      <c r="AS67" t="str">
        <f t="shared" si="135"/>
        <v>81 Process, plant and machine operatives</v>
      </c>
      <c r="AT67" s="17">
        <f t="shared" si="153"/>
        <v>1.8091062610446833</v>
      </c>
      <c r="AU67" s="17">
        <f t="shared" si="153"/>
        <v>1.6897014632102771</v>
      </c>
      <c r="AV67" s="17">
        <f t="shared" si="153"/>
        <v>1.5332441731714728</v>
      </c>
      <c r="AW67" s="17">
        <f t="shared" si="153"/>
        <v>2.1567475585489353</v>
      </c>
      <c r="AX67" s="17">
        <f t="shared" si="153"/>
        <v>2.6246223382320988</v>
      </c>
      <c r="AZ67" s="67">
        <f t="shared" si="110"/>
        <v>105.83799622693934</v>
      </c>
      <c r="BA67" s="68">
        <f t="shared" si="111"/>
        <v>77.694560585507105</v>
      </c>
      <c r="BB67" s="68">
        <f t="shared" si="112"/>
        <v>183.53255681244647</v>
      </c>
      <c r="BD67" t="str">
        <f t="shared" si="136"/>
        <v>81 Process, plant and machine operatives</v>
      </c>
      <c r="BE67" s="17">
        <f t="shared" si="154"/>
        <v>3.109816979539306</v>
      </c>
      <c r="BF67" s="17">
        <f t="shared" si="154"/>
        <v>3.0898101674121516</v>
      </c>
      <c r="BG67" s="17">
        <f t="shared" si="154"/>
        <v>2.7667662769447965</v>
      </c>
      <c r="BH67" s="17">
        <f t="shared" si="154"/>
        <v>3.6598233556554423</v>
      </c>
      <c r="BI67" s="17">
        <f t="shared" si="154"/>
        <v>4.1427456507124676</v>
      </c>
      <c r="BK67" s="67">
        <f t="shared" si="114"/>
        <v>46.975317140599941</v>
      </c>
      <c r="BL67" s="68">
        <f t="shared" si="115"/>
        <v>48.774047976616792</v>
      </c>
      <c r="BM67" s="68">
        <f t="shared" si="116"/>
        <v>95.74936511721674</v>
      </c>
      <c r="BO67" t="str">
        <f t="shared" si="137"/>
        <v>81 Process, plant and machine operatives</v>
      </c>
      <c r="BP67" s="17">
        <f t="shared" si="155"/>
        <v>3.9449147115843171</v>
      </c>
      <c r="BQ67" s="17">
        <f t="shared" si="155"/>
        <v>3.9434191389897606</v>
      </c>
      <c r="BR67" s="17">
        <f t="shared" si="155"/>
        <v>3.7614845846883633</v>
      </c>
      <c r="BS67" s="17">
        <f t="shared" si="155"/>
        <v>4.9040216463179549</v>
      </c>
      <c r="BT67" s="17">
        <f t="shared" si="155"/>
        <v>5.7867210985234827</v>
      </c>
      <c r="BV67" s="67">
        <f t="shared" si="118"/>
        <v>21.358835401632479</v>
      </c>
      <c r="BW67" s="68">
        <f t="shared" si="119"/>
        <v>48.118284423458704</v>
      </c>
      <c r="BX67" s="68">
        <f t="shared" si="120"/>
        <v>69.477119825091179</v>
      </c>
      <c r="BZ67" t="str">
        <f t="shared" si="138"/>
        <v>81 Process, plant and machine operatives</v>
      </c>
      <c r="CA67" s="17">
        <f t="shared" si="156"/>
        <v>4.9404937124750274</v>
      </c>
      <c r="CB67" s="17">
        <f t="shared" si="156"/>
        <v>4.7570375002049197</v>
      </c>
      <c r="CC67" s="17">
        <f t="shared" si="156"/>
        <v>4.4758735318402874</v>
      </c>
      <c r="CD67" s="17">
        <f t="shared" si="156"/>
        <v>5.449020812608615</v>
      </c>
      <c r="CE67" s="17">
        <f t="shared" si="156"/>
        <v>4.1094530445876538</v>
      </c>
      <c r="CG67" s="67">
        <f t="shared" si="122"/>
        <v>-45.239032211674271</v>
      </c>
      <c r="CH67" s="68">
        <f t="shared" si="123"/>
        <v>32.184774273504004</v>
      </c>
      <c r="CI67" s="68">
        <f t="shared" si="124"/>
        <v>-13.054257938170272</v>
      </c>
      <c r="CK67" t="str">
        <f t="shared" si="139"/>
        <v>81 Process, plant and machine operatives</v>
      </c>
      <c r="CL67" s="17">
        <f t="shared" si="157"/>
        <v>6.5931193830401718</v>
      </c>
      <c r="CM67" s="17">
        <f t="shared" si="157"/>
        <v>5.6976712204007258</v>
      </c>
      <c r="CN67" s="17">
        <f t="shared" si="157"/>
        <v>5.3835563176119292</v>
      </c>
      <c r="CO67" s="17">
        <f t="shared" si="157"/>
        <v>3.9756085941438721</v>
      </c>
      <c r="CP67" s="17">
        <f t="shared" si="157"/>
        <v>2.5454520538301146</v>
      </c>
      <c r="CR67" s="67">
        <f t="shared" si="126"/>
        <v>-69.466427336379596</v>
      </c>
      <c r="CS67" s="68">
        <f t="shared" si="127"/>
        <v>14.11896638258569</v>
      </c>
      <c r="CT67" s="68">
        <f t="shared" si="128"/>
        <v>-55.347460953793906</v>
      </c>
    </row>
    <row r="68" spans="1:98" x14ac:dyDescent="0.3">
      <c r="A68" t="str">
        <f t="shared" si="95"/>
        <v>82 Transport and mobile machine drivers and operatives</v>
      </c>
      <c r="B68" s="17">
        <f t="shared" si="149"/>
        <v>0.56630692987586251</v>
      </c>
      <c r="C68" s="17">
        <f t="shared" si="149"/>
        <v>0.6685561649626478</v>
      </c>
      <c r="D68" s="17">
        <f t="shared" si="149"/>
        <v>0.59782549623817938</v>
      </c>
      <c r="E68" s="17">
        <f t="shared" si="149"/>
        <v>0.79472158059394238</v>
      </c>
      <c r="F68" s="17">
        <f t="shared" si="149"/>
        <v>1.0100661888231528</v>
      </c>
      <c r="H68" s="67">
        <f t="shared" si="129"/>
        <v>197.69227548581415</v>
      </c>
      <c r="I68" s="68">
        <f t="shared" si="130"/>
        <v>132.42249312576482</v>
      </c>
      <c r="J68" s="68">
        <f t="shared" si="131"/>
        <v>330.114768611579</v>
      </c>
      <c r="L68" t="str">
        <f t="shared" si="132"/>
        <v>82 Transport and mobile machine drivers and operatives</v>
      </c>
      <c r="M68" s="17">
        <f t="shared" si="150"/>
        <v>0.5610023867945988</v>
      </c>
      <c r="N68" s="17">
        <f t="shared" si="150"/>
        <v>0.62325644690928139</v>
      </c>
      <c r="O68" s="17">
        <f t="shared" si="150"/>
        <v>0.57802061692481632</v>
      </c>
      <c r="P68" s="17">
        <f t="shared" si="150"/>
        <v>0.68570377376676428</v>
      </c>
      <c r="Q68" s="17">
        <f t="shared" si="150"/>
        <v>0.84125012666653309</v>
      </c>
      <c r="S68" s="67">
        <f t="shared" si="98"/>
        <v>157.99420175963937</v>
      </c>
      <c r="T68" s="68">
        <f t="shared" si="99"/>
        <v>115.28594698592659</v>
      </c>
      <c r="U68" s="68">
        <f t="shared" si="100"/>
        <v>273.2801487455659</v>
      </c>
      <c r="W68" t="str">
        <f t="shared" si="133"/>
        <v>82 Transport and mobile machine drivers and operatives</v>
      </c>
      <c r="X68" s="17">
        <f t="shared" si="151"/>
        <v>0.83775296058385595</v>
      </c>
      <c r="Y68" s="17">
        <f t="shared" si="151"/>
        <v>0.95541911118107858</v>
      </c>
      <c r="Z68" s="17">
        <f t="shared" si="151"/>
        <v>0.90515499776169028</v>
      </c>
      <c r="AA68" s="17">
        <f t="shared" si="151"/>
        <v>1.0549084963655724</v>
      </c>
      <c r="AB68" s="17">
        <f t="shared" si="151"/>
        <v>1.2553152109369352</v>
      </c>
      <c r="AD68" s="67">
        <f t="shared" si="102"/>
        <v>69.309880438966943</v>
      </c>
      <c r="AE68" s="68">
        <f t="shared" si="103"/>
        <v>92.556345734116448</v>
      </c>
      <c r="AF68" s="68">
        <f t="shared" si="104"/>
        <v>161.86622617308342</v>
      </c>
      <c r="AH68" t="str">
        <f t="shared" si="134"/>
        <v>82 Transport and mobile machine drivers and operatives</v>
      </c>
      <c r="AI68" s="17">
        <f t="shared" si="152"/>
        <v>1.3010989554277594</v>
      </c>
      <c r="AJ68" s="17">
        <f t="shared" si="152"/>
        <v>1.6402654892016459</v>
      </c>
      <c r="AK68" s="17">
        <f t="shared" si="152"/>
        <v>1.581164294662744</v>
      </c>
      <c r="AL68" s="17">
        <f t="shared" si="152"/>
        <v>1.9837106815605097</v>
      </c>
      <c r="AM68" s="17">
        <f t="shared" si="152"/>
        <v>2.3154061447961829</v>
      </c>
      <c r="AO68" s="67">
        <f t="shared" si="106"/>
        <v>62.491153468985416</v>
      </c>
      <c r="AP68" s="68">
        <f t="shared" si="107"/>
        <v>89.468419176776607</v>
      </c>
      <c r="AQ68" s="68">
        <f t="shared" si="108"/>
        <v>151.95957264576202</v>
      </c>
      <c r="AS68" t="str">
        <f t="shared" si="135"/>
        <v>82 Transport and mobile machine drivers and operatives</v>
      </c>
      <c r="AT68" s="17">
        <f t="shared" si="153"/>
        <v>2.4049666734873076</v>
      </c>
      <c r="AU68" s="17">
        <f t="shared" si="153"/>
        <v>2.6380528823407863</v>
      </c>
      <c r="AV68" s="17">
        <f t="shared" si="153"/>
        <v>2.5404916665912185</v>
      </c>
      <c r="AW68" s="17">
        <f t="shared" si="153"/>
        <v>2.9703108867981927</v>
      </c>
      <c r="AX68" s="17">
        <f t="shared" si="153"/>
        <v>3.2535640710109117</v>
      </c>
      <c r="AZ68" s="67">
        <f t="shared" si="110"/>
        <v>53.99677873023866</v>
      </c>
      <c r="BA68" s="68">
        <f t="shared" si="111"/>
        <v>87.961663707747547</v>
      </c>
      <c r="BB68" s="68">
        <f t="shared" si="112"/>
        <v>141.95844243798624</v>
      </c>
      <c r="BD68" t="str">
        <f t="shared" si="136"/>
        <v>82 Transport and mobile machine drivers and operatives</v>
      </c>
      <c r="BE68" s="17">
        <f t="shared" si="154"/>
        <v>3.4993928819820419</v>
      </c>
      <c r="BF68" s="17">
        <f t="shared" si="154"/>
        <v>3.7908597250119911</v>
      </c>
      <c r="BG68" s="17">
        <f t="shared" si="154"/>
        <v>3.5750988230343603</v>
      </c>
      <c r="BH68" s="17">
        <f t="shared" si="154"/>
        <v>3.9952887873229495</v>
      </c>
      <c r="BI68" s="17">
        <f t="shared" si="154"/>
        <v>4.3929660394855103</v>
      </c>
      <c r="BK68" s="67">
        <f t="shared" si="114"/>
        <v>20.614189919653288</v>
      </c>
      <c r="BL68" s="68">
        <f t="shared" si="115"/>
        <v>56.825097002252924</v>
      </c>
      <c r="BM68" s="68">
        <f t="shared" si="116"/>
        <v>77.439286921906216</v>
      </c>
      <c r="BO68" t="str">
        <f t="shared" si="137"/>
        <v>82 Transport and mobile machine drivers and operatives</v>
      </c>
      <c r="BP68" s="17">
        <f t="shared" si="155"/>
        <v>5.2303715351743625</v>
      </c>
      <c r="BQ68" s="17">
        <f t="shared" si="155"/>
        <v>5.9561962706301745</v>
      </c>
      <c r="BR68" s="17">
        <f t="shared" si="155"/>
        <v>5.5346998082346737</v>
      </c>
      <c r="BS68" s="17">
        <f t="shared" si="155"/>
        <v>6.3635904741544662</v>
      </c>
      <c r="BT68" s="17">
        <f t="shared" si="155"/>
        <v>7.5730124075757006</v>
      </c>
      <c r="BV68" s="67">
        <f t="shared" si="118"/>
        <v>7.9375939881363049</v>
      </c>
      <c r="BW68" s="68">
        <f t="shared" si="119"/>
        <v>57.950364380400629</v>
      </c>
      <c r="BX68" s="68">
        <f t="shared" si="120"/>
        <v>65.887958368536943</v>
      </c>
      <c r="BZ68" t="str">
        <f t="shared" si="138"/>
        <v>82 Transport and mobile machine drivers and operatives</v>
      </c>
      <c r="CA68" s="17">
        <f t="shared" si="156"/>
        <v>7.3173112266909133</v>
      </c>
      <c r="CB68" s="17">
        <f t="shared" si="156"/>
        <v>7.7221918958708367</v>
      </c>
      <c r="CC68" s="17">
        <f t="shared" si="156"/>
        <v>7.2667587490053682</v>
      </c>
      <c r="CD68" s="17">
        <f t="shared" si="156"/>
        <v>7.8183069840223149</v>
      </c>
      <c r="CE68" s="17">
        <f t="shared" si="156"/>
        <v>9.0915617062371954</v>
      </c>
      <c r="CG68" s="67">
        <f t="shared" si="122"/>
        <v>-25.378728019637425</v>
      </c>
      <c r="CH68" s="68">
        <f t="shared" si="123"/>
        <v>40.969746071412729</v>
      </c>
      <c r="CI68" s="68">
        <f t="shared" si="124"/>
        <v>15.591018051775304</v>
      </c>
      <c r="CK68" t="str">
        <f t="shared" si="139"/>
        <v>82 Transport and mobile machine drivers and operatives</v>
      </c>
      <c r="CL68" s="17">
        <f t="shared" si="157"/>
        <v>8.3029713758106745</v>
      </c>
      <c r="CM68" s="17">
        <f t="shared" si="157"/>
        <v>9.8998472921157354</v>
      </c>
      <c r="CN68" s="17">
        <f t="shared" si="157"/>
        <v>9.6353306197036463</v>
      </c>
      <c r="CO68" s="17">
        <f t="shared" si="157"/>
        <v>10.068529178450543</v>
      </c>
      <c r="CP68" s="17">
        <f t="shared" si="157"/>
        <v>7.5980694993620022</v>
      </c>
      <c r="CR68" s="67">
        <f t="shared" si="126"/>
        <v>-49.076458058536367</v>
      </c>
      <c r="CS68" s="68">
        <f t="shared" si="127"/>
        <v>29.829971115876557</v>
      </c>
      <c r="CT68" s="68">
        <f t="shared" si="128"/>
        <v>-19.246486942659804</v>
      </c>
    </row>
    <row r="69" spans="1:98" x14ac:dyDescent="0.3">
      <c r="A69" t="str">
        <f t="shared" si="95"/>
        <v>91 Elementary trades and related occupations</v>
      </c>
      <c r="B69" s="17">
        <f t="shared" si="149"/>
        <v>6.5575641078704557E-3</v>
      </c>
      <c r="C69" s="17">
        <f t="shared" si="149"/>
        <v>5.2187952178823493E-3</v>
      </c>
      <c r="D69" s="17">
        <f t="shared" si="149"/>
        <v>4.6649068185880081E-3</v>
      </c>
      <c r="E69" s="17">
        <f t="shared" si="149"/>
        <v>4.0076101766361311E-3</v>
      </c>
      <c r="F69" s="17">
        <f t="shared" si="149"/>
        <v>4.8040462461310272E-3</v>
      </c>
      <c r="H69" s="67">
        <f t="shared" si="129"/>
        <v>81.449748843132269</v>
      </c>
      <c r="I69" s="68">
        <f t="shared" si="130"/>
        <v>76.010435908467187</v>
      </c>
      <c r="J69" s="68">
        <f t="shared" si="131"/>
        <v>157.46018475159946</v>
      </c>
      <c r="L69" t="str">
        <f t="shared" si="132"/>
        <v>91 Elementary trades and related occupations</v>
      </c>
      <c r="M69" s="17">
        <f t="shared" si="150"/>
        <v>0.1933685973220356</v>
      </c>
      <c r="N69" s="17">
        <f t="shared" si="150"/>
        <v>0.17909373355010663</v>
      </c>
      <c r="O69" s="17">
        <f t="shared" si="150"/>
        <v>0.14254631935640491</v>
      </c>
      <c r="P69" s="17">
        <f t="shared" si="150"/>
        <v>0.13949511560870084</v>
      </c>
      <c r="Q69" s="17">
        <f t="shared" si="150"/>
        <v>0.16511894019032569</v>
      </c>
      <c r="S69" s="67">
        <f t="shared" si="98"/>
        <v>105.33785292913451</v>
      </c>
      <c r="T69" s="68">
        <f t="shared" si="99"/>
        <v>73.543821532083413</v>
      </c>
      <c r="U69" s="68">
        <f t="shared" si="100"/>
        <v>178.8816744612179</v>
      </c>
      <c r="W69" t="str">
        <f t="shared" si="133"/>
        <v>91 Elementary trades and related occupations</v>
      </c>
      <c r="X69" s="17">
        <f t="shared" si="151"/>
        <v>0.36480957726045854</v>
      </c>
      <c r="Y69" s="17">
        <f t="shared" si="151"/>
        <v>0.329346997068444</v>
      </c>
      <c r="Z69" s="17">
        <f t="shared" si="151"/>
        <v>0.28538976851856895</v>
      </c>
      <c r="AA69" s="17">
        <f t="shared" si="151"/>
        <v>0.25828421107351979</v>
      </c>
      <c r="AB69" s="17">
        <f t="shared" si="151"/>
        <v>0.26717183610966233</v>
      </c>
      <c r="AD69" s="67">
        <f t="shared" si="102"/>
        <v>14.289081199740803</v>
      </c>
      <c r="AE69" s="68">
        <f t="shared" si="103"/>
        <v>59.849422308467481</v>
      </c>
      <c r="AF69" s="68">
        <f t="shared" si="104"/>
        <v>74.138503508208274</v>
      </c>
      <c r="AH69" t="str">
        <f t="shared" si="134"/>
        <v>91 Elementary trades and related occupations</v>
      </c>
      <c r="AI69" s="17">
        <f t="shared" si="152"/>
        <v>0.80607994454859433</v>
      </c>
      <c r="AJ69" s="17">
        <f t="shared" si="152"/>
        <v>0.80605875840279173</v>
      </c>
      <c r="AK69" s="17">
        <f t="shared" si="152"/>
        <v>0.71432998499179157</v>
      </c>
      <c r="AL69" s="17">
        <f t="shared" si="152"/>
        <v>0.71410836001208156</v>
      </c>
      <c r="AM69" s="17">
        <f t="shared" si="152"/>
        <v>0.82870462971602865</v>
      </c>
      <c r="AO69" s="67">
        <f t="shared" si="106"/>
        <v>28.730193856120469</v>
      </c>
      <c r="AP69" s="68">
        <f t="shared" si="107"/>
        <v>64.534590676173423</v>
      </c>
      <c r="AQ69" s="68">
        <f t="shared" si="108"/>
        <v>93.264784532293888</v>
      </c>
      <c r="AS69" t="str">
        <f t="shared" si="135"/>
        <v>91 Elementary trades and related occupations</v>
      </c>
      <c r="AT69" s="17">
        <f t="shared" si="153"/>
        <v>1.020084505580795</v>
      </c>
      <c r="AU69" s="17">
        <f t="shared" si="153"/>
        <v>0.91428391947960541</v>
      </c>
      <c r="AV69" s="17">
        <f t="shared" si="153"/>
        <v>0.87353772841544208</v>
      </c>
      <c r="AW69" s="17">
        <f t="shared" si="153"/>
        <v>0.80761215038190737</v>
      </c>
      <c r="AX69" s="17">
        <f t="shared" si="153"/>
        <v>0.82833902088596278</v>
      </c>
      <c r="AZ69" s="67">
        <f t="shared" si="110"/>
        <v>14.024060050242127</v>
      </c>
      <c r="BA69" s="68">
        <f t="shared" si="111"/>
        <v>52.729347011634644</v>
      </c>
      <c r="BB69" s="68">
        <f t="shared" si="112"/>
        <v>66.753407061876771</v>
      </c>
      <c r="BD69" t="str">
        <f t="shared" si="136"/>
        <v>91 Elementary trades and related occupations</v>
      </c>
      <c r="BE69" s="17">
        <f t="shared" si="154"/>
        <v>1.3650529394478443</v>
      </c>
      <c r="BF69" s="17">
        <f t="shared" si="154"/>
        <v>1.1829862643867917</v>
      </c>
      <c r="BG69" s="17">
        <f t="shared" si="154"/>
        <v>1.0853945293942129</v>
      </c>
      <c r="BH69" s="17">
        <f t="shared" si="154"/>
        <v>1.0114490965762835</v>
      </c>
      <c r="BI69" s="17">
        <f t="shared" si="154"/>
        <v>1.1544554504423721</v>
      </c>
      <c r="BK69" s="67">
        <f t="shared" si="114"/>
        <v>4.4042456178529621</v>
      </c>
      <c r="BL69" s="68">
        <f t="shared" si="115"/>
        <v>34.53199783607878</v>
      </c>
      <c r="BM69" s="68">
        <f t="shared" si="116"/>
        <v>38.936243453931738</v>
      </c>
      <c r="BO69" t="str">
        <f t="shared" si="137"/>
        <v>91 Elementary trades and related occupations</v>
      </c>
      <c r="BP69" s="17">
        <f t="shared" si="155"/>
        <v>2.231085821698644</v>
      </c>
      <c r="BQ69" s="17">
        <f t="shared" si="155"/>
        <v>1.9693323218314438</v>
      </c>
      <c r="BR69" s="17">
        <f t="shared" si="155"/>
        <v>1.8998103040841172</v>
      </c>
      <c r="BS69" s="17">
        <f t="shared" si="155"/>
        <v>1.6454385105115727</v>
      </c>
      <c r="BT69" s="17">
        <f t="shared" si="155"/>
        <v>1.8491413017237661</v>
      </c>
      <c r="BV69" s="67">
        <f t="shared" si="118"/>
        <v>-23.218251934079607</v>
      </c>
      <c r="BW69" s="68">
        <f t="shared" si="119"/>
        <v>30.640506849590931</v>
      </c>
      <c r="BX69" s="68">
        <f t="shared" si="120"/>
        <v>7.4222549155113215</v>
      </c>
      <c r="BZ69" t="str">
        <f t="shared" si="138"/>
        <v>91 Elementary trades and related occupations</v>
      </c>
      <c r="CA69" s="17">
        <f t="shared" si="156"/>
        <v>4.0576639823207543</v>
      </c>
      <c r="CB69" s="17">
        <f t="shared" si="156"/>
        <v>3.7298419671809824</v>
      </c>
      <c r="CC69" s="17">
        <f t="shared" si="156"/>
        <v>3.5448604577345244</v>
      </c>
      <c r="CD69" s="17">
        <f t="shared" si="156"/>
        <v>3.0827715791978627</v>
      </c>
      <c r="CE69" s="17">
        <f t="shared" si="156"/>
        <v>3.6156279596844025</v>
      </c>
      <c r="CG69" s="67">
        <f t="shared" si="122"/>
        <v>-39.165563266486878</v>
      </c>
      <c r="CH69" s="68">
        <f t="shared" si="123"/>
        <v>28.197313945806719</v>
      </c>
      <c r="CI69" s="68">
        <f t="shared" si="124"/>
        <v>-10.96824932068016</v>
      </c>
      <c r="CK69" t="str">
        <f t="shared" si="139"/>
        <v>91 Elementary trades and related occupations</v>
      </c>
      <c r="CL69" s="17">
        <f t="shared" si="157"/>
        <v>5.4011078204294281</v>
      </c>
      <c r="CM69" s="17">
        <f t="shared" si="157"/>
        <v>5.0717681601446136</v>
      </c>
      <c r="CN69" s="17">
        <f t="shared" si="157"/>
        <v>5.1164962274451771</v>
      </c>
      <c r="CO69" s="17">
        <f t="shared" si="157"/>
        <v>4.5154216665085229</v>
      </c>
      <c r="CP69" s="17">
        <f t="shared" si="157"/>
        <v>4.2390354749099286</v>
      </c>
      <c r="CR69" s="67">
        <f t="shared" si="126"/>
        <v>-46.497219154242828</v>
      </c>
      <c r="CS69" s="68">
        <f t="shared" si="127"/>
        <v>21.112997691757492</v>
      </c>
      <c r="CT69" s="68">
        <f t="shared" si="128"/>
        <v>-25.384221462485336</v>
      </c>
    </row>
    <row r="70" spans="1:98" x14ac:dyDescent="0.3">
      <c r="A70" t="str">
        <f t="shared" si="95"/>
        <v>92 Elementary administration and service occupations</v>
      </c>
      <c r="B70" s="17">
        <f t="shared" si="149"/>
        <v>0.50875916479955352</v>
      </c>
      <c r="C70" s="17">
        <f t="shared" si="149"/>
        <v>0.51618464585330259</v>
      </c>
      <c r="D70" s="17">
        <f t="shared" si="149"/>
        <v>0.48898134602749171</v>
      </c>
      <c r="E70" s="17">
        <f t="shared" si="149"/>
        <v>0.55239709341012222</v>
      </c>
      <c r="F70" s="17">
        <f t="shared" si="149"/>
        <v>0.6094426521873848</v>
      </c>
      <c r="H70" s="67">
        <f t="shared" si="129"/>
        <v>119.60019360333109</v>
      </c>
      <c r="I70" s="68">
        <f t="shared" si="130"/>
        <v>92.800942454120488</v>
      </c>
      <c r="J70" s="68">
        <f t="shared" si="131"/>
        <v>212.40113605745159</v>
      </c>
      <c r="L70" t="str">
        <f t="shared" ref="L70" si="158">A70</f>
        <v>92 Elementary administration and service occupations</v>
      </c>
      <c r="M70" s="17">
        <f t="shared" si="150"/>
        <v>1.9947282356889817</v>
      </c>
      <c r="N70" s="17">
        <f t="shared" si="150"/>
        <v>2.1363237891481615</v>
      </c>
      <c r="O70" s="17">
        <f t="shared" si="150"/>
        <v>2.1021951218248991</v>
      </c>
      <c r="P70" s="17">
        <f t="shared" si="150"/>
        <v>2.4900970806258407</v>
      </c>
      <c r="Q70" s="17">
        <f t="shared" si="150"/>
        <v>3.2119355753842513</v>
      </c>
      <c r="S70" s="67">
        <f t="shared" si="98"/>
        <v>170.84569303303346</v>
      </c>
      <c r="T70" s="68">
        <f t="shared" si="99"/>
        <v>106.19910600072413</v>
      </c>
      <c r="U70" s="68">
        <f t="shared" si="100"/>
        <v>277.04479903375756</v>
      </c>
      <c r="W70" t="str">
        <f t="shared" ref="W70" si="159">A70</f>
        <v>92 Elementary administration and service occupations</v>
      </c>
      <c r="X70" s="17">
        <f t="shared" si="151"/>
        <v>3.5562939765358936</v>
      </c>
      <c r="Y70" s="17">
        <f t="shared" si="151"/>
        <v>3.8504682028477446</v>
      </c>
      <c r="Z70" s="17">
        <f t="shared" si="151"/>
        <v>3.7755846085682361</v>
      </c>
      <c r="AA70" s="17">
        <f t="shared" si="151"/>
        <v>4.25516496635501</v>
      </c>
      <c r="AB70" s="17">
        <f t="shared" si="151"/>
        <v>4.8970326237325166</v>
      </c>
      <c r="AD70" s="67">
        <f t="shared" si="102"/>
        <v>58.343870219113001</v>
      </c>
      <c r="AE70" s="68">
        <f t="shared" si="103"/>
        <v>83.794468500769341</v>
      </c>
      <c r="AF70" s="68">
        <f t="shared" si="104"/>
        <v>142.13833871988234</v>
      </c>
      <c r="AH70" t="str">
        <f t="shared" ref="AH70" si="160">L70</f>
        <v>92 Elementary administration and service occupations</v>
      </c>
      <c r="AI70" s="17">
        <f t="shared" si="152"/>
        <v>5.6815729434164437</v>
      </c>
      <c r="AJ70" s="17">
        <f t="shared" si="152"/>
        <v>6.7732234323162164</v>
      </c>
      <c r="AK70" s="17">
        <f t="shared" si="152"/>
        <v>6.7858898152298188</v>
      </c>
      <c r="AL70" s="17">
        <f t="shared" si="152"/>
        <v>8.0366308705848386</v>
      </c>
      <c r="AM70" s="17">
        <f t="shared" si="152"/>
        <v>9.7224448324801624</v>
      </c>
      <c r="AO70" s="67">
        <f t="shared" si="106"/>
        <v>58.982097590876073</v>
      </c>
      <c r="AP70" s="68">
        <f t="shared" si="107"/>
        <v>79.542283782851356</v>
      </c>
      <c r="AQ70" s="68">
        <f t="shared" si="108"/>
        <v>138.52438137372744</v>
      </c>
      <c r="AS70" t="str">
        <f t="shared" ref="AS70" si="161">W70</f>
        <v>92 Elementary administration and service occupations</v>
      </c>
      <c r="AT70" s="17">
        <f t="shared" si="153"/>
        <v>5.5833670593051448</v>
      </c>
      <c r="AU70" s="17">
        <f t="shared" si="153"/>
        <v>5.832375714570043</v>
      </c>
      <c r="AV70" s="17">
        <f t="shared" si="153"/>
        <v>5.9763022262756555</v>
      </c>
      <c r="AW70" s="17">
        <f t="shared" si="153"/>
        <v>6.6170069477596076</v>
      </c>
      <c r="AX70" s="17">
        <f t="shared" si="153"/>
        <v>7.600268875461702</v>
      </c>
      <c r="AZ70" s="67">
        <f t="shared" si="110"/>
        <v>52.920761584813981</v>
      </c>
      <c r="BA70" s="68">
        <f t="shared" si="111"/>
        <v>76.383386026917421</v>
      </c>
      <c r="BB70" s="68">
        <f t="shared" si="112"/>
        <v>129.30414761173139</v>
      </c>
      <c r="BD70" t="str">
        <f t="shared" ref="BD70" si="162">AH70</f>
        <v>92 Elementary administration and service occupations</v>
      </c>
      <c r="BE70" s="17">
        <f t="shared" si="154"/>
        <v>8.9566122974370117</v>
      </c>
      <c r="BF70" s="17">
        <f t="shared" si="154"/>
        <v>8.4758730728429583</v>
      </c>
      <c r="BG70" s="17">
        <f t="shared" si="154"/>
        <v>8.1300947322224673</v>
      </c>
      <c r="BH70" s="17">
        <f t="shared" si="154"/>
        <v>8.0967450463132273</v>
      </c>
      <c r="BI70" s="17">
        <f t="shared" si="154"/>
        <v>7.9586780578431808</v>
      </c>
      <c r="BK70" s="67">
        <f t="shared" si="114"/>
        <v>-3.9109409500176606</v>
      </c>
      <c r="BL70" s="68">
        <f t="shared" si="115"/>
        <v>47.955808427056077</v>
      </c>
      <c r="BM70" s="68">
        <f t="shared" si="116"/>
        <v>44.044867477038416</v>
      </c>
      <c r="BO70" t="str">
        <f t="shared" ref="BO70" si="163">AS70</f>
        <v>92 Elementary administration and service occupations</v>
      </c>
      <c r="BP70" s="17">
        <f t="shared" si="155"/>
        <v>14.119805196299358</v>
      </c>
      <c r="BQ70" s="17">
        <f t="shared" si="155"/>
        <v>14.607697914610531</v>
      </c>
      <c r="BR70" s="17">
        <f t="shared" si="155"/>
        <v>13.981594554512689</v>
      </c>
      <c r="BS70" s="17">
        <f t="shared" si="155"/>
        <v>15.008962799355196</v>
      </c>
      <c r="BT70" s="17">
        <f t="shared" si="155"/>
        <v>15.765462258674107</v>
      </c>
      <c r="BV70" s="67">
        <f t="shared" si="118"/>
        <v>-11.049551874262484</v>
      </c>
      <c r="BW70" s="68">
        <f t="shared" si="119"/>
        <v>46.164383673268738</v>
      </c>
      <c r="BX70" s="68">
        <f t="shared" si="120"/>
        <v>35.114831799006261</v>
      </c>
      <c r="BZ70" t="str">
        <f t="shared" ref="BZ70" si="164">BD70</f>
        <v>92 Elementary administration and service occupations</v>
      </c>
      <c r="CA70" s="17">
        <f t="shared" si="156"/>
        <v>19.117862154291206</v>
      </c>
      <c r="CB70" s="17">
        <f t="shared" si="156"/>
        <v>20.063736531851468</v>
      </c>
      <c r="CC70" s="17">
        <f t="shared" si="156"/>
        <v>19.447664517610871</v>
      </c>
      <c r="CD70" s="17">
        <f t="shared" si="156"/>
        <v>21.103884786140586</v>
      </c>
      <c r="CE70" s="17">
        <f t="shared" si="156"/>
        <v>21.962150950174607</v>
      </c>
      <c r="CG70" s="67">
        <f t="shared" si="122"/>
        <v>-32.644615874194635</v>
      </c>
      <c r="CH70" s="68">
        <f t="shared" si="123"/>
        <v>35.109134771682456</v>
      </c>
      <c r="CI70" s="68">
        <f t="shared" si="124"/>
        <v>2.4645188974878209</v>
      </c>
      <c r="CK70" t="str">
        <f t="shared" ref="CK70" si="165">BO70</f>
        <v>92 Elementary administration and service occupations</v>
      </c>
      <c r="CL70" s="17">
        <f t="shared" si="157"/>
        <v>25.804429960289816</v>
      </c>
      <c r="CM70" s="17">
        <f t="shared" si="157"/>
        <v>22.771685231478497</v>
      </c>
      <c r="CN70" s="17">
        <f t="shared" si="157"/>
        <v>21.352322158667224</v>
      </c>
      <c r="CO70" s="17">
        <f t="shared" si="157"/>
        <v>18.675870206989558</v>
      </c>
      <c r="CP70" s="17">
        <f t="shared" si="157"/>
        <v>16.41272227501717</v>
      </c>
      <c r="CR70" s="67">
        <f t="shared" si="126"/>
        <v>-50.361634796208989</v>
      </c>
      <c r="CS70" s="68">
        <f t="shared" si="127"/>
        <v>18.765495328747974</v>
      </c>
      <c r="CT70" s="68">
        <f t="shared" si="128"/>
        <v>-31.596139467461015</v>
      </c>
    </row>
    <row r="71" spans="1:98" x14ac:dyDescent="0.3">
      <c r="B71" s="17"/>
      <c r="C71" s="17"/>
      <c r="D71" s="17"/>
      <c r="E71" s="17"/>
      <c r="F71" s="17"/>
      <c r="H71" s="67"/>
      <c r="I71" s="68"/>
      <c r="J71" s="68"/>
      <c r="M71" s="17"/>
      <c r="N71" s="17"/>
      <c r="O71" s="17"/>
      <c r="P71" s="17"/>
      <c r="Q71" s="17"/>
      <c r="S71" s="67"/>
      <c r="T71" s="68"/>
      <c r="U71" s="68"/>
      <c r="X71" s="17"/>
      <c r="Y71" s="17"/>
      <c r="Z71" s="17"/>
      <c r="AA71" s="17"/>
      <c r="AB71" s="17"/>
      <c r="AD71" s="67"/>
      <c r="AE71" s="68"/>
      <c r="AF71" s="68"/>
      <c r="AI71" s="17"/>
      <c r="AJ71" s="17"/>
      <c r="AK71" s="17"/>
      <c r="AL71" s="17"/>
      <c r="AM71" s="17"/>
      <c r="AO71" s="67"/>
      <c r="AP71" s="68"/>
      <c r="AQ71" s="68"/>
      <c r="AT71" s="17"/>
      <c r="AU71" s="17"/>
      <c r="AV71" s="17"/>
      <c r="AW71" s="17"/>
      <c r="AX71" s="17"/>
      <c r="AZ71" s="67"/>
      <c r="BA71" s="68"/>
      <c r="BB71" s="68"/>
      <c r="BE71" s="17"/>
      <c r="BF71" s="17"/>
      <c r="BG71" s="17"/>
      <c r="BH71" s="17"/>
      <c r="BI71" s="17"/>
      <c r="BK71" s="67"/>
      <c r="BL71" s="68"/>
      <c r="BM71" s="68"/>
      <c r="BP71" s="17"/>
      <c r="BQ71" s="17"/>
      <c r="BR71" s="17"/>
      <c r="BS71" s="17"/>
      <c r="BT71" s="17"/>
      <c r="BV71" s="67"/>
      <c r="BW71" s="68"/>
      <c r="BX71" s="68"/>
      <c r="CA71" s="17"/>
      <c r="CB71" s="17"/>
      <c r="CC71" s="17"/>
      <c r="CD71" s="17"/>
      <c r="CE71" s="17"/>
      <c r="CG71" s="67"/>
      <c r="CH71" s="68"/>
      <c r="CI71" s="68"/>
      <c r="CL71" s="17"/>
      <c r="CM71" s="17"/>
      <c r="CN71" s="17"/>
      <c r="CO71" s="17"/>
      <c r="CP71" s="17"/>
      <c r="CR71" s="67"/>
      <c r="CS71" s="68"/>
      <c r="CT71" s="68"/>
    </row>
    <row r="72" spans="1:98" x14ac:dyDescent="0.3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76.194425957306422</v>
      </c>
      <c r="I72" s="66">
        <f>IF(D35&gt;0,I35/D35*100,0)</f>
        <v>68.057384445439268</v>
      </c>
      <c r="J72" s="66">
        <f>IF(D35&gt;0,(J35/D35)*100,0)</f>
        <v>144.25181040274569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166">IF(O35&gt;0,(S35/O35)*100,0)</f>
        <v>77.267096832479837</v>
      </c>
      <c r="T72" s="66">
        <f t="shared" ref="T72" si="167">IF(O35&gt;0,T35/O35*100,0)</f>
        <v>71.355330975693192</v>
      </c>
      <c r="U72" s="66">
        <f t="shared" ref="U72" si="168">IF(O35&gt;0,(U35/O35)*100,0)</f>
        <v>148.62242780817303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169">IF(Z35&gt;0,(AD35/Z35)*100,0)</f>
        <v>22.082233302488266</v>
      </c>
      <c r="AE72" s="66">
        <f t="shared" ref="AE72" si="170">IF(Z35&gt;0,AE35/Z35*100,0)</f>
        <v>60.604414676782291</v>
      </c>
      <c r="AF72" s="66">
        <f t="shared" ref="AF72" si="171">IF(Z35&gt;0,(AF35/Z35)*100,0)</f>
        <v>82.68664797927056</v>
      </c>
      <c r="AH72" s="23" t="str">
        <f>AH35</f>
        <v>All occupations</v>
      </c>
      <c r="AI72" s="25">
        <f>AI35/AI$35*100</f>
        <v>100</v>
      </c>
      <c r="AJ72" s="25">
        <f>AJ35/AJ$35*100</f>
        <v>100</v>
      </c>
      <c r="AK72" s="25">
        <f>AK35/AK$35*100</f>
        <v>100</v>
      </c>
      <c r="AL72" s="25">
        <f>AL35/AL$35*100</f>
        <v>100</v>
      </c>
      <c r="AM72" s="25">
        <f>AM35/AM$35*100</f>
        <v>100</v>
      </c>
      <c r="AO72" s="69">
        <f t="shared" ref="AO72" si="172">IF(AK35&gt;0,(AO35/AK35)*100,0)</f>
        <v>10.963344656036682</v>
      </c>
      <c r="AP72" s="66">
        <f t="shared" ref="AP72" si="173">IF(AK35&gt;0,AP35/AK35*100,0)</f>
        <v>55.56374507608357</v>
      </c>
      <c r="AQ72" s="66">
        <f t="shared" ref="AQ72" si="174">IF(AK35&gt;0,(AQ35/AK35)*100,0)</f>
        <v>66.52708973212026</v>
      </c>
      <c r="AS72" s="23" t="str">
        <f>AS35</f>
        <v>All occupations</v>
      </c>
      <c r="AT72" s="25">
        <f>AT35/AT$35*100</f>
        <v>100</v>
      </c>
      <c r="AU72" s="25">
        <f>AU35/AU$35*100</f>
        <v>100</v>
      </c>
      <c r="AV72" s="25">
        <f>AV35/AV$35*100</f>
        <v>100</v>
      </c>
      <c r="AW72" s="25">
        <f>AW35/AW$35*100</f>
        <v>100</v>
      </c>
      <c r="AX72" s="25">
        <f>AX35/AX$35*100</f>
        <v>100</v>
      </c>
      <c r="AZ72" s="69">
        <f t="shared" ref="AZ72" si="175">IF(AV35&gt;0,(AZ35/AV35)*100,0)</f>
        <v>20.245836414251173</v>
      </c>
      <c r="BA72" s="66">
        <f t="shared" ref="BA72" si="176">IF(AV35&gt;0,BA35/AV35*100,0)</f>
        <v>57.257414538677139</v>
      </c>
      <c r="BB72" s="66">
        <f t="shared" ref="BB72" si="177">IF(AV35&gt;0,(BB35/AV35)*100,0)</f>
        <v>77.503250952928312</v>
      </c>
      <c r="BD72" s="23" t="str">
        <f>BD35</f>
        <v>All occupations</v>
      </c>
      <c r="BE72" s="25">
        <f>BE35/BE$35*100</f>
        <v>100</v>
      </c>
      <c r="BF72" s="25">
        <f>BF35/BF$35*100</f>
        <v>100</v>
      </c>
      <c r="BG72" s="25">
        <f>BG35/BG$35*100</f>
        <v>100</v>
      </c>
      <c r="BH72" s="25">
        <f>BH35/BH$35*100</f>
        <v>100</v>
      </c>
      <c r="BI72" s="25">
        <f>BI35/BI$35*100</f>
        <v>100</v>
      </c>
      <c r="BK72" s="69">
        <f t="shared" ref="BK72" si="178">IF(BG35&gt;0,(BK35/BG35)*100,0)</f>
        <v>-1.8413426038010323</v>
      </c>
      <c r="BL72" s="66">
        <f t="shared" ref="BL72" si="179">IF(BG35&gt;0,BL35/BG35*100,0)</f>
        <v>44.422909639035559</v>
      </c>
      <c r="BM72" s="66">
        <f t="shared" ref="BM72" si="180">IF(BG35&gt;0,(BM35/BG35)*100,0)</f>
        <v>42.581567035234528</v>
      </c>
      <c r="BO72" s="23" t="str">
        <f>BO35</f>
        <v>All occupations</v>
      </c>
      <c r="BP72" s="25">
        <f>BP35/BP$35*100</f>
        <v>100</v>
      </c>
      <c r="BQ72" s="25">
        <f>BQ35/BQ$35*100</f>
        <v>100</v>
      </c>
      <c r="BR72" s="25">
        <f>BR35/BR$35*100</f>
        <v>100</v>
      </c>
      <c r="BS72" s="25">
        <f>BS35/BS$35*100</f>
        <v>100</v>
      </c>
      <c r="BT72" s="25">
        <f>BT35/BT$35*100</f>
        <v>100</v>
      </c>
      <c r="BV72" s="69">
        <f t="shared" ref="BV72" si="181">IF(BR35&gt;0,(BV35/BR35)*100,0)</f>
        <v>-21.114326955303049</v>
      </c>
      <c r="BW72" s="66">
        <f t="shared" ref="BW72" si="182">IF(BR35&gt;0,BW35/BR35*100,0)</f>
        <v>40.492342647223815</v>
      </c>
      <c r="BX72" s="66">
        <f t="shared" ref="BX72" si="183">IF(BR35&gt;0,(BX35/BR35)*100,0)</f>
        <v>19.378015691920762</v>
      </c>
      <c r="BZ72" s="23" t="str">
        <f>BZ35</f>
        <v>All occupations</v>
      </c>
      <c r="CA72" s="25">
        <f>CA35/CA$35*100</f>
        <v>100</v>
      </c>
      <c r="CB72" s="25">
        <f>CB35/CB$35*100</f>
        <v>100</v>
      </c>
      <c r="CC72" s="25">
        <f>CC35/CC$35*100</f>
        <v>100</v>
      </c>
      <c r="CD72" s="25">
        <f>CD35/CD$35*100</f>
        <v>100</v>
      </c>
      <c r="CE72" s="25">
        <f>CE35/CE$35*100</f>
        <v>100</v>
      </c>
      <c r="CG72" s="69">
        <f t="shared" ref="CG72" si="184">IF(CC35&gt;0,(CG35/CC35)*100,0)</f>
        <v>-40.356255773614862</v>
      </c>
      <c r="CH72" s="66">
        <f t="shared" ref="CH72" si="185">IF(CC35&gt;0,CH35/CC35*100,0)</f>
        <v>31.455168918198375</v>
      </c>
      <c r="CI72" s="66">
        <f t="shared" ref="CI72" si="186">IF(CC35&gt;0,(CI35/CC35)*100,0)</f>
        <v>-8.9010868554164908</v>
      </c>
      <c r="CK72" s="23" t="str">
        <f>CK35</f>
        <v>All occupations</v>
      </c>
      <c r="CL72" s="25">
        <f>CL35/CL$35*100</f>
        <v>100</v>
      </c>
      <c r="CM72" s="25">
        <f>CM35/CM$35*100</f>
        <v>100</v>
      </c>
      <c r="CN72" s="25">
        <f>CN35/CN$35*100</f>
        <v>100</v>
      </c>
      <c r="CO72" s="25">
        <f>CO35/CO$35*100</f>
        <v>100</v>
      </c>
      <c r="CP72" s="25">
        <f>CP35/CP$35*100</f>
        <v>100</v>
      </c>
      <c r="CR72" s="69">
        <f t="shared" ref="CR72" si="187">IF(CN35&gt;0,(CR35/CN35)*100,0)</f>
        <v>-35.422390783139349</v>
      </c>
      <c r="CS72" s="66">
        <f t="shared" ref="CS72" si="188">IF(CN35&gt;0,CS35/CN35*100,0)</f>
        <v>25.0722745879991</v>
      </c>
      <c r="CT72" s="66">
        <f t="shared" ref="CT72" si="189">IF(CN35&gt;0,(CT35/CN35)*100,0)</f>
        <v>-10.350116195140249</v>
      </c>
    </row>
    <row r="75" spans="1:98" ht="51" customHeight="1" x14ac:dyDescent="0.3">
      <c r="A75" s="379" t="str">
        <f>CONCATENATE(A$1," (Continued)")</f>
        <v>Basic Table 2  Employment Change by Occupation and Replacement Demand, RQF8 Doctorate, 2015-2035, United Kingdom (Continued)</v>
      </c>
      <c r="B75" s="379"/>
      <c r="C75" s="379"/>
      <c r="D75" s="379"/>
      <c r="E75" s="379"/>
      <c r="F75" s="379"/>
      <c r="G75" s="379"/>
      <c r="H75" s="379"/>
      <c r="I75" s="379"/>
      <c r="J75" s="379"/>
      <c r="L75" s="379" t="str">
        <f>CONCATENATE(L$1," (Continued)")</f>
        <v>Basic Table 2.1  Employment Change by Occupation and Replacement Demand, RQF7 Other higher degree, 2015-2035, United Kingdom (Continued)</v>
      </c>
      <c r="M75" s="379"/>
      <c r="N75" s="379"/>
      <c r="O75" s="379"/>
      <c r="P75" s="379"/>
      <c r="Q75" s="379"/>
      <c r="R75" s="379"/>
      <c r="S75" s="379"/>
      <c r="T75" s="379"/>
      <c r="U75" s="379"/>
      <c r="W75" s="379" t="str">
        <f>CONCATENATE(W$1," (Continued)")</f>
        <v>Basic Table 2.2  Employment Change by Occupation and Replacement Demand, RQF6 First degree, 2015-2035, United Kingdom (Continued)</v>
      </c>
      <c r="X75" s="379"/>
      <c r="Y75" s="379"/>
      <c r="Z75" s="379"/>
      <c r="AA75" s="379"/>
      <c r="AB75" s="379"/>
      <c r="AC75" s="379"/>
      <c r="AD75" s="379"/>
      <c r="AE75" s="379"/>
      <c r="AF75" s="379"/>
      <c r="AH75" s="379" t="str">
        <f>CONCATENATE(AH$1," (Continued)")</f>
        <v>Basic Table 2.3  Employment Change by Occupation and Replacement Demand, RQF5 Foundation degree;Nursing;Teaching, 2015-2035, United Kingdom (Continued)</v>
      </c>
      <c r="AI75" s="379"/>
      <c r="AJ75" s="379"/>
      <c r="AK75" s="379"/>
      <c r="AL75" s="379"/>
      <c r="AM75" s="379"/>
      <c r="AN75" s="379"/>
      <c r="AO75" s="379"/>
      <c r="AP75" s="379"/>
      <c r="AQ75" s="379"/>
      <c r="AS75" s="379" t="str">
        <f>CONCATENATE(AS$1," (Continued)")</f>
        <v>Basic Table 2.4  Employment Change by Occupation and Replacement Demand, RQF4 HE below degree level, 2015-2035, United Kingdom (Continued)</v>
      </c>
      <c r="AT75" s="379"/>
      <c r="AU75" s="379"/>
      <c r="AV75" s="379"/>
      <c r="AW75" s="379"/>
      <c r="AX75" s="379"/>
      <c r="AY75" s="379"/>
      <c r="AZ75" s="379"/>
      <c r="BA75" s="379"/>
      <c r="BB75" s="379"/>
      <c r="BD75" s="379" t="str">
        <f>CONCATENATE(BD$1," (Continued)")</f>
        <v>Basic Table 2.5  Employment Change by Occupation and Replacement Demand, RQF3 A level &amp; equivalent, 2015-2035, United Kingdom (Continued)</v>
      </c>
      <c r="BE75" s="379"/>
      <c r="BF75" s="379"/>
      <c r="BG75" s="379"/>
      <c r="BH75" s="379"/>
      <c r="BI75" s="379"/>
      <c r="BJ75" s="379"/>
      <c r="BK75" s="379"/>
      <c r="BL75" s="379"/>
      <c r="BM75" s="379"/>
      <c r="BO75" s="379" t="str">
        <f>CONCATENATE(BO$1," (Continued)")</f>
        <v>Basic Table 2.6  Employment Change by Occupation and Replacement Demand, RQF2 GCSE(A-C) &amp; equivalent, 2015-2035, United Kingdom (Continued)</v>
      </c>
      <c r="BP75" s="379"/>
      <c r="BQ75" s="379"/>
      <c r="BR75" s="379"/>
      <c r="BS75" s="379"/>
      <c r="BT75" s="379"/>
      <c r="BU75" s="379"/>
      <c r="BV75" s="379"/>
      <c r="BW75" s="379"/>
      <c r="BX75" s="379"/>
      <c r="BZ75" s="379" t="str">
        <f>CONCATENATE(BZ$1," (Continued)")</f>
        <v>Basic Table 2.7  Employment Change by Occupation and Replacement Demand, RQF1 GCSE(below grade C) &amp; equivalent, 2015-2035, United Kingdom (Continued)</v>
      </c>
      <c r="CA75" s="379"/>
      <c r="CB75" s="379"/>
      <c r="CC75" s="379"/>
      <c r="CD75" s="379"/>
      <c r="CE75" s="379"/>
      <c r="CF75" s="379"/>
      <c r="CG75" s="379"/>
      <c r="CH75" s="379"/>
      <c r="CI75" s="379"/>
      <c r="CK75" s="379" t="str">
        <f>CONCATENATE(CK$1," (Continued)")</f>
        <v>Basic Table 2.8  Employment Change by Occupation and Replacement Demand, No Qualification, 2015-2035, United Kingdom (Continued)</v>
      </c>
      <c r="CL75" s="379"/>
      <c r="CM75" s="379"/>
      <c r="CN75" s="379"/>
      <c r="CO75" s="379"/>
      <c r="CP75" s="379"/>
      <c r="CQ75" s="379"/>
      <c r="CR75" s="379"/>
      <c r="CS75" s="379"/>
      <c r="CT75" s="379"/>
    </row>
    <row r="77" spans="1:98" x14ac:dyDescent="0.3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  <c r="AM77" s="15" t="s">
        <v>36</v>
      </c>
      <c r="AQ77" s="15" t="s">
        <v>36</v>
      </c>
      <c r="AX77" s="15" t="s">
        <v>36</v>
      </c>
      <c r="BB77" s="15" t="s">
        <v>36</v>
      </c>
      <c r="BI77" s="15" t="s">
        <v>36</v>
      </c>
      <c r="BM77" s="15" t="s">
        <v>36</v>
      </c>
      <c r="BT77" s="15" t="s">
        <v>36</v>
      </c>
      <c r="BX77" s="15" t="s">
        <v>36</v>
      </c>
      <c r="CE77" s="15" t="s">
        <v>36</v>
      </c>
      <c r="CI77" s="15" t="s">
        <v>36</v>
      </c>
      <c r="CP77" s="15" t="s">
        <v>36</v>
      </c>
      <c r="CT77" s="15" t="s">
        <v>36</v>
      </c>
    </row>
    <row r="78" spans="1:98" x14ac:dyDescent="0.3">
      <c r="A78" s="35"/>
      <c r="B78" s="35"/>
      <c r="C78" s="35"/>
      <c r="D78" s="35"/>
      <c r="E78" s="35"/>
      <c r="F78" s="35"/>
      <c r="H78" s="27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27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27" t="str">
        <f>$H$4</f>
        <v>2020-2035</v>
      </c>
      <c r="AE78" s="35"/>
      <c r="AF78" s="35"/>
      <c r="AH78" s="35"/>
      <c r="AI78" s="35"/>
      <c r="AJ78" s="35"/>
      <c r="AK78" s="35"/>
      <c r="AL78" s="35"/>
      <c r="AM78" s="35"/>
      <c r="AO78" s="27" t="str">
        <f>$H$4</f>
        <v>2020-2035</v>
      </c>
      <c r="AP78" s="35"/>
      <c r="AQ78" s="35"/>
      <c r="AS78" s="35"/>
      <c r="AT78" s="35"/>
      <c r="AU78" s="35"/>
      <c r="AV78" s="35"/>
      <c r="AW78" s="35"/>
      <c r="AX78" s="35"/>
      <c r="AZ78" s="27" t="str">
        <f>$H$4</f>
        <v>2020-2035</v>
      </c>
      <c r="BA78" s="35"/>
      <c r="BB78" s="35"/>
      <c r="BD78" s="35"/>
      <c r="BE78" s="35"/>
      <c r="BF78" s="35"/>
      <c r="BG78" s="35"/>
      <c r="BH78" s="35"/>
      <c r="BI78" s="35"/>
      <c r="BK78" s="27" t="str">
        <f>$H$4</f>
        <v>2020-2035</v>
      </c>
      <c r="BL78" s="35"/>
      <c r="BM78" s="35"/>
      <c r="BO78" s="35"/>
      <c r="BP78" s="35"/>
      <c r="BQ78" s="35"/>
      <c r="BR78" s="35"/>
      <c r="BS78" s="35"/>
      <c r="BT78" s="35"/>
      <c r="BV78" s="27" t="str">
        <f>$H$4</f>
        <v>2020-2035</v>
      </c>
      <c r="BW78" s="35"/>
      <c r="BX78" s="35"/>
      <c r="BZ78" s="35"/>
      <c r="CA78" s="35"/>
      <c r="CB78" s="35"/>
      <c r="CC78" s="35"/>
      <c r="CD78" s="35"/>
      <c r="CE78" s="35"/>
      <c r="CG78" s="27" t="str">
        <f>$H$4</f>
        <v>2020-2035</v>
      </c>
      <c r="CH78" s="35"/>
      <c r="CI78" s="35"/>
      <c r="CK78" s="35"/>
      <c r="CL78" s="35"/>
      <c r="CM78" s="35"/>
      <c r="CN78" s="35"/>
      <c r="CO78" s="35"/>
      <c r="CP78" s="35"/>
      <c r="CR78" s="27" t="str">
        <f>$H$4</f>
        <v>2020-2035</v>
      </c>
      <c r="CS78" s="35"/>
      <c r="CT78" s="35"/>
    </row>
    <row r="79" spans="1:98" x14ac:dyDescent="0.3">
      <c r="H79" s="15" t="str">
        <f t="shared" ref="H79:J80" si="190">H42</f>
        <v>Net</v>
      </c>
      <c r="I79" s="15" t="str">
        <f t="shared" si="190"/>
        <v>Replacement</v>
      </c>
      <c r="J79" s="15" t="str">
        <f t="shared" si="190"/>
        <v>Total</v>
      </c>
      <c r="S79" s="15" t="str">
        <f t="shared" ref="S79:U80" si="191">S42</f>
        <v>Net</v>
      </c>
      <c r="T79" s="15" t="str">
        <f t="shared" si="191"/>
        <v>Replacement</v>
      </c>
      <c r="U79" s="15" t="str">
        <f t="shared" si="191"/>
        <v>Total</v>
      </c>
      <c r="AD79" s="15" t="str">
        <f t="shared" ref="AD79:AF80" si="192">AD42</f>
        <v>Net</v>
      </c>
      <c r="AE79" s="15" t="str">
        <f t="shared" si="192"/>
        <v>Replacement</v>
      </c>
      <c r="AF79" s="15" t="str">
        <f t="shared" si="192"/>
        <v>Total</v>
      </c>
      <c r="AO79" s="15" t="str">
        <f t="shared" ref="AO79:AQ80" si="193">AO42</f>
        <v>Net</v>
      </c>
      <c r="AP79" s="15" t="str">
        <f t="shared" si="193"/>
        <v>Replacement</v>
      </c>
      <c r="AQ79" s="15" t="str">
        <f t="shared" si="193"/>
        <v>Total</v>
      </c>
      <c r="AZ79" s="15" t="str">
        <f t="shared" ref="AZ79:BB80" si="194">AZ42</f>
        <v>Net</v>
      </c>
      <c r="BA79" s="15" t="str">
        <f t="shared" si="194"/>
        <v>Replacement</v>
      </c>
      <c r="BB79" s="15" t="str">
        <f t="shared" si="194"/>
        <v>Total</v>
      </c>
      <c r="BK79" s="15" t="str">
        <f t="shared" ref="BK79:BM80" si="195">BK42</f>
        <v>Net</v>
      </c>
      <c r="BL79" s="15" t="str">
        <f t="shared" si="195"/>
        <v>Replacement</v>
      </c>
      <c r="BM79" s="15" t="str">
        <f t="shared" si="195"/>
        <v>Total</v>
      </c>
      <c r="BV79" s="15" t="str">
        <f t="shared" ref="BV79:BX80" si="196">BV42</f>
        <v>Net</v>
      </c>
      <c r="BW79" s="15" t="str">
        <f t="shared" si="196"/>
        <v>Replacement</v>
      </c>
      <c r="BX79" s="15" t="str">
        <f t="shared" si="196"/>
        <v>Total</v>
      </c>
      <c r="CG79" s="15" t="str">
        <f t="shared" ref="CG79:CI80" si="197">CG42</f>
        <v>Net</v>
      </c>
      <c r="CH79" s="15" t="str">
        <f t="shared" si="197"/>
        <v>Replacement</v>
      </c>
      <c r="CI79" s="15" t="str">
        <f t="shared" si="197"/>
        <v>Total</v>
      </c>
      <c r="CR79" s="15" t="str">
        <f t="shared" ref="CR79:CT80" si="198">CR42</f>
        <v>Net</v>
      </c>
      <c r="CS79" s="15" t="str">
        <f t="shared" si="198"/>
        <v>Replacement</v>
      </c>
      <c r="CT79" s="15" t="str">
        <f t="shared" si="198"/>
        <v>Total</v>
      </c>
    </row>
    <row r="80" spans="1:98" x14ac:dyDescent="0.3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CONCATENATE(C$6,"-",F$6)</f>
        <v>2019-2035</v>
      </c>
      <c r="H80" s="62" t="str">
        <f t="shared" si="190"/>
        <v>Change</v>
      </c>
      <c r="I80" s="62" t="str">
        <f t="shared" si="190"/>
        <v>Demand</v>
      </c>
      <c r="J80" s="62" t="str">
        <f t="shared" si="1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CONCATENATE(N$6,"-",Q$6)</f>
        <v>2019-2035</v>
      </c>
      <c r="S80" s="62" t="str">
        <f t="shared" si="191"/>
        <v>Change</v>
      </c>
      <c r="T80" s="62" t="str">
        <f t="shared" si="191"/>
        <v>Demand</v>
      </c>
      <c r="U80" s="62" t="str">
        <f t="shared" si="191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CONCATENATE(Y$6,"-",AB$6)</f>
        <v>2019-2035</v>
      </c>
      <c r="AD80" s="62" t="str">
        <f t="shared" si="192"/>
        <v>Change</v>
      </c>
      <c r="AE80" s="62" t="str">
        <f t="shared" si="192"/>
        <v>Demand</v>
      </c>
      <c r="AF80" s="62" t="str">
        <f t="shared" si="192"/>
        <v>Requirement</v>
      </c>
      <c r="AH80" s="40" t="s">
        <v>14</v>
      </c>
      <c r="AI80" s="63" t="str">
        <f>CONCATENATE(AI$6,"-",AJ$6)</f>
        <v>2015-2019</v>
      </c>
      <c r="AJ80" s="63" t="str">
        <f>CONCATENATE(AJ$6,"-",AK$6)</f>
        <v>2019-2020</v>
      </c>
      <c r="AK80" s="63" t="str">
        <f>CONCATENATE(AK$6,"-",AL$6)</f>
        <v>2020-2025</v>
      </c>
      <c r="AL80" s="63" t="str">
        <f>CONCATENATE(AL$6,"-",AM$6)</f>
        <v>2025-2035</v>
      </c>
      <c r="AM80" s="63" t="str">
        <f>CONCATENATE(AJ$6,"-",AM$6)</f>
        <v>2019-2035</v>
      </c>
      <c r="AO80" s="62" t="str">
        <f t="shared" si="193"/>
        <v>Change</v>
      </c>
      <c r="AP80" s="62" t="str">
        <f t="shared" si="193"/>
        <v>Demand</v>
      </c>
      <c r="AQ80" s="62" t="str">
        <f t="shared" si="193"/>
        <v>Requirement</v>
      </c>
      <c r="AS80" s="40" t="s">
        <v>14</v>
      </c>
      <c r="AT80" s="63" t="str">
        <f>CONCATENATE(AT$6,"-",AU$6)</f>
        <v>2015-2019</v>
      </c>
      <c r="AU80" s="63" t="str">
        <f>CONCATENATE(AU$6,"-",AV$6)</f>
        <v>2019-2020</v>
      </c>
      <c r="AV80" s="63" t="str">
        <f>CONCATENATE(AV$6,"-",AW$6)</f>
        <v>2020-2025</v>
      </c>
      <c r="AW80" s="63" t="str">
        <f>CONCATENATE(AW$6,"-",AX$6)</f>
        <v>2025-2035</v>
      </c>
      <c r="AX80" s="63" t="str">
        <f>CONCATENATE(AU$6,"-",AX$6)</f>
        <v>2019-2035</v>
      </c>
      <c r="AZ80" s="62" t="str">
        <f t="shared" si="194"/>
        <v>Change</v>
      </c>
      <c r="BA80" s="62" t="str">
        <f t="shared" si="194"/>
        <v>Demand</v>
      </c>
      <c r="BB80" s="62" t="str">
        <f t="shared" si="194"/>
        <v>Requirement</v>
      </c>
      <c r="BD80" s="40" t="s">
        <v>14</v>
      </c>
      <c r="BE80" s="63" t="str">
        <f>CONCATENATE(BE$6,"-",BF$6)</f>
        <v>2015-2019</v>
      </c>
      <c r="BF80" s="63" t="str">
        <f>CONCATENATE(BF$6,"-",BG$6)</f>
        <v>2019-2020</v>
      </c>
      <c r="BG80" s="63" t="str">
        <f>CONCATENATE(BG$6,"-",BH$6)</f>
        <v>2020-2025</v>
      </c>
      <c r="BH80" s="63" t="str">
        <f>CONCATENATE(BH$6,"-",BI$6)</f>
        <v>2025-2035</v>
      </c>
      <c r="BI80" s="63" t="str">
        <f>CONCATENATE(BF$6,"-",BI$6)</f>
        <v>2019-2035</v>
      </c>
      <c r="BK80" s="62" t="str">
        <f t="shared" si="195"/>
        <v>Change</v>
      </c>
      <c r="BL80" s="62" t="str">
        <f t="shared" si="195"/>
        <v>Demand</v>
      </c>
      <c r="BM80" s="62" t="str">
        <f t="shared" si="195"/>
        <v>Requirement</v>
      </c>
      <c r="BO80" s="40" t="s">
        <v>14</v>
      </c>
      <c r="BP80" s="63" t="str">
        <f>CONCATENATE(BP$6,"-",BQ$6)</f>
        <v>2015-2019</v>
      </c>
      <c r="BQ80" s="63" t="str">
        <f>CONCATENATE(BQ$6,"-",BR$6)</f>
        <v>2019-2020</v>
      </c>
      <c r="BR80" s="63" t="str">
        <f>CONCATENATE(BR$6,"-",BS$6)</f>
        <v>2020-2025</v>
      </c>
      <c r="BS80" s="63" t="str">
        <f>CONCATENATE(BS$6,"-",BT$6)</f>
        <v>2025-2035</v>
      </c>
      <c r="BT80" s="63" t="str">
        <f>CONCATENATE(BQ$6,"-",BT$6)</f>
        <v>2019-2035</v>
      </c>
      <c r="BV80" s="62" t="str">
        <f t="shared" si="196"/>
        <v>Change</v>
      </c>
      <c r="BW80" s="62" t="str">
        <f t="shared" si="196"/>
        <v>Demand</v>
      </c>
      <c r="BX80" s="62" t="str">
        <f t="shared" si="196"/>
        <v>Requirement</v>
      </c>
      <c r="BZ80" s="40" t="s">
        <v>14</v>
      </c>
      <c r="CA80" s="63" t="str">
        <f>CONCATENATE(CA$6,"-",CB$6)</f>
        <v>2015-2019</v>
      </c>
      <c r="CB80" s="63" t="str">
        <f>CONCATENATE(CB$6,"-",CC$6)</f>
        <v>2019-2020</v>
      </c>
      <c r="CC80" s="63" t="str">
        <f>CONCATENATE(CC$6,"-",CD$6)</f>
        <v>2020-2025</v>
      </c>
      <c r="CD80" s="63" t="str">
        <f>CONCATENATE(CD$6,"-",CE$6)</f>
        <v>2025-2035</v>
      </c>
      <c r="CE80" s="63" t="str">
        <f>CONCATENATE(CB$6,"-",CE$6)</f>
        <v>2019-2035</v>
      </c>
      <c r="CG80" s="62" t="str">
        <f t="shared" si="197"/>
        <v>Change</v>
      </c>
      <c r="CH80" s="62" t="str">
        <f t="shared" si="197"/>
        <v>Demand</v>
      </c>
      <c r="CI80" s="62" t="str">
        <f t="shared" si="197"/>
        <v>Requirement</v>
      </c>
      <c r="CK80" s="40" t="s">
        <v>14</v>
      </c>
      <c r="CL80" s="63" t="str">
        <f>CONCATENATE(CL$6,"-",CM$6)</f>
        <v>2015-2019</v>
      </c>
      <c r="CM80" s="63" t="str">
        <f>CONCATENATE(CM$6,"-",CN$6)</f>
        <v>2019-2020</v>
      </c>
      <c r="CN80" s="63" t="str">
        <f>CONCATENATE(CN$6,"-",CO$6)</f>
        <v>2020-2025</v>
      </c>
      <c r="CO80" s="63" t="str">
        <f>CONCATENATE(CO$6,"-",CP$6)</f>
        <v>2025-2035</v>
      </c>
      <c r="CP80" s="63" t="str">
        <f>CONCATENATE(CM$6,"-",CP$6)</f>
        <v>2019-2035</v>
      </c>
      <c r="CR80" s="62" t="str">
        <f t="shared" si="198"/>
        <v>Change</v>
      </c>
      <c r="CS80" s="62" t="str">
        <f t="shared" si="198"/>
        <v>Demand</v>
      </c>
      <c r="CT80" s="62" t="str">
        <f t="shared" si="198"/>
        <v>Requirement</v>
      </c>
    </row>
    <row r="82" spans="1:98" x14ac:dyDescent="0.3">
      <c r="A82" t="str">
        <f t="shared" ref="A82:A107" si="199">A8</f>
        <v>11 Corporate managers and directors</v>
      </c>
      <c r="B82" s="17">
        <f t="shared" ref="B82:E107" si="200">IF(AND(C$6-B$6 &lt;&gt; 0,B8&lt;&gt;0,C8&lt;&gt;0),(EXP(LN(C8/B8)/(C$6-B$6))-1)*100,0)</f>
        <v>8.3186389627275545</v>
      </c>
      <c r="C82" s="17">
        <f t="shared" si="200"/>
        <v>5.3324032186704118</v>
      </c>
      <c r="D82" s="17">
        <f t="shared" si="200"/>
        <v>3.6158820141020565</v>
      </c>
      <c r="E82" s="17">
        <f t="shared" si="200"/>
        <v>3.8578468495942264</v>
      </c>
      <c r="F82" s="17">
        <f t="shared" ref="F82:F107" si="201">IF(AND(F$6-C$6 &lt;&gt; 0,C8&lt;&gt;0,F8&lt;&gt;0),(EXP(LN(F8/C8)/(F$6-C$6))-1)*100,0)</f>
        <v>3.8736574889910669</v>
      </c>
      <c r="H82" s="17">
        <f t="shared" ref="H82:H107" si="202">IF($F$6-$D$6 &lt;&gt; 0,(EXP(LN(1+(H45/100))/($F$6-$D$6))-1)*100,0)</f>
        <v>3.7771291874252544</v>
      </c>
      <c r="I82" s="17">
        <f t="shared" ref="I82:I107" si="203">IF(D8&gt;0,((1+(I8/D8))^(1/($F$6-$D$6))-1)*100,0)</f>
        <v>3.6696008101580357</v>
      </c>
      <c r="J82" s="17">
        <f t="shared" ref="J82:J107" si="204">IF($F$6-$D$6 &lt;&gt; 0,(EXP(LN(1+(J45/100))/($F$6-$D$6))-1)*100,0)</f>
        <v>6.187435849060563</v>
      </c>
      <c r="L82" t="str">
        <f>A82</f>
        <v>11 Corporate managers and directors</v>
      </c>
      <c r="M82" s="17">
        <f t="shared" ref="M82:P107" si="205">IF(AND(N$6-M$6 &lt;&gt; 0,M8&lt;&gt;0,N8&lt;&gt;0),(EXP(LN(N8/M8)/(N$6-M$6))-1)*100,0)</f>
        <v>8.9510928834199746</v>
      </c>
      <c r="N82" s="17">
        <f t="shared" si="205"/>
        <v>4.489191418372962</v>
      </c>
      <c r="O82" s="17">
        <f t="shared" si="205"/>
        <v>3.026335305598904</v>
      </c>
      <c r="P82" s="17">
        <f t="shared" si="205"/>
        <v>3.6781871675106492</v>
      </c>
      <c r="Q82" s="17">
        <f t="shared" ref="Q82:Q107" si="206">IF(AND(Q$6-N$6 &lt;&gt; 0,N8&lt;&gt;0,Q8&lt;&gt;0),(EXP(LN(Q8/N8)/(Q$6-N$6))-1)*100,0)</f>
        <v>3.5244450433010943</v>
      </c>
      <c r="S82" s="17">
        <f t="shared" ref="S82:S107" si="207">IF($F$6-$D$6 &lt;&gt; 0,(EXP(LN(1+(S45/100))/($F$6-$D$6))-1)*100,0)</f>
        <v>3.4604462425864346</v>
      </c>
      <c r="T82" s="17">
        <f t="shared" ref="T82:T107" si="208">IF(O8&gt;0,((1+(T8/O8))^(1/($F$6-$D$6))-1)*100,0)</f>
        <v>3.5925036238239949</v>
      </c>
      <c r="U82" s="17">
        <f t="shared" ref="U82:U107" si="209">IF($F$6-$D$6 &lt;&gt; 0,(EXP(LN(1+(U45/100))/($F$6-$D$6))-1)*100,0)</f>
        <v>5.9025486766402846</v>
      </c>
      <c r="W82" t="str">
        <f>A82</f>
        <v>11 Corporate managers and directors</v>
      </c>
      <c r="X82" s="17">
        <f t="shared" ref="X82:AA107" si="210">IF(AND(Y$6-X$6 &lt;&gt; 0,X8&lt;&gt;0,Y8&lt;&gt;0),(EXP(LN(Y8/X8)/(Y$6-X$6))-1)*100,0)</f>
        <v>4.5893526072557034</v>
      </c>
      <c r="Y82" s="17">
        <f t="shared" si="210"/>
        <v>2.3807369326481309</v>
      </c>
      <c r="Z82" s="17">
        <f t="shared" si="210"/>
        <v>-0.73431040642841783</v>
      </c>
      <c r="AA82" s="17">
        <f t="shared" si="210"/>
        <v>1.2453906442963403</v>
      </c>
      <c r="AB82" s="17">
        <f t="shared" ref="AB82:AB107" si="211">IF(AND(AB$6-Y$6 &lt;&gt; 0,Y8&lt;&gt;0,AB8&lt;&gt;0),(EXP(LN(AB8/Y8)/(AB$6-Y$6))-1)*100,0)</f>
        <v>0.69268397667010539</v>
      </c>
      <c r="AD82" s="17">
        <f t="shared" ref="AD82:AD107" si="212">IF($F$6-$D$6 &lt;&gt; 0,(EXP(LN(1+(AD45/100))/($F$6-$D$6))-1)*100,0)</f>
        <v>0.58114183385022944</v>
      </c>
      <c r="AE82" s="17">
        <f t="shared" ref="AE82:AE107" si="213">IF(Z8&gt;0,((1+(AE8/Z8))^(1/($F$6-$D$6))-1)*100,0)</f>
        <v>3.1012515421154907</v>
      </c>
      <c r="AF82" s="17">
        <f t="shared" ref="AF82:AF107" si="214">IF($F$6-$D$6 &lt;&gt; 0,(EXP(LN(1+(AF45/100))/($F$6-$D$6))-1)*100,0)</f>
        <v>3.4858120991141828</v>
      </c>
      <c r="AH82" t="str">
        <f>L82</f>
        <v>11 Corporate managers and directors</v>
      </c>
      <c r="AI82" s="17">
        <f t="shared" ref="AI82:AL107" si="215">IF(AND(AJ$6-AI$6 &lt;&gt; 0,AI8&lt;&gt;0,AJ8&lt;&gt;0),(EXP(LN(AJ8/AI8)/(AJ$6-AI$6))-1)*100,0)</f>
        <v>2.9896110899742645</v>
      </c>
      <c r="AJ82" s="17">
        <f t="shared" si="215"/>
        <v>6.947040555332018</v>
      </c>
      <c r="AK82" s="17">
        <f t="shared" si="215"/>
        <v>-1.7070524714715263</v>
      </c>
      <c r="AL82" s="17">
        <f t="shared" si="215"/>
        <v>0.82500957873250513</v>
      </c>
      <c r="AM82" s="17">
        <f t="shared" ref="AM82:AM107" si="216">IF(AND(AM$6-AJ$6 &lt;&gt; 0,AJ8&lt;&gt;0,AM8&lt;&gt;0),(EXP(LN(AM8/AJ8)/(AM$6-AJ$6))-1)*100,0)</f>
        <v>0.3960104745097448</v>
      </c>
      <c r="AO82" s="17">
        <f t="shared" ref="AO82:AO107" si="217">IF($F$6-$D$6 &lt;&gt; 0,(EXP(LN(1+(AO45/100))/($F$6-$D$6))-1)*100,0)</f>
        <v>-2.6176780880871053E-2</v>
      </c>
      <c r="AP82" s="17">
        <f t="shared" ref="AP82:AP107" si="218">IF(AK8&gt;0,((1+(AP8/AK8))^(1/($F$6-$D$6))-1)*100,0)</f>
        <v>2.7613197385205623</v>
      </c>
      <c r="AQ82" s="17">
        <f t="shared" ref="AQ82:AQ107" si="219">IF($F$6-$D$6 &lt;&gt; 0,(EXP(LN(1+(AQ45/100))/($F$6-$D$6))-1)*100,0)</f>
        <v>2.7434534776701325</v>
      </c>
      <c r="AS82" t="str">
        <f>W82</f>
        <v>11 Corporate managers and directors</v>
      </c>
      <c r="AT82" s="17">
        <f t="shared" ref="AT82:AW107" si="220">IF(AND(AU$6-AT$6 &lt;&gt; 0,AT8&lt;&gt;0,AU8&lt;&gt;0),(EXP(LN(AU8/AT8)/(AU$6-AT$6))-1)*100,0)</f>
        <v>3.1758797809057437</v>
      </c>
      <c r="AU82" s="17">
        <f t="shared" si="220"/>
        <v>5.8742296830630147</v>
      </c>
      <c r="AV82" s="17">
        <f t="shared" si="220"/>
        <v>-2.0168532004731898</v>
      </c>
      <c r="AW82" s="17">
        <f t="shared" si="220"/>
        <v>0.86614115732654984</v>
      </c>
      <c r="AX82" s="17">
        <f t="shared" ref="AX82:AX107" si="221">IF(AND(AX$6-AU$6 &lt;&gt; 0,AU8&lt;&gt;0,AX8&lt;&gt;0),(EXP(LN(AX8/AU8)/(AX$6-AU$6))-1)*100,0)</f>
        <v>0.25939454059324962</v>
      </c>
      <c r="AZ82" s="17">
        <f t="shared" ref="AZ82:AZ107" si="222">IF($F$6-$D$6 &lt;&gt; 0,(EXP(LN(1+(AZ45/100))/($F$6-$D$6))-1)*100,0)</f>
        <v>-0.10416104974260154</v>
      </c>
      <c r="BA82" s="17">
        <f t="shared" ref="BA82:BA107" si="223">IF(AV8&gt;0,((1+(BA8/AV8))^(1/($F$6-$D$6))-1)*100,0)</f>
        <v>2.7453797585527129</v>
      </c>
      <c r="BB82" s="17">
        <f t="shared" ref="BB82:BB107" si="224">IF($F$6-$D$6 &lt;&gt; 0,(EXP(LN(1+(BB45/100))/($F$6-$D$6))-1)*100,0)</f>
        <v>2.6742629387058736</v>
      </c>
      <c r="BD82" t="str">
        <f>AH82</f>
        <v>11 Corporate managers and directors</v>
      </c>
      <c r="BE82" s="17">
        <f t="shared" ref="BE82:BH107" si="225">IF(AND(BF$6-BE$6 &lt;&gt; 0,BE8&lt;&gt;0,BF8&lt;&gt;0),(EXP(LN(BF8/BE8)/(BF$6-BE$6))-1)*100,0)</f>
        <v>3.6805380976396851</v>
      </c>
      <c r="BF82" s="17">
        <f t="shared" si="225"/>
        <v>3.3756027283351475</v>
      </c>
      <c r="BG82" s="17">
        <f t="shared" si="225"/>
        <v>-3.2163294007795051</v>
      </c>
      <c r="BH82" s="17">
        <f t="shared" si="225"/>
        <v>0.11296762260541993</v>
      </c>
      <c r="BI82" s="17">
        <f t="shared" ref="BI82:BI107" si="226">IF(AND(BI$6-BF$6 &lt;&gt; 0,BF8&lt;&gt;0,BI8&lt;&gt;0),(EXP(LN(BI8/BF8)/(BI$6-BF$6))-1)*100,0)</f>
        <v>-0.7408068138820334</v>
      </c>
      <c r="BK82" s="17">
        <f t="shared" ref="BK82:BK107" si="227">IF($F$6-$D$6 &lt;&gt; 0,(EXP(LN(1+(BK45/100))/($F$6-$D$6))-1)*100,0)</f>
        <v>-1.0093323986082758</v>
      </c>
      <c r="BL82" s="17">
        <f t="shared" ref="BL82:BL107" si="228">IF(BG8&gt;0,((1+(BL8/BG8))^(1/($F$6-$D$6))-1)*100,0)</f>
        <v>2.1627089640536168</v>
      </c>
      <c r="BM82" s="17">
        <f t="shared" ref="BM82:BM107" si="229">IF($F$6-$D$6 &lt;&gt; 0,(EXP(LN(1+(BM45/100))/($F$6-$D$6))-1)*100,0)</f>
        <v>1.4295422325553808</v>
      </c>
      <c r="BO82" t="str">
        <f>AS82</f>
        <v>11 Corporate managers and directors</v>
      </c>
      <c r="BP82" s="17">
        <f t="shared" ref="BP82:BS107" si="230">IF(AND(BQ$6-BP$6 &lt;&gt; 0,BP8&lt;&gt;0,BQ8&lt;&gt;0),(EXP(LN(BQ8/BP8)/(BQ$6-BP$6))-1)*100,0)</f>
        <v>2.4312581168010938</v>
      </c>
      <c r="BQ82" s="17">
        <f t="shared" si="230"/>
        <v>-2.3526434471762947</v>
      </c>
      <c r="BR82" s="17">
        <f t="shared" si="230"/>
        <v>-4.1066674931274694</v>
      </c>
      <c r="BS82" s="17">
        <f t="shared" si="230"/>
        <v>-2.5707980887404891</v>
      </c>
      <c r="BT82" s="17">
        <f t="shared" ref="BT82:BT107" si="231">IF(AND(BT$6-BQ$6 &lt;&gt; 0,BQ8&lt;&gt;0,BT8&lt;&gt;0),(EXP(LN(BT8/BQ8)/(BT$6-BQ$6))-1)*100,0)</f>
        <v>-3.0398285070412756</v>
      </c>
      <c r="BV82" s="17">
        <f t="shared" ref="BV82:BV107" si="232">IF($F$6-$D$6 &lt;&gt; 0,(EXP(LN(1+(BV45/100))/($F$6-$D$6))-1)*100,0)</f>
        <v>-3.0854685196980758</v>
      </c>
      <c r="BW82" s="17">
        <f t="shared" ref="BW82:BW107" si="233">IF(BR8&gt;0,((1+(BW8/BR8))^(1/($F$6-$D$6))-1)*100,0)</f>
        <v>2.0035549463163882</v>
      </c>
      <c r="BX82" s="17">
        <f t="shared" ref="BX82:BX107" si="234">IF($F$6-$D$6 &lt;&gt; 0,(EXP(LN(1+(BX45/100))/($F$6-$D$6))-1)*100,0)</f>
        <v>-0.19253890387093131</v>
      </c>
      <c r="BZ82" t="str">
        <f>BD82</f>
        <v>11 Corporate managers and directors</v>
      </c>
      <c r="CA82" s="17">
        <f t="shared" ref="CA82:CD107" si="235">IF(AND(CB$6-CA$6 &lt;&gt; 0,CA8&lt;&gt;0,CB8&lt;&gt;0),(EXP(LN(CB8/CA8)/(CB$6-CA$6))-1)*100,0)</f>
        <v>2.4402980896324422</v>
      </c>
      <c r="CB82" s="17">
        <f t="shared" si="235"/>
        <v>-0.1304000356502355</v>
      </c>
      <c r="CC82" s="17">
        <f t="shared" si="235"/>
        <v>-2.5459565461811162</v>
      </c>
      <c r="CD82" s="17">
        <f t="shared" si="235"/>
        <v>-2.8577514386259883</v>
      </c>
      <c r="CE82" s="17">
        <f t="shared" ref="CE82:CE107" si="236">IF(AND(CE$6-CB$6 &lt;&gt; 0,CB8&lt;&gt;0,CE8&lt;&gt;0),(EXP(LN(CE8/CB8)/(CE$6-CB$6))-1)*100,0)</f>
        <v>-2.5919982879558434</v>
      </c>
      <c r="CG82" s="17">
        <f t="shared" ref="CG82:CG107" si="237">IF($F$6-$D$6 &lt;&gt; 0,(EXP(LN(1+(CG45/100))/($F$6-$D$6))-1)*100,0)</f>
        <v>-2.7539308054865042</v>
      </c>
      <c r="CH82" s="17">
        <f t="shared" ref="CH82:CH107" si="238">IF(CC8&gt;0,((1+(CH8/CC8))^(1/($F$6-$D$6))-1)*100,0)</f>
        <v>2.0182920727957798</v>
      </c>
      <c r="CI82" s="17">
        <f t="shared" ref="CI82:CI107" si="239">IF($F$6-$D$6 &lt;&gt; 0,(EXP(LN(1+(CI45/100))/($F$6-$D$6))-1)*100,0)</f>
        <v>4.8326472375492813E-2</v>
      </c>
      <c r="CK82" t="str">
        <f>BO82</f>
        <v>11 Corporate managers and directors</v>
      </c>
      <c r="CL82" s="17">
        <f t="shared" ref="CL82:CO107" si="240">IF(AND(CM$6-CL$6 &lt;&gt; 0,CL8&lt;&gt;0,CM8&lt;&gt;0),(EXP(LN(CM8/CL8)/(CM$6-CL$6))-1)*100,0)</f>
        <v>4.0009237009444032</v>
      </c>
      <c r="CM82" s="17">
        <f t="shared" si="240"/>
        <v>-8.976791470602862</v>
      </c>
      <c r="CN82" s="17">
        <f t="shared" si="240"/>
        <v>-3.8423580693092485</v>
      </c>
      <c r="CO82" s="17">
        <f t="shared" si="240"/>
        <v>0.31979795902130626</v>
      </c>
      <c r="CP82" s="17">
        <f t="shared" ref="CP82:CP107" si="241">IF(AND(CP$6-CM$6 &lt;&gt; 0,CM8&lt;&gt;0,CP8&lt;&gt;0),(EXP(LN(CP8/CM8)/(CP$6-CM$6))-1)*100,0)</f>
        <v>-1.5997723408677667</v>
      </c>
      <c r="CR82" s="17">
        <f t="shared" ref="CR82:CR107" si="242">IF($F$6-$D$6 &lt;&gt; 0,(EXP(LN(1+(CR45/100))/($F$6-$D$6))-1)*100,0)</f>
        <v>-1.0872292707141851</v>
      </c>
      <c r="CS82" s="17">
        <f t="shared" ref="CS82:CS107" si="243">IF(CN8&gt;0,((1+(CS8/CN8))^(1/($F$6-$D$6))-1)*100,0)</f>
        <v>1.6686427607337073</v>
      </c>
      <c r="CT82" s="17">
        <f t="shared" ref="CT82:CT107" si="244">IF($F$6-$D$6 &lt;&gt; 0,(EXP(LN(1+(CT45/100))/($F$6-$D$6))-1)*100,0)</f>
        <v>0.82118869546468076</v>
      </c>
    </row>
    <row r="83" spans="1:98" x14ac:dyDescent="0.3">
      <c r="A83" t="str">
        <f t="shared" si="199"/>
        <v>12 Other managers and proprietors</v>
      </c>
      <c r="B83" s="17">
        <f t="shared" si="200"/>
        <v>7.163637811376522</v>
      </c>
      <c r="C83" s="17">
        <f t="shared" si="200"/>
        <v>-1.7064980005371599</v>
      </c>
      <c r="D83" s="17">
        <f t="shared" si="200"/>
        <v>10.136973362336077</v>
      </c>
      <c r="E83" s="17">
        <f t="shared" si="200"/>
        <v>4.838125901045065</v>
      </c>
      <c r="F83" s="17">
        <f t="shared" si="201"/>
        <v>6.0379777114136557</v>
      </c>
      <c r="H83" s="17">
        <f t="shared" si="202"/>
        <v>6.575459004550166</v>
      </c>
      <c r="I83" s="17">
        <f t="shared" si="203"/>
        <v>5.1712978834143275</v>
      </c>
      <c r="J83" s="17">
        <f t="shared" si="204"/>
        <v>9.1720774436818928</v>
      </c>
      <c r="L83" t="str">
        <f t="shared" ref="L83:L106" si="245">A83</f>
        <v>12 Other managers and proprietors</v>
      </c>
      <c r="M83" s="17">
        <f t="shared" si="205"/>
        <v>7.0343777146542052</v>
      </c>
      <c r="N83" s="17">
        <f t="shared" si="205"/>
        <v>4.174345116243483</v>
      </c>
      <c r="O83" s="17">
        <f t="shared" si="205"/>
        <v>9.1371743212268264</v>
      </c>
      <c r="P83" s="17">
        <f t="shared" si="205"/>
        <v>4.5894999429615169</v>
      </c>
      <c r="Q83" s="17">
        <f t="shared" si="206"/>
        <v>5.9635679446134349</v>
      </c>
      <c r="S83" s="17">
        <f t="shared" si="207"/>
        <v>6.0839363121917955</v>
      </c>
      <c r="T83" s="17">
        <f t="shared" si="208"/>
        <v>4.9318038667983455</v>
      </c>
      <c r="U83" s="17">
        <f t="shared" si="209"/>
        <v>8.6771191019077154</v>
      </c>
      <c r="W83" t="str">
        <f t="shared" ref="W83:W106" si="246">A83</f>
        <v>12 Other managers and proprietors</v>
      </c>
      <c r="X83" s="17">
        <f t="shared" si="210"/>
        <v>2.3305377774574421</v>
      </c>
      <c r="Y83" s="17">
        <f t="shared" si="210"/>
        <v>2.8277724000163706</v>
      </c>
      <c r="Z83" s="17">
        <f t="shared" si="210"/>
        <v>5.3524614444595775</v>
      </c>
      <c r="AA83" s="17">
        <f t="shared" si="210"/>
        <v>2.1380749618668426</v>
      </c>
      <c r="AB83" s="17">
        <f t="shared" si="211"/>
        <v>3.1752806869661088</v>
      </c>
      <c r="AD83" s="17">
        <f t="shared" si="212"/>
        <v>3.1984896190799805</v>
      </c>
      <c r="AE83" s="17">
        <f t="shared" si="213"/>
        <v>4.2823800785339872</v>
      </c>
      <c r="AF83" s="17">
        <f t="shared" si="214"/>
        <v>6.2401837603813348</v>
      </c>
      <c r="AH83" t="str">
        <f t="shared" ref="AH83:AH106" si="247">L83</f>
        <v>12 Other managers and proprietors</v>
      </c>
      <c r="AI83" s="17">
        <f t="shared" si="215"/>
        <v>2.4548730239718486</v>
      </c>
      <c r="AJ83" s="17">
        <f t="shared" si="215"/>
        <v>8.6813328640209306</v>
      </c>
      <c r="AK83" s="17">
        <f t="shared" si="215"/>
        <v>3.9824391932686165</v>
      </c>
      <c r="AL83" s="17">
        <f t="shared" si="215"/>
        <v>2.1744035002886575</v>
      </c>
      <c r="AM83" s="17">
        <f t="shared" si="216"/>
        <v>3.1332026509834243</v>
      </c>
      <c r="AO83" s="17">
        <f t="shared" si="217"/>
        <v>2.7735616892698101</v>
      </c>
      <c r="AP83" s="17">
        <f t="shared" si="218"/>
        <v>4.0878216915896548</v>
      </c>
      <c r="AQ83" s="17">
        <f t="shared" si="219"/>
        <v>5.8049799723306927</v>
      </c>
      <c r="AS83" t="str">
        <f t="shared" ref="AS83:AS106" si="248">W83</f>
        <v>12 Other managers and proprietors</v>
      </c>
      <c r="AT83" s="17">
        <f t="shared" si="220"/>
        <v>1.9491301321085786</v>
      </c>
      <c r="AU83" s="17">
        <f t="shared" si="220"/>
        <v>4.5902244419161242</v>
      </c>
      <c r="AV83" s="17">
        <f t="shared" si="220"/>
        <v>4.7471627230772251</v>
      </c>
      <c r="AW83" s="17">
        <f t="shared" si="220"/>
        <v>1.6453528855333577</v>
      </c>
      <c r="AX83" s="17">
        <f t="shared" si="221"/>
        <v>2.7879861176192566</v>
      </c>
      <c r="AZ83" s="17">
        <f t="shared" si="222"/>
        <v>2.6689470475869781</v>
      </c>
      <c r="BA83" s="17">
        <f t="shared" si="223"/>
        <v>3.9568016282751417</v>
      </c>
      <c r="BB83" s="17">
        <f t="shared" si="224"/>
        <v>5.6305544674505104</v>
      </c>
      <c r="BD83" t="str">
        <f t="shared" ref="BD83:BD106" si="249">AH83</f>
        <v>12 Other managers and proprietors</v>
      </c>
      <c r="BE83" s="17">
        <f t="shared" si="225"/>
        <v>-0.40432694615895048</v>
      </c>
      <c r="BF83" s="17">
        <f t="shared" si="225"/>
        <v>2.2887376410501759</v>
      </c>
      <c r="BG83" s="17">
        <f t="shared" si="225"/>
        <v>2.1316191695956999</v>
      </c>
      <c r="BH83" s="17">
        <f t="shared" si="225"/>
        <v>0.39430845428418682</v>
      </c>
      <c r="BI83" s="17">
        <f t="shared" si="226"/>
        <v>1.0520176769776901</v>
      </c>
      <c r="BK83" s="17">
        <f t="shared" si="227"/>
        <v>0.9701033367261136</v>
      </c>
      <c r="BL83" s="17">
        <f t="shared" si="228"/>
        <v>2.8449502097369184</v>
      </c>
      <c r="BM83" s="17">
        <f t="shared" si="229"/>
        <v>3.5149462016901722</v>
      </c>
      <c r="BO83" t="str">
        <f t="shared" ref="BO83:BO106" si="250">AS83</f>
        <v>12 Other managers and proprietors</v>
      </c>
      <c r="BP83" s="17">
        <f t="shared" si="230"/>
        <v>0.72236561730307791</v>
      </c>
      <c r="BQ83" s="17">
        <f t="shared" si="230"/>
        <v>-2.289221403606212</v>
      </c>
      <c r="BR83" s="17">
        <f t="shared" si="230"/>
        <v>2.6428075229107284</v>
      </c>
      <c r="BS83" s="17">
        <f t="shared" si="230"/>
        <v>-0.98456560162297757</v>
      </c>
      <c r="BT83" s="17">
        <f t="shared" si="231"/>
        <v>5.2024001085704263E-2</v>
      </c>
      <c r="BV83" s="17">
        <f t="shared" si="232"/>
        <v>0.21008694301649644</v>
      </c>
      <c r="BW83" s="17">
        <f t="shared" si="233"/>
        <v>3.1098059695655156</v>
      </c>
      <c r="BX83" s="17">
        <f t="shared" si="234"/>
        <v>3.2473800796182672</v>
      </c>
      <c r="BZ83" t="str">
        <f t="shared" ref="BZ83:BZ106" si="251">BD83</f>
        <v>12 Other managers and proprietors</v>
      </c>
      <c r="CA83" s="17">
        <f t="shared" si="235"/>
        <v>0.53577834747819963</v>
      </c>
      <c r="CB83" s="17">
        <f t="shared" si="235"/>
        <v>-6.1575315253225789</v>
      </c>
      <c r="CC83" s="17">
        <f t="shared" si="235"/>
        <v>1.42036615752128</v>
      </c>
      <c r="CD83" s="17">
        <f t="shared" si="235"/>
        <v>-2.8050540305255778</v>
      </c>
      <c r="CE83" s="17">
        <f t="shared" si="236"/>
        <v>-1.7197205822019779</v>
      </c>
      <c r="CG83" s="17">
        <f t="shared" si="237"/>
        <v>-1.4165120244742924</v>
      </c>
      <c r="CH83" s="17">
        <f t="shared" si="238"/>
        <v>2.4985190117884359</v>
      </c>
      <c r="CI83" s="17">
        <f t="shared" si="239"/>
        <v>1.5275710538474874</v>
      </c>
      <c r="CK83" t="str">
        <f t="shared" ref="CK83:CK106" si="252">BO83</f>
        <v>12 Other managers and proprietors</v>
      </c>
      <c r="CL83" s="17">
        <f t="shared" si="240"/>
        <v>-0.76981399655512428</v>
      </c>
      <c r="CM83" s="17">
        <f t="shared" si="240"/>
        <v>-10.847678227520374</v>
      </c>
      <c r="CN83" s="17">
        <f t="shared" si="240"/>
        <v>3.838350797292911</v>
      </c>
      <c r="CO83" s="17">
        <f t="shared" si="240"/>
        <v>0.33540598319166115</v>
      </c>
      <c r="CP83" s="17">
        <f t="shared" si="241"/>
        <v>0.67090681430528321</v>
      </c>
      <c r="CR83" s="17">
        <f t="shared" si="242"/>
        <v>1.4897233829348711</v>
      </c>
      <c r="CS83" s="17">
        <f t="shared" si="243"/>
        <v>2.4442654011880727</v>
      </c>
      <c r="CT83" s="17">
        <f t="shared" si="244"/>
        <v>3.539089112838778</v>
      </c>
    </row>
    <row r="84" spans="1:98" x14ac:dyDescent="0.3">
      <c r="A84" t="str">
        <f t="shared" si="199"/>
        <v>21 Science, research, engineering and technology professionals</v>
      </c>
      <c r="B84" s="17">
        <f t="shared" si="200"/>
        <v>7.0074940350389747</v>
      </c>
      <c r="C84" s="17">
        <f t="shared" si="200"/>
        <v>3.0727569956773504</v>
      </c>
      <c r="D84" s="17">
        <f t="shared" si="200"/>
        <v>4.3989192100756691</v>
      </c>
      <c r="E84" s="17">
        <f t="shared" si="200"/>
        <v>2.8943318745549229</v>
      </c>
      <c r="F84" s="17">
        <f t="shared" si="201"/>
        <v>3.3733644521743766</v>
      </c>
      <c r="H84" s="17">
        <f t="shared" si="202"/>
        <v>3.3934360929160245</v>
      </c>
      <c r="I84" s="17">
        <f t="shared" si="203"/>
        <v>2.8206135335247184</v>
      </c>
      <c r="J84" s="17">
        <f t="shared" si="204"/>
        <v>5.2921995703601565</v>
      </c>
      <c r="L84" t="str">
        <f t="shared" si="245"/>
        <v>21 Science, research, engineering and technology professionals</v>
      </c>
      <c r="M84" s="17">
        <f t="shared" si="205"/>
        <v>8.1899234482813341</v>
      </c>
      <c r="N84" s="17">
        <f t="shared" si="205"/>
        <v>6.6551878706327727</v>
      </c>
      <c r="O84" s="17">
        <f t="shared" si="205"/>
        <v>5.3161662225987616</v>
      </c>
      <c r="P84" s="17">
        <f t="shared" si="205"/>
        <v>3.3519218062514566</v>
      </c>
      <c r="Q84" s="17">
        <f t="shared" si="206"/>
        <v>4.1664041278050012</v>
      </c>
      <c r="S84" s="17">
        <f t="shared" si="207"/>
        <v>4.0025652774088538</v>
      </c>
      <c r="T84" s="17">
        <f t="shared" si="208"/>
        <v>3.0633039344480029</v>
      </c>
      <c r="U84" s="17">
        <f t="shared" si="209"/>
        <v>5.9331960220846858</v>
      </c>
      <c r="W84" t="str">
        <f t="shared" si="246"/>
        <v>21 Science, research, engineering and technology professionals</v>
      </c>
      <c r="X84" s="17">
        <f t="shared" si="210"/>
        <v>2.4371310883672281</v>
      </c>
      <c r="Y84" s="17">
        <f t="shared" si="210"/>
        <v>3.8896214743368684</v>
      </c>
      <c r="Z84" s="17">
        <f t="shared" si="210"/>
        <v>0.57274134493479067</v>
      </c>
      <c r="AA84" s="17">
        <f t="shared" si="210"/>
        <v>0.38312344013136101</v>
      </c>
      <c r="AB84" s="17">
        <f t="shared" si="211"/>
        <v>0.6581144156782015</v>
      </c>
      <c r="AD84" s="17">
        <f t="shared" si="212"/>
        <v>0.44628965263979747</v>
      </c>
      <c r="AE84" s="17">
        <f t="shared" si="213"/>
        <v>2.3395504219698271</v>
      </c>
      <c r="AF84" s="17">
        <f t="shared" si="214"/>
        <v>2.6653288973845335</v>
      </c>
      <c r="AH84" t="str">
        <f t="shared" si="247"/>
        <v>21 Science, research, engineering and technology professionals</v>
      </c>
      <c r="AI84" s="17">
        <f t="shared" si="215"/>
        <v>1.8115226183431643</v>
      </c>
      <c r="AJ84" s="17">
        <f t="shared" si="215"/>
        <v>10.319327041548076</v>
      </c>
      <c r="AK84" s="17">
        <f t="shared" si="215"/>
        <v>0.7242609848433057</v>
      </c>
      <c r="AL84" s="17">
        <f t="shared" si="215"/>
        <v>0.96109599747631336</v>
      </c>
      <c r="AM84" s="17">
        <f t="shared" si="216"/>
        <v>1.4475150662790259</v>
      </c>
      <c r="AO84" s="17">
        <f t="shared" si="217"/>
        <v>0.88208918283765314</v>
      </c>
      <c r="AP84" s="17">
        <f t="shared" si="218"/>
        <v>2.3448926129639114</v>
      </c>
      <c r="AQ84" s="17">
        <f t="shared" si="219"/>
        <v>2.9938545264300176</v>
      </c>
      <c r="AS84" t="str">
        <f t="shared" si="248"/>
        <v>21 Science, research, engineering and technology professionals</v>
      </c>
      <c r="AT84" s="17">
        <f t="shared" si="220"/>
        <v>1.6258964123462061</v>
      </c>
      <c r="AU84" s="17">
        <f t="shared" si="220"/>
        <v>4.4884954016880751</v>
      </c>
      <c r="AV84" s="17">
        <f t="shared" si="220"/>
        <v>-1.0922336785926468</v>
      </c>
      <c r="AW84" s="17">
        <f t="shared" si="220"/>
        <v>1.8512889264710175E-2</v>
      </c>
      <c r="AX84" s="17">
        <f t="shared" si="221"/>
        <v>-5.7197461425206875E-2</v>
      </c>
      <c r="AZ84" s="17">
        <f t="shared" si="222"/>
        <v>-0.35311507430645372</v>
      </c>
      <c r="BA84" s="17">
        <f t="shared" si="223"/>
        <v>2.0221478108010338</v>
      </c>
      <c r="BB84" s="17">
        <f t="shared" si="224"/>
        <v>1.7570707053058188</v>
      </c>
      <c r="BD84" t="str">
        <f t="shared" si="249"/>
        <v>21 Science, research, engineering and technology professionals</v>
      </c>
      <c r="BE84" s="17">
        <f t="shared" si="225"/>
        <v>1.9666007794911122</v>
      </c>
      <c r="BF84" s="17">
        <f t="shared" si="225"/>
        <v>4.8805339923466029</v>
      </c>
      <c r="BG84" s="17">
        <f t="shared" si="225"/>
        <v>-2.2929370168386809</v>
      </c>
      <c r="BH84" s="17">
        <f t="shared" si="225"/>
        <v>-0.7225980985544167</v>
      </c>
      <c r="BI84" s="17">
        <f t="shared" si="226"/>
        <v>-0.87646203284499347</v>
      </c>
      <c r="BK84" s="17">
        <f t="shared" si="227"/>
        <v>-1.2488288197041619</v>
      </c>
      <c r="BL84" s="17">
        <f t="shared" si="228"/>
        <v>1.5444472006957977</v>
      </c>
      <c r="BM84" s="17">
        <f t="shared" si="229"/>
        <v>0.55563835787697524</v>
      </c>
      <c r="BO84" t="str">
        <f t="shared" si="250"/>
        <v>21 Science, research, engineering and technology professionals</v>
      </c>
      <c r="BP84" s="17">
        <f t="shared" si="230"/>
        <v>1.8256801556340463</v>
      </c>
      <c r="BQ84" s="17">
        <f t="shared" si="230"/>
        <v>1.7797283503679262</v>
      </c>
      <c r="BR84" s="17">
        <f t="shared" si="230"/>
        <v>-1.7046706658233823</v>
      </c>
      <c r="BS84" s="17">
        <f t="shared" si="230"/>
        <v>-1.7160762850885525</v>
      </c>
      <c r="BT84" s="17">
        <f t="shared" si="231"/>
        <v>-1.4975778159545539</v>
      </c>
      <c r="BV84" s="17">
        <f t="shared" si="232"/>
        <v>-1.7122745590568367</v>
      </c>
      <c r="BW84" s="17">
        <f t="shared" si="233"/>
        <v>1.7365909388165512</v>
      </c>
      <c r="BX84" s="17">
        <f t="shared" si="234"/>
        <v>0.42975054959528691</v>
      </c>
      <c r="BZ84" t="str">
        <f t="shared" si="251"/>
        <v>21 Science, research, engineering and technology professionals</v>
      </c>
      <c r="CA84" s="17">
        <f t="shared" si="235"/>
        <v>2.0572184390378556</v>
      </c>
      <c r="CB84" s="17">
        <f t="shared" si="235"/>
        <v>-0.94863464170112932</v>
      </c>
      <c r="CC84" s="17">
        <f t="shared" si="235"/>
        <v>-1.326651142922608</v>
      </c>
      <c r="CD84" s="17">
        <f t="shared" si="235"/>
        <v>-3.8630472887680178</v>
      </c>
      <c r="CE84" s="17">
        <f t="shared" si="236"/>
        <v>-2.8964275638871384</v>
      </c>
      <c r="CG84" s="17">
        <f t="shared" si="237"/>
        <v>-3.0249101532847877</v>
      </c>
      <c r="CH84" s="17">
        <f t="shared" si="238"/>
        <v>1.5017004822445168</v>
      </c>
      <c r="CI84" s="17">
        <f t="shared" si="239"/>
        <v>-0.83837420097906401</v>
      </c>
      <c r="CK84" t="str">
        <f t="shared" si="252"/>
        <v>21 Science, research, engineering and technology professionals</v>
      </c>
      <c r="CL84" s="17">
        <f t="shared" si="240"/>
        <v>6.1664541980619214</v>
      </c>
      <c r="CM84" s="17">
        <f t="shared" si="240"/>
        <v>-2.1529677986710904</v>
      </c>
      <c r="CN84" s="17">
        <f t="shared" si="240"/>
        <v>3.1250542765726363</v>
      </c>
      <c r="CO84" s="17">
        <f t="shared" si="240"/>
        <v>1.0506032433983181</v>
      </c>
      <c r="CP84" s="17">
        <f t="shared" si="241"/>
        <v>1.4897907444924252</v>
      </c>
      <c r="CR84" s="17">
        <f t="shared" si="242"/>
        <v>1.7374083745811175</v>
      </c>
      <c r="CS84" s="17">
        <f t="shared" si="243"/>
        <v>2.0585699067525276</v>
      </c>
      <c r="CT84" s="17">
        <f t="shared" si="244"/>
        <v>3.4045795447517069</v>
      </c>
    </row>
    <row r="85" spans="1:98" x14ac:dyDescent="0.3">
      <c r="A85" t="str">
        <f t="shared" si="199"/>
        <v>22 Health professionals</v>
      </c>
      <c r="B85" s="17">
        <f t="shared" si="200"/>
        <v>8.4416041222783456</v>
      </c>
      <c r="C85" s="17">
        <f t="shared" si="200"/>
        <v>3.3317344612605604</v>
      </c>
      <c r="D85" s="17">
        <f t="shared" si="200"/>
        <v>5.6466617075590531</v>
      </c>
      <c r="E85" s="17">
        <f t="shared" si="200"/>
        <v>3.2417524459050995</v>
      </c>
      <c r="F85" s="17">
        <f t="shared" si="201"/>
        <v>3.9930086460166381</v>
      </c>
      <c r="H85" s="17">
        <f t="shared" si="202"/>
        <v>4.0372437585030951</v>
      </c>
      <c r="I85" s="17">
        <f t="shared" si="203"/>
        <v>3.6638066266976077</v>
      </c>
      <c r="J85" s="17">
        <f t="shared" si="204"/>
        <v>6.372965368091621</v>
      </c>
      <c r="L85" t="str">
        <f t="shared" si="245"/>
        <v>22 Health professionals</v>
      </c>
      <c r="M85" s="17">
        <f t="shared" si="205"/>
        <v>8.4457972032844673</v>
      </c>
      <c r="N85" s="17">
        <f t="shared" si="205"/>
        <v>1.6215714458124753</v>
      </c>
      <c r="O85" s="17">
        <f t="shared" si="205"/>
        <v>4.9770835369637778</v>
      </c>
      <c r="P85" s="17">
        <f t="shared" si="205"/>
        <v>2.8361678779899924</v>
      </c>
      <c r="Q85" s="17">
        <f t="shared" si="206"/>
        <v>3.4236425007168059</v>
      </c>
      <c r="S85" s="17">
        <f t="shared" si="207"/>
        <v>3.5449105834026495</v>
      </c>
      <c r="T85" s="17">
        <f t="shared" si="208"/>
        <v>3.7202466101194265</v>
      </c>
      <c r="U85" s="17">
        <f t="shared" si="209"/>
        <v>6.0568660863725254</v>
      </c>
      <c r="W85" t="str">
        <f t="shared" si="246"/>
        <v>22 Health professionals</v>
      </c>
      <c r="X85" s="17">
        <f t="shared" si="210"/>
        <v>3.9561118527046135</v>
      </c>
      <c r="Y85" s="17">
        <f t="shared" si="210"/>
        <v>2.5809721309612454</v>
      </c>
      <c r="Z85" s="17">
        <f t="shared" si="210"/>
        <v>2.2612889771054689</v>
      </c>
      <c r="AA85" s="17">
        <f t="shared" si="210"/>
        <v>1.1427557708977742</v>
      </c>
      <c r="AB85" s="17">
        <f t="shared" si="211"/>
        <v>1.5805790638108608</v>
      </c>
      <c r="AD85" s="17">
        <f t="shared" si="212"/>
        <v>1.514234132298875</v>
      </c>
      <c r="AE85" s="17">
        <f t="shared" si="213"/>
        <v>3.4524195816032943</v>
      </c>
      <c r="AF85" s="17">
        <f t="shared" si="214"/>
        <v>4.4327969833868108</v>
      </c>
      <c r="AH85" t="str">
        <f t="shared" si="247"/>
        <v>22 Health professionals</v>
      </c>
      <c r="AI85" s="17">
        <f t="shared" si="215"/>
        <v>-5.7118219033623685</v>
      </c>
      <c r="AJ85" s="17">
        <f t="shared" si="215"/>
        <v>-6.9930379566833238</v>
      </c>
      <c r="AK85" s="17">
        <f t="shared" si="215"/>
        <v>-9.4907969655971254</v>
      </c>
      <c r="AL85" s="17">
        <f t="shared" si="215"/>
        <v>-9.1808465958801442</v>
      </c>
      <c r="AM85" s="17">
        <f t="shared" si="216"/>
        <v>-9.1427467260502766</v>
      </c>
      <c r="AO85" s="17">
        <f t="shared" si="217"/>
        <v>-9.2842811433689114</v>
      </c>
      <c r="AP85" s="17">
        <f t="shared" si="218"/>
        <v>1.2393923036863042</v>
      </c>
      <c r="AQ85" s="17">
        <f t="shared" si="219"/>
        <v>-5.4010708894754567</v>
      </c>
      <c r="AS85" t="str">
        <f t="shared" si="248"/>
        <v>22 Health professionals</v>
      </c>
      <c r="AT85" s="17">
        <f t="shared" si="220"/>
        <v>3.4590186602387218</v>
      </c>
      <c r="AU85" s="17">
        <f t="shared" si="220"/>
        <v>12.773504498142184</v>
      </c>
      <c r="AV85" s="17">
        <f t="shared" si="220"/>
        <v>1.2772905317672167</v>
      </c>
      <c r="AW85" s="17">
        <f t="shared" si="220"/>
        <v>1.1394280917345512</v>
      </c>
      <c r="AX85" s="17">
        <f t="shared" si="221"/>
        <v>1.873393675534385</v>
      </c>
      <c r="AZ85" s="17">
        <f t="shared" si="222"/>
        <v>1.1853613742853319</v>
      </c>
      <c r="BA85" s="17">
        <f t="shared" si="223"/>
        <v>3.0261289173217687</v>
      </c>
      <c r="BB85" s="17">
        <f t="shared" si="224"/>
        <v>3.8298498751877963</v>
      </c>
      <c r="BD85" t="str">
        <f t="shared" si="249"/>
        <v>22 Health professionals</v>
      </c>
      <c r="BE85" s="17">
        <f t="shared" si="225"/>
        <v>5.8962198784466846</v>
      </c>
      <c r="BF85" s="17">
        <f t="shared" si="225"/>
        <v>1.7877027670159196</v>
      </c>
      <c r="BG85" s="17">
        <f t="shared" si="225"/>
        <v>1.9085327970600696</v>
      </c>
      <c r="BH85" s="17">
        <f t="shared" si="225"/>
        <v>0.60629293337701728</v>
      </c>
      <c r="BI85" s="17">
        <f t="shared" si="226"/>
        <v>1.0851757076012936</v>
      </c>
      <c r="BK85" s="17">
        <f t="shared" si="227"/>
        <v>1.0385133421343617</v>
      </c>
      <c r="BL85" s="17">
        <f t="shared" si="228"/>
        <v>3.2327691734377995</v>
      </c>
      <c r="BM85" s="17">
        <f t="shared" si="229"/>
        <v>3.9160142519660823</v>
      </c>
      <c r="BO85" t="str">
        <f t="shared" si="250"/>
        <v>22 Health professionals</v>
      </c>
      <c r="BP85" s="17">
        <f t="shared" si="230"/>
        <v>3.7637301819402724</v>
      </c>
      <c r="BQ85" s="17">
        <f t="shared" si="230"/>
        <v>-1.7580671128308079</v>
      </c>
      <c r="BR85" s="17">
        <f t="shared" si="230"/>
        <v>-0.26736568531082749</v>
      </c>
      <c r="BS85" s="17">
        <f t="shared" si="230"/>
        <v>-2.4821609554292134</v>
      </c>
      <c r="BT85" s="17">
        <f t="shared" si="231"/>
        <v>-1.7499562277767944</v>
      </c>
      <c r="BV85" s="17">
        <f t="shared" si="232"/>
        <v>-1.7494154782978111</v>
      </c>
      <c r="BW85" s="17">
        <f t="shared" si="233"/>
        <v>2.4567618783985168</v>
      </c>
      <c r="BX85" s="17">
        <f t="shared" si="234"/>
        <v>1.2597489399055251</v>
      </c>
      <c r="BZ85" t="str">
        <f t="shared" si="251"/>
        <v>22 Health professionals</v>
      </c>
      <c r="CA85" s="17">
        <f t="shared" si="235"/>
        <v>4.0298596315243573</v>
      </c>
      <c r="CB85" s="17">
        <f t="shared" si="235"/>
        <v>-12.22940182974237</v>
      </c>
      <c r="CC85" s="17">
        <f t="shared" si="235"/>
        <v>-0.66841335098160037</v>
      </c>
      <c r="CD85" s="17">
        <f t="shared" si="235"/>
        <v>-4.9478628218719507</v>
      </c>
      <c r="CE85" s="17">
        <f t="shared" si="236"/>
        <v>-4.109562765836861</v>
      </c>
      <c r="CG85" s="17">
        <f t="shared" si="237"/>
        <v>-3.5422675354522037</v>
      </c>
      <c r="CH85" s="17">
        <f t="shared" si="238"/>
        <v>2.0315052399915157</v>
      </c>
      <c r="CI85" s="17">
        <f t="shared" si="239"/>
        <v>-0.45205976778422974</v>
      </c>
      <c r="CK85" t="str">
        <f t="shared" si="252"/>
        <v>22 Health professionals</v>
      </c>
      <c r="CL85" s="17">
        <f t="shared" si="240"/>
        <v>7.7922221073102982</v>
      </c>
      <c r="CM85" s="17">
        <f t="shared" si="240"/>
        <v>0.24527289342191061</v>
      </c>
      <c r="CN85" s="17">
        <f t="shared" si="240"/>
        <v>4.8544017235831793</v>
      </c>
      <c r="CO85" s="17">
        <f t="shared" si="240"/>
        <v>3.1345834370396508</v>
      </c>
      <c r="CP85" s="17">
        <f t="shared" si="241"/>
        <v>3.4850291806642009</v>
      </c>
      <c r="CR85" s="17">
        <f t="shared" si="242"/>
        <v>3.7046988634342304</v>
      </c>
      <c r="CS85" s="17">
        <f t="shared" si="243"/>
        <v>3.0245254117937215</v>
      </c>
      <c r="CT85" s="17">
        <f t="shared" si="244"/>
        <v>5.6768845213862829</v>
      </c>
    </row>
    <row r="86" spans="1:98" x14ac:dyDescent="0.3">
      <c r="A86" t="str">
        <f t="shared" si="199"/>
        <v>23 Teaching and other educational professionals</v>
      </c>
      <c r="B86" s="17">
        <f t="shared" si="200"/>
        <v>3.9264938891066192</v>
      </c>
      <c r="C86" s="17">
        <f t="shared" si="200"/>
        <v>3.8376412750425581</v>
      </c>
      <c r="D86" s="17">
        <f t="shared" si="200"/>
        <v>3.2209165953997143</v>
      </c>
      <c r="E86" s="17">
        <f t="shared" si="200"/>
        <v>1.9941660516507254</v>
      </c>
      <c r="F86" s="17">
        <f t="shared" si="201"/>
        <v>2.4906311895954492</v>
      </c>
      <c r="H86" s="17">
        <f t="shared" si="202"/>
        <v>2.4014543304673008</v>
      </c>
      <c r="I86" s="17">
        <f t="shared" si="203"/>
        <v>3.2653582342859311</v>
      </c>
      <c r="J86" s="17">
        <f t="shared" si="204"/>
        <v>4.8911141932931335</v>
      </c>
      <c r="L86" t="str">
        <f t="shared" si="245"/>
        <v>23 Teaching and other educational professionals</v>
      </c>
      <c r="M86" s="17">
        <f t="shared" si="205"/>
        <v>4.6137148771902003</v>
      </c>
      <c r="N86" s="17">
        <f t="shared" si="205"/>
        <v>3.5503508103302384</v>
      </c>
      <c r="O86" s="17">
        <f t="shared" si="205"/>
        <v>3.0267555470964158</v>
      </c>
      <c r="P86" s="17">
        <f t="shared" si="205"/>
        <v>1.7896238506878381</v>
      </c>
      <c r="Q86" s="17">
        <f t="shared" si="206"/>
        <v>2.2841991626068481</v>
      </c>
      <c r="S86" s="17">
        <f t="shared" si="207"/>
        <v>2.2003416212245996</v>
      </c>
      <c r="T86" s="17">
        <f t="shared" si="208"/>
        <v>3.3354841152653858</v>
      </c>
      <c r="U86" s="17">
        <f t="shared" si="209"/>
        <v>4.8055295214589622</v>
      </c>
      <c r="W86" t="str">
        <f t="shared" si="246"/>
        <v>23 Teaching and other educational professionals</v>
      </c>
      <c r="X86" s="17">
        <f t="shared" si="210"/>
        <v>-2.591820378820453</v>
      </c>
      <c r="Y86" s="17">
        <f t="shared" si="210"/>
        <v>5.723415895981665</v>
      </c>
      <c r="Z86" s="17">
        <f t="shared" si="210"/>
        <v>-2.7890844725569797</v>
      </c>
      <c r="AA86" s="17">
        <f t="shared" si="210"/>
        <v>-1.7328309900068284</v>
      </c>
      <c r="AB86" s="17">
        <f t="shared" si="211"/>
        <v>-1.6154451525772662</v>
      </c>
      <c r="AD86" s="17">
        <f t="shared" si="212"/>
        <v>-2.0861845661576228</v>
      </c>
      <c r="AE86" s="17">
        <f t="shared" si="213"/>
        <v>2.431075647202352</v>
      </c>
      <c r="AF86" s="17">
        <f t="shared" si="214"/>
        <v>1.0097111398550407</v>
      </c>
      <c r="AH86" t="str">
        <f t="shared" si="247"/>
        <v>23 Teaching and other educational professionals</v>
      </c>
      <c r="AI86" s="17">
        <f t="shared" si="215"/>
        <v>-12.305604572350305</v>
      </c>
      <c r="AJ86" s="17">
        <f t="shared" si="215"/>
        <v>-5.4906970805193023</v>
      </c>
      <c r="AK86" s="17">
        <f t="shared" si="215"/>
        <v>-6.443320327965651</v>
      </c>
      <c r="AL86" s="17">
        <f t="shared" si="215"/>
        <v>0.48625752184274784</v>
      </c>
      <c r="AM86" s="17">
        <f t="shared" si="216"/>
        <v>-2.1085627363040427</v>
      </c>
      <c r="AO86" s="17">
        <f t="shared" si="217"/>
        <v>-1.8788307851084318</v>
      </c>
      <c r="AP86" s="17">
        <f t="shared" si="218"/>
        <v>1.4329304411837107</v>
      </c>
      <c r="AQ86" s="17">
        <f t="shared" si="219"/>
        <v>-6.5073932301540349E-2</v>
      </c>
      <c r="AS86" t="str">
        <f t="shared" si="248"/>
        <v>23 Teaching and other educational professionals</v>
      </c>
      <c r="AT86" s="17">
        <f t="shared" si="220"/>
        <v>0.19935394537535789</v>
      </c>
      <c r="AU86" s="17">
        <f t="shared" si="220"/>
        <v>6.5370480483755156</v>
      </c>
      <c r="AV86" s="17">
        <f t="shared" si="220"/>
        <v>-2.2190071668528599</v>
      </c>
      <c r="AW86" s="17">
        <f t="shared" si="220"/>
        <v>-0.55074082917792033</v>
      </c>
      <c r="AX86" s="17">
        <f t="shared" si="221"/>
        <v>-0.64853517277910777</v>
      </c>
      <c r="AZ86" s="17">
        <f t="shared" si="222"/>
        <v>-1.1099683876019895</v>
      </c>
      <c r="BA86" s="17">
        <f t="shared" si="223"/>
        <v>2.5035732656327303</v>
      </c>
      <c r="BB86" s="17">
        <f t="shared" si="224"/>
        <v>1.7377896634653167</v>
      </c>
      <c r="BD86" t="str">
        <f t="shared" si="249"/>
        <v>23 Teaching and other educational professionals</v>
      </c>
      <c r="BE86" s="17">
        <f t="shared" si="225"/>
        <v>0.87588055268694731</v>
      </c>
      <c r="BF86" s="17">
        <f t="shared" si="225"/>
        <v>10.583036063982076</v>
      </c>
      <c r="BG86" s="17">
        <f t="shared" si="225"/>
        <v>0.37397098758857883</v>
      </c>
      <c r="BH86" s="17">
        <f t="shared" si="225"/>
        <v>0.89858779855513937</v>
      </c>
      <c r="BI86" s="17">
        <f t="shared" si="226"/>
        <v>1.3130307471820979</v>
      </c>
      <c r="BK86" s="17">
        <f t="shared" si="227"/>
        <v>0.72341157004407464</v>
      </c>
      <c r="BL86" s="17">
        <f t="shared" si="228"/>
        <v>2.4769412896893828</v>
      </c>
      <c r="BM86" s="17">
        <f t="shared" si="229"/>
        <v>2.9983863779704301</v>
      </c>
      <c r="BO86" t="str">
        <f t="shared" si="250"/>
        <v>23 Teaching and other educational professionals</v>
      </c>
      <c r="BP86" s="17">
        <f t="shared" si="230"/>
        <v>0.3634410893726514</v>
      </c>
      <c r="BQ86" s="17">
        <f t="shared" si="230"/>
        <v>1.8639196226380994</v>
      </c>
      <c r="BR86" s="17">
        <f t="shared" si="230"/>
        <v>-1.1567888591281772</v>
      </c>
      <c r="BS86" s="17">
        <f t="shared" si="230"/>
        <v>-1.430152467783119</v>
      </c>
      <c r="BT86" s="17">
        <f t="shared" si="231"/>
        <v>-1.1419097821269042</v>
      </c>
      <c r="BV86" s="17">
        <f t="shared" si="232"/>
        <v>-1.3391153707855263</v>
      </c>
      <c r="BW86" s="17">
        <f t="shared" si="233"/>
        <v>2.3765160708036692</v>
      </c>
      <c r="BX86" s="17">
        <f t="shared" si="234"/>
        <v>1.4403569079337375</v>
      </c>
      <c r="BZ86" t="str">
        <f t="shared" si="251"/>
        <v>23 Teaching and other educational professionals</v>
      </c>
      <c r="CA86" s="17">
        <f t="shared" si="235"/>
        <v>0.57561153564995582</v>
      </c>
      <c r="CB86" s="17">
        <f t="shared" si="235"/>
        <v>2.3438344558130764</v>
      </c>
      <c r="CC86" s="17">
        <f t="shared" si="235"/>
        <v>-0.75265441197011063</v>
      </c>
      <c r="CD86" s="17">
        <f t="shared" si="235"/>
        <v>-2.4840167094651533</v>
      </c>
      <c r="CE86" s="17">
        <f t="shared" si="236"/>
        <v>-1.6496546483852015</v>
      </c>
      <c r="CG86" s="17">
        <f t="shared" si="237"/>
        <v>-1.9102781735909624</v>
      </c>
      <c r="CH86" s="17">
        <f t="shared" si="238"/>
        <v>2.1938746596518843</v>
      </c>
      <c r="CI86" s="17">
        <f t="shared" si="239"/>
        <v>0.83909157015109592</v>
      </c>
      <c r="CK86" t="str">
        <f t="shared" si="252"/>
        <v>23 Teaching and other educational professionals</v>
      </c>
      <c r="CL86" s="17">
        <f t="shared" si="240"/>
        <v>4.597300811324323</v>
      </c>
      <c r="CM86" s="17">
        <f t="shared" si="240"/>
        <v>13.441341567627219</v>
      </c>
      <c r="CN86" s="17">
        <f t="shared" si="240"/>
        <v>2.8651354894495107</v>
      </c>
      <c r="CO86" s="17">
        <f t="shared" si="240"/>
        <v>0.14304008350995989</v>
      </c>
      <c r="CP86" s="17">
        <f t="shared" si="241"/>
        <v>1.7759125243420382</v>
      </c>
      <c r="CR86" s="17">
        <f t="shared" si="242"/>
        <v>1.0423058098114169</v>
      </c>
      <c r="CS86" s="17">
        <f t="shared" si="243"/>
        <v>2.5154004933292562</v>
      </c>
      <c r="CT86" s="17">
        <f t="shared" si="244"/>
        <v>3.2678166835173439</v>
      </c>
    </row>
    <row r="87" spans="1:98" x14ac:dyDescent="0.3">
      <c r="A87" t="str">
        <f t="shared" si="199"/>
        <v>24 Business, media and public service professionals</v>
      </c>
      <c r="B87" s="17">
        <f t="shared" si="200"/>
        <v>8.5811244923335686</v>
      </c>
      <c r="C87" s="17">
        <f t="shared" si="200"/>
        <v>8.2910277387021623</v>
      </c>
      <c r="D87" s="17">
        <f t="shared" si="200"/>
        <v>7.262735039901691</v>
      </c>
      <c r="E87" s="17">
        <f t="shared" si="200"/>
        <v>4.0432064318585148</v>
      </c>
      <c r="F87" s="17">
        <f t="shared" si="201"/>
        <v>5.301820739583607</v>
      </c>
      <c r="H87" s="17">
        <f t="shared" si="202"/>
        <v>5.105499585326978</v>
      </c>
      <c r="I87" s="17">
        <f t="shared" si="203"/>
        <v>3.9331041258968025</v>
      </c>
      <c r="J87" s="17">
        <f t="shared" si="204"/>
        <v>7.3415443503236588</v>
      </c>
      <c r="L87" t="str">
        <f t="shared" si="245"/>
        <v>24 Business, media and public service professionals</v>
      </c>
      <c r="M87" s="17">
        <f t="shared" si="205"/>
        <v>8.6530137675869145</v>
      </c>
      <c r="N87" s="17">
        <f t="shared" si="205"/>
        <v>7.4145577594508127</v>
      </c>
      <c r="O87" s="17">
        <f t="shared" si="205"/>
        <v>5.8375482957617741</v>
      </c>
      <c r="P87" s="17">
        <f t="shared" si="205"/>
        <v>3.20693734221833</v>
      </c>
      <c r="Q87" s="17">
        <f t="shared" si="206"/>
        <v>4.2820191564197474</v>
      </c>
      <c r="S87" s="17">
        <f t="shared" si="207"/>
        <v>4.0764613009001138</v>
      </c>
      <c r="T87" s="17">
        <f t="shared" si="208"/>
        <v>3.6673007264244495</v>
      </c>
      <c r="U87" s="17">
        <f t="shared" si="209"/>
        <v>6.4041526704384122</v>
      </c>
      <c r="W87" t="str">
        <f t="shared" si="246"/>
        <v>24 Business, media and public service professionals</v>
      </c>
      <c r="X87" s="17">
        <f t="shared" si="210"/>
        <v>3.2237840262302031</v>
      </c>
      <c r="Y87" s="17">
        <f t="shared" si="210"/>
        <v>9.0668659951191444</v>
      </c>
      <c r="Z87" s="17">
        <f t="shared" si="210"/>
        <v>1.5017598360020479</v>
      </c>
      <c r="AA87" s="17">
        <f t="shared" si="210"/>
        <v>0.46814597439910344</v>
      </c>
      <c r="AB87" s="17">
        <f t="shared" si="211"/>
        <v>1.3086517974909118</v>
      </c>
      <c r="AD87" s="17">
        <f t="shared" si="212"/>
        <v>0.81150910267762111</v>
      </c>
      <c r="AE87" s="17">
        <f t="shared" si="213"/>
        <v>3.0242288292573694</v>
      </c>
      <c r="AF87" s="17">
        <f t="shared" si="214"/>
        <v>3.5697478270721117</v>
      </c>
      <c r="AH87" t="str">
        <f t="shared" si="247"/>
        <v>24 Business, media and public service professionals</v>
      </c>
      <c r="AI87" s="17">
        <f t="shared" si="215"/>
        <v>-0.736927829737688</v>
      </c>
      <c r="AJ87" s="17">
        <f t="shared" si="215"/>
        <v>12.635708359340247</v>
      </c>
      <c r="AK87" s="17">
        <f t="shared" si="215"/>
        <v>-0.66488365201464728</v>
      </c>
      <c r="AL87" s="17">
        <f t="shared" si="215"/>
        <v>0.45135272102709845</v>
      </c>
      <c r="AM87" s="17">
        <f t="shared" si="216"/>
        <v>0.82001340879440665</v>
      </c>
      <c r="AO87" s="17">
        <f t="shared" si="217"/>
        <v>7.7887152483424593E-2</v>
      </c>
      <c r="AP87" s="17">
        <f t="shared" si="218"/>
        <v>2.1496380520627856</v>
      </c>
      <c r="AQ87" s="17">
        <f t="shared" si="219"/>
        <v>2.207553590611866</v>
      </c>
      <c r="AS87" t="str">
        <f t="shared" si="248"/>
        <v>24 Business, media and public service professionals</v>
      </c>
      <c r="AT87" s="17">
        <f t="shared" si="220"/>
        <v>2.5657081494163458</v>
      </c>
      <c r="AU87" s="17">
        <f t="shared" si="220"/>
        <v>11.401182343162608</v>
      </c>
      <c r="AV87" s="17">
        <f t="shared" si="220"/>
        <v>1.4069061727498999</v>
      </c>
      <c r="AW87" s="17">
        <f t="shared" si="220"/>
        <v>0.78056194165661008</v>
      </c>
      <c r="AX87" s="17">
        <f t="shared" si="221"/>
        <v>1.6101754668404133</v>
      </c>
      <c r="AZ87" s="17">
        <f t="shared" si="222"/>
        <v>0.98891231856148565</v>
      </c>
      <c r="BA87" s="17">
        <f t="shared" si="223"/>
        <v>2.8971998561567958</v>
      </c>
      <c r="BB87" s="17">
        <f t="shared" si="224"/>
        <v>3.5758657686219886</v>
      </c>
      <c r="BD87" t="str">
        <f t="shared" si="249"/>
        <v>24 Business, media and public service professionals</v>
      </c>
      <c r="BE87" s="17">
        <f t="shared" si="225"/>
        <v>3.4079040576949993</v>
      </c>
      <c r="BF87" s="17">
        <f t="shared" si="225"/>
        <v>9.9454942766979304</v>
      </c>
      <c r="BG87" s="17">
        <f t="shared" si="225"/>
        <v>0.64771601069597562</v>
      </c>
      <c r="BH87" s="17">
        <f t="shared" si="225"/>
        <v>3.2925813820527949E-2</v>
      </c>
      <c r="BI87" s="17">
        <f t="shared" si="226"/>
        <v>0.81825428182762394</v>
      </c>
      <c r="BK87" s="17">
        <f t="shared" si="227"/>
        <v>0.23743748195279579</v>
      </c>
      <c r="BL87" s="17">
        <f t="shared" si="228"/>
        <v>2.3693242658912483</v>
      </c>
      <c r="BM87" s="17">
        <f t="shared" si="229"/>
        <v>2.5412305775341482</v>
      </c>
      <c r="BO87" t="str">
        <f t="shared" si="250"/>
        <v>24 Business, media and public service professionals</v>
      </c>
      <c r="BP87" s="17">
        <f t="shared" si="230"/>
        <v>2.0750873381720325</v>
      </c>
      <c r="BQ87" s="17">
        <f t="shared" si="230"/>
        <v>3.6919123194870673</v>
      </c>
      <c r="BR87" s="17">
        <f t="shared" si="230"/>
        <v>-0.89443957164370147</v>
      </c>
      <c r="BS87" s="17">
        <f t="shared" si="230"/>
        <v>-2.2105851847515123</v>
      </c>
      <c r="BT87" s="17">
        <f t="shared" si="231"/>
        <v>-1.4408177258641963</v>
      </c>
      <c r="BV87" s="17">
        <f t="shared" si="232"/>
        <v>-1.7738236138239327</v>
      </c>
      <c r="BW87" s="17">
        <f t="shared" si="233"/>
        <v>2.0710763849776548</v>
      </c>
      <c r="BX87" s="17">
        <f t="shared" si="234"/>
        <v>0.78567953855066541</v>
      </c>
      <c r="BZ87" t="str">
        <f t="shared" si="251"/>
        <v>24 Business, media and public service professionals</v>
      </c>
      <c r="CA87" s="17">
        <f t="shared" si="235"/>
        <v>2.6010741182352914</v>
      </c>
      <c r="CB87" s="17">
        <f t="shared" si="235"/>
        <v>3.0976024824127757</v>
      </c>
      <c r="CC87" s="17">
        <f t="shared" si="235"/>
        <v>-1.0052798571702604</v>
      </c>
      <c r="CD87" s="17">
        <f t="shared" si="235"/>
        <v>-4.208105225565939</v>
      </c>
      <c r="CE87" s="17">
        <f t="shared" si="236"/>
        <v>-2.7729133047196153</v>
      </c>
      <c r="CG87" s="17">
        <f t="shared" si="237"/>
        <v>-3.1521791434794055</v>
      </c>
      <c r="CH87" s="17">
        <f t="shared" si="238"/>
        <v>1.8530767604852283</v>
      </c>
      <c r="CI87" s="17">
        <f t="shared" si="239"/>
        <v>-0.44285558131019753</v>
      </c>
      <c r="CK87" t="str">
        <f t="shared" si="252"/>
        <v>24 Business, media and public service professionals</v>
      </c>
      <c r="CL87" s="17">
        <f t="shared" si="240"/>
        <v>5.3580577855972145</v>
      </c>
      <c r="CM87" s="17">
        <f t="shared" si="240"/>
        <v>-2.1133647195784588</v>
      </c>
      <c r="CN87" s="17">
        <f t="shared" si="240"/>
        <v>1.1350067861041868</v>
      </c>
      <c r="CO87" s="17">
        <f t="shared" si="240"/>
        <v>0.46025023241682561</v>
      </c>
      <c r="CP87" s="17">
        <f t="shared" si="241"/>
        <v>0.50747059097409064</v>
      </c>
      <c r="CR87" s="17">
        <f t="shared" si="242"/>
        <v>0.68466738709389574</v>
      </c>
      <c r="CS87" s="17">
        <f t="shared" si="243"/>
        <v>2.1385143734796053</v>
      </c>
      <c r="CT87" s="17">
        <f t="shared" si="244"/>
        <v>2.6541542275147822</v>
      </c>
    </row>
    <row r="88" spans="1:98" x14ac:dyDescent="0.3">
      <c r="A88" t="str">
        <f t="shared" si="199"/>
        <v>31 Science, engineering and technology associate professionals</v>
      </c>
      <c r="B88" s="17">
        <f t="shared" si="200"/>
        <v>9.6800100299731628</v>
      </c>
      <c r="C88" s="17">
        <f t="shared" si="200"/>
        <v>9.7021028741781876</v>
      </c>
      <c r="D88" s="17">
        <f t="shared" si="200"/>
        <v>3.3257182957145082</v>
      </c>
      <c r="E88" s="17">
        <f t="shared" si="200"/>
        <v>4.3296787961425887</v>
      </c>
      <c r="F88" s="17">
        <f t="shared" si="201"/>
        <v>4.3418394865825105</v>
      </c>
      <c r="H88" s="17">
        <f t="shared" si="202"/>
        <v>3.9939460675462168</v>
      </c>
      <c r="I88" s="17">
        <f t="shared" si="203"/>
        <v>3.3359705915249283</v>
      </c>
      <c r="J88" s="17">
        <f t="shared" si="204"/>
        <v>6.1134776674749647</v>
      </c>
      <c r="L88" t="str">
        <f t="shared" si="245"/>
        <v>31 Science, engineering and technology associate professionals</v>
      </c>
      <c r="M88" s="17">
        <f t="shared" si="205"/>
        <v>8.58946136979446</v>
      </c>
      <c r="N88" s="17">
        <f t="shared" si="205"/>
        <v>10.263251521906946</v>
      </c>
      <c r="O88" s="17">
        <f t="shared" si="205"/>
        <v>1.5458637531088115</v>
      </c>
      <c r="P88" s="17">
        <f t="shared" si="205"/>
        <v>3.3296203069512975</v>
      </c>
      <c r="Q88" s="17">
        <f t="shared" si="206"/>
        <v>3.1868595446008507</v>
      </c>
      <c r="S88" s="17">
        <f t="shared" si="207"/>
        <v>2.7315801940649198</v>
      </c>
      <c r="T88" s="17">
        <f t="shared" si="208"/>
        <v>2.8694771057994561</v>
      </c>
      <c r="U88" s="17">
        <f t="shared" si="209"/>
        <v>4.8223185008303915</v>
      </c>
      <c r="W88" t="str">
        <f t="shared" si="246"/>
        <v>31 Science, engineering and technology associate professionals</v>
      </c>
      <c r="X88" s="17">
        <f t="shared" si="210"/>
        <v>4.6590429404803402</v>
      </c>
      <c r="Y88" s="17">
        <f t="shared" si="210"/>
        <v>7.5116759110351206</v>
      </c>
      <c r="Z88" s="17">
        <f t="shared" si="210"/>
        <v>-1.6330428199867963</v>
      </c>
      <c r="AA88" s="17">
        <f t="shared" si="210"/>
        <v>0.94908562415125797</v>
      </c>
      <c r="AB88" s="17">
        <f t="shared" si="211"/>
        <v>0.52992467438024438</v>
      </c>
      <c r="AD88" s="17">
        <f t="shared" si="212"/>
        <v>8.0931488509805583E-2</v>
      </c>
      <c r="AE88" s="17">
        <f t="shared" si="213"/>
        <v>2.4129559110154464</v>
      </c>
      <c r="AF88" s="17">
        <f t="shared" si="214"/>
        <v>2.4710171916950907</v>
      </c>
      <c r="AH88" t="str">
        <f t="shared" si="247"/>
        <v>31 Science, engineering and technology associate professionals</v>
      </c>
      <c r="AI88" s="17">
        <f t="shared" si="215"/>
        <v>5.1923746333883525</v>
      </c>
      <c r="AJ88" s="17">
        <f t="shared" si="215"/>
        <v>12.345093736271551</v>
      </c>
      <c r="AK88" s="17">
        <f t="shared" si="215"/>
        <v>0.41450665380640128</v>
      </c>
      <c r="AL88" s="17">
        <f t="shared" si="215"/>
        <v>2.6217141718491099</v>
      </c>
      <c r="AM88" s="17">
        <f t="shared" si="216"/>
        <v>2.5051217483020416</v>
      </c>
      <c r="AO88" s="17">
        <f t="shared" si="217"/>
        <v>1.8806396033692163</v>
      </c>
      <c r="AP88" s="17">
        <f t="shared" si="218"/>
        <v>2.8741714338419433</v>
      </c>
      <c r="AQ88" s="17">
        <f t="shared" si="219"/>
        <v>4.1943728996715945</v>
      </c>
      <c r="AS88" t="str">
        <f t="shared" si="248"/>
        <v>31 Science, engineering and technology associate professionals</v>
      </c>
      <c r="AT88" s="17">
        <f t="shared" si="220"/>
        <v>1.9701974769232189</v>
      </c>
      <c r="AU88" s="17">
        <f t="shared" si="220"/>
        <v>7.0123310138793693</v>
      </c>
      <c r="AV88" s="17">
        <f t="shared" si="220"/>
        <v>-3.706476907341083</v>
      </c>
      <c r="AW88" s="17">
        <f t="shared" si="220"/>
        <v>-7.4057145803896329E-2</v>
      </c>
      <c r="AX88" s="17">
        <f t="shared" si="221"/>
        <v>-0.79978585988143003</v>
      </c>
      <c r="AZ88" s="17">
        <f t="shared" si="222"/>
        <v>-1.2998387911124842</v>
      </c>
      <c r="BA88" s="17">
        <f t="shared" si="223"/>
        <v>1.8945122740976927</v>
      </c>
      <c r="BB88" s="17">
        <f t="shared" si="224"/>
        <v>0.91819585168755324</v>
      </c>
      <c r="BD88" t="str">
        <f t="shared" si="249"/>
        <v>31 Science, engineering and technology associate professionals</v>
      </c>
      <c r="BE88" s="17">
        <f t="shared" si="225"/>
        <v>1.60519235649208</v>
      </c>
      <c r="BF88" s="17">
        <f t="shared" si="225"/>
        <v>9.8797739354568481</v>
      </c>
      <c r="BG88" s="17">
        <f t="shared" si="225"/>
        <v>-6.0807146075530394</v>
      </c>
      <c r="BH88" s="17">
        <f t="shared" si="225"/>
        <v>-2.1947729902919266</v>
      </c>
      <c r="BI88" s="17">
        <f t="shared" si="226"/>
        <v>-2.72090552425992</v>
      </c>
      <c r="BK88" s="17">
        <f t="shared" si="227"/>
        <v>-3.5076307454907862</v>
      </c>
      <c r="BL88" s="17">
        <f t="shared" si="228"/>
        <v>1.4726348350889484</v>
      </c>
      <c r="BM88" s="17">
        <f t="shared" si="229"/>
        <v>-1.2304919552030613</v>
      </c>
      <c r="BO88" t="str">
        <f t="shared" si="250"/>
        <v>31 Science, engineering and technology associate professionals</v>
      </c>
      <c r="BP88" s="17">
        <f t="shared" si="230"/>
        <v>3.1829772452100613</v>
      </c>
      <c r="BQ88" s="17">
        <f t="shared" si="230"/>
        <v>6.8714261032874591</v>
      </c>
      <c r="BR88" s="17">
        <f t="shared" si="230"/>
        <v>-4.4504050235663728</v>
      </c>
      <c r="BS88" s="17">
        <f t="shared" si="230"/>
        <v>-1.0917330224817778</v>
      </c>
      <c r="BT88" s="17">
        <f t="shared" si="231"/>
        <v>-1.6791246679674687</v>
      </c>
      <c r="BV88" s="17">
        <f t="shared" si="232"/>
        <v>-2.2242074107366672</v>
      </c>
      <c r="BW88" s="17">
        <f t="shared" si="233"/>
        <v>1.7355870626009962</v>
      </c>
      <c r="BX88" s="17">
        <f t="shared" si="234"/>
        <v>5.3793622772135841E-2</v>
      </c>
      <c r="BZ88" t="str">
        <f t="shared" si="251"/>
        <v>31 Science, engineering and technology associate professionals</v>
      </c>
      <c r="CA88" s="17">
        <f t="shared" si="235"/>
        <v>3.8818246812096779</v>
      </c>
      <c r="CB88" s="17">
        <f t="shared" si="235"/>
        <v>7.3888982700052619</v>
      </c>
      <c r="CC88" s="17">
        <f t="shared" si="235"/>
        <v>-4.1659205593768345</v>
      </c>
      <c r="CD88" s="17">
        <f t="shared" si="235"/>
        <v>-2.3617694590914451</v>
      </c>
      <c r="CE88" s="17">
        <f t="shared" si="236"/>
        <v>-2.3499676084123844</v>
      </c>
      <c r="CG88" s="17">
        <f t="shared" si="237"/>
        <v>-2.9668957645618721</v>
      </c>
      <c r="CH88" s="17">
        <f t="shared" si="238"/>
        <v>1.5952727600910599</v>
      </c>
      <c r="CI88" s="17">
        <f t="shared" si="239"/>
        <v>-0.66727217190873933</v>
      </c>
      <c r="CK88" t="str">
        <f t="shared" si="252"/>
        <v>31 Science, engineering and technology associate professionals</v>
      </c>
      <c r="CL88" s="17">
        <f t="shared" si="240"/>
        <v>8.0382432550028646</v>
      </c>
      <c r="CM88" s="17">
        <f t="shared" si="240"/>
        <v>11.300720582138002</v>
      </c>
      <c r="CN88" s="17">
        <f t="shared" si="240"/>
        <v>1.1844213553846794</v>
      </c>
      <c r="CO88" s="17">
        <f t="shared" si="240"/>
        <v>3.1391800385068613</v>
      </c>
      <c r="CP88" s="17">
        <f t="shared" si="241"/>
        <v>3.0134509788153796</v>
      </c>
      <c r="CR88" s="17">
        <f t="shared" si="242"/>
        <v>2.483433488465403</v>
      </c>
      <c r="CS88" s="17">
        <f t="shared" si="243"/>
        <v>2.4933959421594043</v>
      </c>
      <c r="CT88" s="17">
        <f t="shared" si="244"/>
        <v>4.3414012767094778</v>
      </c>
    </row>
    <row r="89" spans="1:98" x14ac:dyDescent="0.3">
      <c r="A89" t="str">
        <f t="shared" si="199"/>
        <v>32 Health and social care associate professionals</v>
      </c>
      <c r="B89" s="17">
        <f t="shared" si="200"/>
        <v>8.6119216986399358</v>
      </c>
      <c r="C89" s="17">
        <f t="shared" si="200"/>
        <v>-5.7359207128243046</v>
      </c>
      <c r="D89" s="17">
        <f t="shared" si="200"/>
        <v>6.6744901662967093</v>
      </c>
      <c r="E89" s="17">
        <f t="shared" si="200"/>
        <v>4.8773093237098886</v>
      </c>
      <c r="F89" s="17">
        <f t="shared" si="201"/>
        <v>4.7349259138359079</v>
      </c>
      <c r="H89" s="17">
        <f t="shared" si="202"/>
        <v>5.4729799744506424</v>
      </c>
      <c r="I89" s="17">
        <f t="shared" si="203"/>
        <v>4.6208901322025042</v>
      </c>
      <c r="J89" s="17">
        <f t="shared" si="204"/>
        <v>8.0472567976186617</v>
      </c>
      <c r="L89" t="str">
        <f t="shared" si="245"/>
        <v>32 Health and social care associate professionals</v>
      </c>
      <c r="M89" s="17">
        <f t="shared" si="205"/>
        <v>8.6170145905885462</v>
      </c>
      <c r="N89" s="17">
        <f t="shared" si="205"/>
        <v>4.0096356024323265</v>
      </c>
      <c r="O89" s="17">
        <f t="shared" si="205"/>
        <v>5.0902307904239663</v>
      </c>
      <c r="P89" s="17">
        <f t="shared" si="205"/>
        <v>4.1731832328699925</v>
      </c>
      <c r="Q89" s="17">
        <f t="shared" si="206"/>
        <v>4.4486403485166415</v>
      </c>
      <c r="S89" s="17">
        <f t="shared" si="207"/>
        <v>4.4779731280935264</v>
      </c>
      <c r="T89" s="17">
        <f t="shared" si="208"/>
        <v>4.1794610670140564</v>
      </c>
      <c r="U89" s="17">
        <f t="shared" si="209"/>
        <v>7.0470833991729043</v>
      </c>
      <c r="W89" t="str">
        <f t="shared" si="246"/>
        <v>32 Health and social care associate professionals</v>
      </c>
      <c r="X89" s="17">
        <f t="shared" si="210"/>
        <v>4.1516588860096793</v>
      </c>
      <c r="Y89" s="17">
        <f t="shared" si="210"/>
        <v>5.1973413633586985</v>
      </c>
      <c r="Z89" s="17">
        <f t="shared" si="210"/>
        <v>2.0995935500870866</v>
      </c>
      <c r="AA89" s="17">
        <f t="shared" si="210"/>
        <v>1.9255787729856921</v>
      </c>
      <c r="AB89" s="17">
        <f t="shared" si="211"/>
        <v>2.1815045971278479</v>
      </c>
      <c r="AD89" s="17">
        <f t="shared" si="212"/>
        <v>1.9835507198811442</v>
      </c>
      <c r="AE89" s="17">
        <f t="shared" si="213"/>
        <v>3.7874854899793808</v>
      </c>
      <c r="AF89" s="17">
        <f t="shared" si="214"/>
        <v>5.0343109704403144</v>
      </c>
      <c r="AH89" t="str">
        <f t="shared" si="247"/>
        <v>32 Health and social care associate professionals</v>
      </c>
      <c r="AI89" s="17">
        <f t="shared" si="215"/>
        <v>-3.5178052530035697</v>
      </c>
      <c r="AJ89" s="17">
        <f t="shared" si="215"/>
        <v>-0.36140229918941724</v>
      </c>
      <c r="AK89" s="17">
        <f t="shared" si="215"/>
        <v>-5.7398671251968185</v>
      </c>
      <c r="AL89" s="17">
        <f t="shared" si="215"/>
        <v>-5.2703058921225399</v>
      </c>
      <c r="AM89" s="17">
        <f t="shared" si="216"/>
        <v>-5.1181651435354354</v>
      </c>
      <c r="AO89" s="17">
        <f t="shared" si="217"/>
        <v>-5.4270856339473372</v>
      </c>
      <c r="AP89" s="17">
        <f t="shared" si="218"/>
        <v>1.7275086436455034</v>
      </c>
      <c r="AQ89" s="17">
        <f t="shared" si="219"/>
        <v>-2.1125549466566751</v>
      </c>
      <c r="AS89" t="str">
        <f t="shared" si="248"/>
        <v>32 Health and social care associate professionals</v>
      </c>
      <c r="AT89" s="17">
        <f t="shared" si="220"/>
        <v>3.0550648241578493</v>
      </c>
      <c r="AU89" s="17">
        <f t="shared" si="220"/>
        <v>13.523842536603127</v>
      </c>
      <c r="AV89" s="17">
        <f t="shared" si="220"/>
        <v>-0.56503758862284093</v>
      </c>
      <c r="AW89" s="17">
        <f t="shared" si="220"/>
        <v>1.1248634167885019</v>
      </c>
      <c r="AX89" s="17">
        <f t="shared" si="221"/>
        <v>1.3234883697688549</v>
      </c>
      <c r="AZ89" s="17">
        <f t="shared" si="222"/>
        <v>0.55839584528232233</v>
      </c>
      <c r="BA89" s="17">
        <f t="shared" si="223"/>
        <v>3.1109888527216745</v>
      </c>
      <c r="BB89" s="17">
        <f t="shared" si="224"/>
        <v>3.4798138954449387</v>
      </c>
      <c r="BD89" t="str">
        <f t="shared" si="249"/>
        <v>32 Health and social care associate professionals</v>
      </c>
      <c r="BE89" s="17">
        <f t="shared" si="225"/>
        <v>5.2545569287103744</v>
      </c>
      <c r="BF89" s="17">
        <f t="shared" si="225"/>
        <v>4.9927206038256511</v>
      </c>
      <c r="BG89" s="17">
        <f t="shared" si="225"/>
        <v>0.4858184253182074</v>
      </c>
      <c r="BH89" s="17">
        <f t="shared" si="225"/>
        <v>1.193039297515841</v>
      </c>
      <c r="BI89" s="17">
        <f t="shared" si="226"/>
        <v>1.2043875937636672</v>
      </c>
      <c r="BK89" s="17">
        <f t="shared" si="227"/>
        <v>0.95674768161506663</v>
      </c>
      <c r="BL89" s="17">
        <f t="shared" si="228"/>
        <v>3.2300904551264331</v>
      </c>
      <c r="BM89" s="17">
        <f t="shared" si="229"/>
        <v>3.8584747439433187</v>
      </c>
      <c r="BO89" t="str">
        <f t="shared" si="250"/>
        <v>32 Health and social care associate professionals</v>
      </c>
      <c r="BP89" s="17">
        <f t="shared" si="230"/>
        <v>2.7170255476739902</v>
      </c>
      <c r="BQ89" s="17">
        <f t="shared" si="230"/>
        <v>-1.2992529786624019</v>
      </c>
      <c r="BR89" s="17">
        <f t="shared" si="230"/>
        <v>-1.6431197726821001</v>
      </c>
      <c r="BS89" s="17">
        <f t="shared" si="230"/>
        <v>-2.3228631471535199</v>
      </c>
      <c r="BT89" s="17">
        <f t="shared" si="231"/>
        <v>-2.0471479101528245</v>
      </c>
      <c r="BV89" s="17">
        <f t="shared" si="232"/>
        <v>-2.096805598667606</v>
      </c>
      <c r="BW89" s="17">
        <f t="shared" si="233"/>
        <v>2.5066169507508063</v>
      </c>
      <c r="BX89" s="17">
        <f t="shared" si="234"/>
        <v>1.0946847289940331</v>
      </c>
      <c r="BZ89" t="str">
        <f t="shared" si="251"/>
        <v>32 Health and social care associate professionals</v>
      </c>
      <c r="CA89" s="17">
        <f t="shared" si="235"/>
        <v>-1.422316732839668</v>
      </c>
      <c r="CB89" s="17">
        <f t="shared" si="235"/>
        <v>-9.4887856789951606</v>
      </c>
      <c r="CC89" s="17">
        <f t="shared" si="235"/>
        <v>-3.3693050630178467</v>
      </c>
      <c r="CD89" s="17">
        <f t="shared" si="235"/>
        <v>-4.7884795117877026</v>
      </c>
      <c r="CE89" s="17">
        <f t="shared" si="236"/>
        <v>-4.6494270395794013</v>
      </c>
      <c r="CG89" s="17">
        <f t="shared" si="237"/>
        <v>-4.3177524783296395</v>
      </c>
      <c r="CH89" s="17">
        <f t="shared" si="238"/>
        <v>1.8573172043812036</v>
      </c>
      <c r="CI89" s="17">
        <f t="shared" si="239"/>
        <v>-1.2052992102250304</v>
      </c>
      <c r="CK89" t="str">
        <f t="shared" si="252"/>
        <v>32 Health and social care associate professionals</v>
      </c>
      <c r="CL89" s="17">
        <f t="shared" si="240"/>
        <v>3.6610774206442098</v>
      </c>
      <c r="CM89" s="17">
        <f t="shared" si="240"/>
        <v>0.15087602488157437</v>
      </c>
      <c r="CN89" s="17">
        <f t="shared" si="240"/>
        <v>2.0530611830185119</v>
      </c>
      <c r="CO89" s="17">
        <f t="shared" si="240"/>
        <v>3.0122905775327169</v>
      </c>
      <c r="CP89" s="17">
        <f t="shared" si="241"/>
        <v>2.5308861824873352</v>
      </c>
      <c r="CR89" s="17">
        <f t="shared" si="242"/>
        <v>2.6915498188224918</v>
      </c>
      <c r="CS89" s="17">
        <f t="shared" si="243"/>
        <v>2.7750816708675741</v>
      </c>
      <c r="CT89" s="17">
        <f t="shared" si="244"/>
        <v>4.719423396037481</v>
      </c>
    </row>
    <row r="90" spans="1:98" x14ac:dyDescent="0.3">
      <c r="A90" t="str">
        <f t="shared" si="199"/>
        <v>33 Protective service occupations</v>
      </c>
      <c r="B90" s="17">
        <f t="shared" si="200"/>
        <v>4.6527642794339519</v>
      </c>
      <c r="C90" s="17">
        <f t="shared" si="200"/>
        <v>7.0144629120371338</v>
      </c>
      <c r="D90" s="17">
        <f t="shared" si="200"/>
        <v>10.20300975584596</v>
      </c>
      <c r="E90" s="17">
        <f t="shared" si="200"/>
        <v>5.4477477990389378</v>
      </c>
      <c r="F90" s="17">
        <f t="shared" si="201"/>
        <v>7.0098923989034168</v>
      </c>
      <c r="H90" s="17">
        <f t="shared" si="202"/>
        <v>7.0095877049684896</v>
      </c>
      <c r="I90" s="17">
        <f t="shared" si="203"/>
        <v>3.5787979026641548</v>
      </c>
      <c r="J90" s="17">
        <f t="shared" si="204"/>
        <v>8.6215561633612214</v>
      </c>
      <c r="L90" t="str">
        <f t="shared" si="245"/>
        <v>33 Protective service occupations</v>
      </c>
      <c r="M90" s="17">
        <f t="shared" si="205"/>
        <v>6.1692245806297175</v>
      </c>
      <c r="N90" s="17">
        <f t="shared" si="205"/>
        <v>11.585050089935201</v>
      </c>
      <c r="O90" s="17">
        <f t="shared" si="205"/>
        <v>9.2657664741791379</v>
      </c>
      <c r="P90" s="17">
        <f t="shared" si="205"/>
        <v>5.6401202354664948</v>
      </c>
      <c r="Q90" s="17">
        <f t="shared" si="206"/>
        <v>7.1259574474018317</v>
      </c>
      <c r="S90" s="17">
        <f t="shared" si="207"/>
        <v>6.8351006283851934</v>
      </c>
      <c r="T90" s="17">
        <f t="shared" si="208"/>
        <v>3.2457359503187178</v>
      </c>
      <c r="U90" s="17">
        <f t="shared" si="209"/>
        <v>8.307973696815818</v>
      </c>
      <c r="W90" t="str">
        <f t="shared" si="246"/>
        <v>33 Protective service occupations</v>
      </c>
      <c r="X90" s="17">
        <f t="shared" si="210"/>
        <v>3.0949307860445918</v>
      </c>
      <c r="Y90" s="17">
        <f t="shared" si="210"/>
        <v>11.966641050872727</v>
      </c>
      <c r="Z90" s="17">
        <f t="shared" si="210"/>
        <v>5.5697897672738916</v>
      </c>
      <c r="AA90" s="17">
        <f t="shared" si="210"/>
        <v>3.3741918737464349</v>
      </c>
      <c r="AB90" s="17">
        <f t="shared" si="211"/>
        <v>4.5759366287056569</v>
      </c>
      <c r="AD90" s="17">
        <f t="shared" si="212"/>
        <v>4.1009366789617419</v>
      </c>
      <c r="AE90" s="17">
        <f t="shared" si="213"/>
        <v>3.2261244550151114</v>
      </c>
      <c r="AF90" s="17">
        <f t="shared" si="214"/>
        <v>6.1195086636684604</v>
      </c>
      <c r="AH90" t="str">
        <f t="shared" si="247"/>
        <v>33 Protective service occupations</v>
      </c>
      <c r="AI90" s="17">
        <f t="shared" si="215"/>
        <v>2.2936350664511496</v>
      </c>
      <c r="AJ90" s="17">
        <f t="shared" si="215"/>
        <v>13.259516002211956</v>
      </c>
      <c r="AK90" s="17">
        <f t="shared" si="215"/>
        <v>5.1480863624121742</v>
      </c>
      <c r="AL90" s="17">
        <f t="shared" si="215"/>
        <v>3.1671957906818315</v>
      </c>
      <c r="AM90" s="17">
        <f t="shared" si="216"/>
        <v>4.3893309773075817</v>
      </c>
      <c r="AO90" s="17">
        <f t="shared" si="217"/>
        <v>3.8233110873697074</v>
      </c>
      <c r="AP90" s="17">
        <f t="shared" si="218"/>
        <v>2.8796814757990452</v>
      </c>
      <c r="AQ90" s="17">
        <f t="shared" si="219"/>
        <v>5.6682471222722519</v>
      </c>
      <c r="AS90" t="str">
        <f t="shared" si="248"/>
        <v>33 Protective service occupations</v>
      </c>
      <c r="AT90" s="17">
        <f t="shared" si="220"/>
        <v>-1.67171357211644</v>
      </c>
      <c r="AU90" s="17">
        <f t="shared" si="220"/>
        <v>9.6418357954303211</v>
      </c>
      <c r="AV90" s="17">
        <f t="shared" si="220"/>
        <v>1.9142661957208595</v>
      </c>
      <c r="AW90" s="17">
        <f t="shared" si="220"/>
        <v>1.2330722015889251</v>
      </c>
      <c r="AX90" s="17">
        <f t="shared" si="221"/>
        <v>1.9526364823183151</v>
      </c>
      <c r="AZ90" s="17">
        <f t="shared" si="222"/>
        <v>1.459629458198286</v>
      </c>
      <c r="BA90" s="17">
        <f t="shared" si="223"/>
        <v>2.3555057088239906</v>
      </c>
      <c r="BB90" s="17">
        <f t="shared" si="224"/>
        <v>3.4397001566184748</v>
      </c>
      <c r="BD90" t="str">
        <f t="shared" si="249"/>
        <v>33 Protective service occupations</v>
      </c>
      <c r="BE90" s="17">
        <f t="shared" si="225"/>
        <v>-1.3261594134389876</v>
      </c>
      <c r="BF90" s="17">
        <f t="shared" si="225"/>
        <v>4.3581545242910025</v>
      </c>
      <c r="BG90" s="17">
        <f t="shared" si="225"/>
        <v>1.3620647449833045</v>
      </c>
      <c r="BH90" s="17">
        <f t="shared" si="225"/>
        <v>-0.93498055248316669</v>
      </c>
      <c r="BI90" s="17">
        <f t="shared" si="226"/>
        <v>0.102329184456873</v>
      </c>
      <c r="BK90" s="17">
        <f t="shared" si="227"/>
        <v>-0.17514172865481514</v>
      </c>
      <c r="BL90" s="17">
        <f t="shared" si="228"/>
        <v>1.539381591936384</v>
      </c>
      <c r="BM90" s="17">
        <f t="shared" si="229"/>
        <v>1.3983201727046701</v>
      </c>
      <c r="BO90" t="str">
        <f t="shared" si="250"/>
        <v>33 Protective service occupations</v>
      </c>
      <c r="BP90" s="17">
        <f t="shared" si="230"/>
        <v>-4.3550635790179371E-2</v>
      </c>
      <c r="BQ90" s="17">
        <f t="shared" si="230"/>
        <v>-0.58765560766054215</v>
      </c>
      <c r="BR90" s="17">
        <f t="shared" si="230"/>
        <v>1.1780190224518039</v>
      </c>
      <c r="BS90" s="17">
        <f t="shared" si="230"/>
        <v>-2.377826181653242</v>
      </c>
      <c r="BT90" s="17">
        <f t="shared" si="231"/>
        <v>-1.1680771806531931</v>
      </c>
      <c r="BV90" s="17">
        <f t="shared" si="232"/>
        <v>-1.2066512418039244</v>
      </c>
      <c r="BW90" s="17">
        <f t="shared" si="233"/>
        <v>1.6749686059367663</v>
      </c>
      <c r="BX90" s="17">
        <f t="shared" si="234"/>
        <v>0.73719581265951906</v>
      </c>
      <c r="BZ90" t="str">
        <f t="shared" si="251"/>
        <v>33 Protective service occupations</v>
      </c>
      <c r="CA90" s="17">
        <f t="shared" si="235"/>
        <v>-0.72807861011090491</v>
      </c>
      <c r="CB90" s="17">
        <f t="shared" si="235"/>
        <v>0.47737911926835075</v>
      </c>
      <c r="CC90" s="17">
        <f t="shared" si="235"/>
        <v>1.7168664012962465</v>
      </c>
      <c r="CD90" s="17">
        <f t="shared" si="235"/>
        <v>-2.7222329669750689</v>
      </c>
      <c r="CE90" s="17">
        <f t="shared" si="236"/>
        <v>-1.1565107011549558</v>
      </c>
      <c r="CG90" s="17">
        <f t="shared" si="237"/>
        <v>-1.2644871920994172</v>
      </c>
      <c r="CH90" s="17">
        <f t="shared" si="238"/>
        <v>2.0039235266608779</v>
      </c>
      <c r="CI90" s="17">
        <f t="shared" si="239"/>
        <v>1.0687225509069753</v>
      </c>
      <c r="CK90" t="str">
        <f t="shared" si="252"/>
        <v>33 Protective service occupations</v>
      </c>
      <c r="CL90" s="17">
        <f t="shared" si="240"/>
        <v>-3.7839372121693304</v>
      </c>
      <c r="CM90" s="17">
        <f t="shared" si="240"/>
        <v>-5.869583739704332</v>
      </c>
      <c r="CN90" s="17">
        <f t="shared" si="240"/>
        <v>-3.3593024033742869</v>
      </c>
      <c r="CO90" s="17">
        <f t="shared" si="240"/>
        <v>-0.90273140341881053</v>
      </c>
      <c r="CP90" s="17">
        <f t="shared" si="241"/>
        <v>-1.992526474050238</v>
      </c>
      <c r="CR90" s="17">
        <f t="shared" si="242"/>
        <v>-1.7284495075642003</v>
      </c>
      <c r="CS90" s="17">
        <f t="shared" si="243"/>
        <v>1.1681387792800813</v>
      </c>
      <c r="CT90" s="17">
        <f t="shared" si="244"/>
        <v>-0.2706033211530845</v>
      </c>
    </row>
    <row r="91" spans="1:98" x14ac:dyDescent="0.3">
      <c r="A91" t="str">
        <f t="shared" si="199"/>
        <v>34 Culture, media and sports occupations</v>
      </c>
      <c r="B91" s="17">
        <f t="shared" si="200"/>
        <v>9.0614775307365605</v>
      </c>
      <c r="C91" s="17">
        <f t="shared" si="200"/>
        <v>5.4671306282427556</v>
      </c>
      <c r="D91" s="17">
        <f t="shared" si="200"/>
        <v>3.8263313619624428</v>
      </c>
      <c r="E91" s="17">
        <f t="shared" si="200"/>
        <v>3.3360063993072675</v>
      </c>
      <c r="F91" s="17">
        <f t="shared" si="201"/>
        <v>3.6211035302186279</v>
      </c>
      <c r="H91" s="17">
        <f t="shared" si="202"/>
        <v>3.4991902249238205</v>
      </c>
      <c r="I91" s="17">
        <f t="shared" si="203"/>
        <v>3.6834311754397664</v>
      </c>
      <c r="J91" s="17">
        <f t="shared" si="204"/>
        <v>5.9971614283374608</v>
      </c>
      <c r="L91" t="str">
        <f t="shared" si="245"/>
        <v>34 Culture, media and sports occupations</v>
      </c>
      <c r="M91" s="17">
        <f t="shared" si="205"/>
        <v>5.0862377649675494</v>
      </c>
      <c r="N91" s="17">
        <f t="shared" si="205"/>
        <v>15.055611156991922</v>
      </c>
      <c r="O91" s="17">
        <f t="shared" si="205"/>
        <v>4.210435116014577</v>
      </c>
      <c r="P91" s="17">
        <f t="shared" si="205"/>
        <v>3.4633781836365785</v>
      </c>
      <c r="Q91" s="17">
        <f t="shared" si="206"/>
        <v>4.3868156842318484</v>
      </c>
      <c r="S91" s="17">
        <f t="shared" si="207"/>
        <v>3.7118002069330247</v>
      </c>
      <c r="T91" s="17">
        <f t="shared" si="208"/>
        <v>3.579031582553549</v>
      </c>
      <c r="U91" s="17">
        <f t="shared" si="209"/>
        <v>6.07511459504122</v>
      </c>
      <c r="W91" t="str">
        <f t="shared" si="246"/>
        <v>34 Culture, media and sports occupations</v>
      </c>
      <c r="X91" s="17">
        <f t="shared" si="210"/>
        <v>9.5443941973738511E-2</v>
      </c>
      <c r="Y91" s="17">
        <f t="shared" si="210"/>
        <v>7.0777727878893915</v>
      </c>
      <c r="Z91" s="17">
        <f t="shared" si="210"/>
        <v>-0.52747579239600384</v>
      </c>
      <c r="AA91" s="17">
        <f t="shared" si="210"/>
        <v>0.51305051511842947</v>
      </c>
      <c r="AB91" s="17">
        <f t="shared" si="211"/>
        <v>0.583668807240878</v>
      </c>
      <c r="AD91" s="17">
        <f t="shared" si="212"/>
        <v>0.1650046274291217</v>
      </c>
      <c r="AE91" s="17">
        <f t="shared" si="213"/>
        <v>2.6640241833946865</v>
      </c>
      <c r="AF91" s="17">
        <f t="shared" si="214"/>
        <v>2.7786456560031647</v>
      </c>
      <c r="AH91" t="str">
        <f t="shared" si="247"/>
        <v>34 Culture, media and sports occupations</v>
      </c>
      <c r="AI91" s="17">
        <f t="shared" si="215"/>
        <v>0.14142853240144415</v>
      </c>
      <c r="AJ91" s="17">
        <f t="shared" si="215"/>
        <v>17.324580356337304</v>
      </c>
      <c r="AK91" s="17">
        <f t="shared" si="215"/>
        <v>-0.44686694492395151</v>
      </c>
      <c r="AL91" s="17">
        <f t="shared" si="215"/>
        <v>1.9858018697294755</v>
      </c>
      <c r="AM91" s="17">
        <f t="shared" si="216"/>
        <v>2.109535663382256</v>
      </c>
      <c r="AO91" s="17">
        <f t="shared" si="217"/>
        <v>1.168378056127195</v>
      </c>
      <c r="AP91" s="17">
        <f t="shared" si="218"/>
        <v>2.7909677155000923</v>
      </c>
      <c r="AQ91" s="17">
        <f t="shared" si="219"/>
        <v>3.6071326579743879</v>
      </c>
      <c r="AS91" t="str">
        <f t="shared" si="248"/>
        <v>34 Culture, media and sports occupations</v>
      </c>
      <c r="AT91" s="17">
        <f t="shared" si="220"/>
        <v>-1.355516440613036</v>
      </c>
      <c r="AU91" s="17">
        <f t="shared" si="220"/>
        <v>5.7993796997918734</v>
      </c>
      <c r="AV91" s="17">
        <f t="shared" si="220"/>
        <v>-2.0834777226909296</v>
      </c>
      <c r="AW91" s="17">
        <f t="shared" si="220"/>
        <v>-5.3311085326890328E-2</v>
      </c>
      <c r="AX91" s="17">
        <f t="shared" si="221"/>
        <v>-0.33837919454371423</v>
      </c>
      <c r="AZ91" s="17">
        <f t="shared" si="222"/>
        <v>-0.73466768706690333</v>
      </c>
      <c r="BA91" s="17">
        <f t="shared" si="223"/>
        <v>2.3931692144327998</v>
      </c>
      <c r="BB91" s="17">
        <f t="shared" si="224"/>
        <v>1.8738259533511714</v>
      </c>
      <c r="BD91" t="str">
        <f t="shared" si="249"/>
        <v>34 Culture, media and sports occupations</v>
      </c>
      <c r="BE91" s="17">
        <f t="shared" si="225"/>
        <v>-1.1993808267582562</v>
      </c>
      <c r="BF91" s="17">
        <f t="shared" si="225"/>
        <v>3.5493161393004957</v>
      </c>
      <c r="BG91" s="17">
        <f t="shared" si="225"/>
        <v>-2.8360273644150724</v>
      </c>
      <c r="BH91" s="17">
        <f t="shared" si="225"/>
        <v>-0.40955738754711035</v>
      </c>
      <c r="BI91" s="17">
        <f t="shared" si="226"/>
        <v>-0.93319975449670522</v>
      </c>
      <c r="BK91" s="17">
        <f t="shared" si="227"/>
        <v>-1.2250399535441936</v>
      </c>
      <c r="BL91" s="17">
        <f t="shared" si="228"/>
        <v>1.8939405562830025</v>
      </c>
      <c r="BM91" s="17">
        <f t="shared" si="229"/>
        <v>0.97242778996726731</v>
      </c>
      <c r="BO91" t="str">
        <f t="shared" si="250"/>
        <v>34 Culture, media and sports occupations</v>
      </c>
      <c r="BP91" s="17">
        <f t="shared" si="230"/>
        <v>-3.3005784135820337</v>
      </c>
      <c r="BQ91" s="17">
        <f t="shared" si="230"/>
        <v>-7.2471637797213777</v>
      </c>
      <c r="BR91" s="17">
        <f t="shared" si="230"/>
        <v>-5.5539954662568558</v>
      </c>
      <c r="BS91" s="17">
        <f t="shared" si="230"/>
        <v>-5.0857839797314615</v>
      </c>
      <c r="BT91" s="17">
        <f t="shared" si="231"/>
        <v>-5.3686877749573148</v>
      </c>
      <c r="BV91" s="17">
        <f t="shared" si="232"/>
        <v>-5.2421118126054322</v>
      </c>
      <c r="BW91" s="17">
        <f t="shared" si="233"/>
        <v>1.4641821159914414</v>
      </c>
      <c r="BX91" s="17">
        <f t="shared" si="234"/>
        <v>-2.4479040568847088</v>
      </c>
      <c r="BZ91" t="str">
        <f t="shared" si="251"/>
        <v>34 Culture, media and sports occupations</v>
      </c>
      <c r="CA91" s="17">
        <f t="shared" si="235"/>
        <v>-1.7999965819678221</v>
      </c>
      <c r="CB91" s="17">
        <f t="shared" si="235"/>
        <v>-5.525232778288192</v>
      </c>
      <c r="CC91" s="17">
        <f t="shared" si="235"/>
        <v>-4.0833374923706529</v>
      </c>
      <c r="CD91" s="17">
        <f t="shared" si="235"/>
        <v>-4.2786679717857439</v>
      </c>
      <c r="CE91" s="17">
        <f t="shared" si="236"/>
        <v>-4.29610985893083</v>
      </c>
      <c r="CG91" s="17">
        <f t="shared" si="237"/>
        <v>-4.2136020501178155</v>
      </c>
      <c r="CH91" s="17">
        <f t="shared" si="238"/>
        <v>1.5432731281473488</v>
      </c>
      <c r="CI91" s="17">
        <f t="shared" si="239"/>
        <v>-1.6215761915141069</v>
      </c>
      <c r="CK91" t="str">
        <f t="shared" si="252"/>
        <v>34 Culture, media and sports occupations</v>
      </c>
      <c r="CL91" s="17">
        <f t="shared" si="240"/>
        <v>3.5859958537178827</v>
      </c>
      <c r="CM91" s="17">
        <f t="shared" si="240"/>
        <v>-10.223739461505621</v>
      </c>
      <c r="CN91" s="17">
        <f t="shared" si="240"/>
        <v>-0.85540115986392218</v>
      </c>
      <c r="CO91" s="17">
        <f t="shared" si="240"/>
        <v>-0.31091660730729886</v>
      </c>
      <c r="CP91" s="17">
        <f t="shared" si="241"/>
        <v>-1.1307072580790445</v>
      </c>
      <c r="CR91" s="17">
        <f t="shared" si="242"/>
        <v>-0.4927428956426172</v>
      </c>
      <c r="CS91" s="17">
        <f t="shared" si="243"/>
        <v>1.9001401896261649</v>
      </c>
      <c r="CT91" s="17">
        <f t="shared" si="244"/>
        <v>1.5248054808058686</v>
      </c>
    </row>
    <row r="92" spans="1:98" x14ac:dyDescent="0.3">
      <c r="A92" t="str">
        <f t="shared" si="199"/>
        <v>35 Business and public service associate professionals</v>
      </c>
      <c r="B92" s="17">
        <f t="shared" si="200"/>
        <v>6.9692840109644827</v>
      </c>
      <c r="C92" s="17">
        <f t="shared" si="200"/>
        <v>4.9030345836949429</v>
      </c>
      <c r="D92" s="17">
        <f t="shared" si="200"/>
        <v>5.0823412578407723</v>
      </c>
      <c r="E92" s="17">
        <f t="shared" si="200"/>
        <v>4.1359962956364793</v>
      </c>
      <c r="F92" s="17">
        <f t="shared" si="201"/>
        <v>4.4787203709813594</v>
      </c>
      <c r="H92" s="17">
        <f t="shared" si="202"/>
        <v>4.4504938568852737</v>
      </c>
      <c r="I92" s="17">
        <f t="shared" si="203"/>
        <v>3.5830342781695057</v>
      </c>
      <c r="J92" s="17">
        <f t="shared" si="204"/>
        <v>6.6241995543623977</v>
      </c>
      <c r="L92" t="str">
        <f t="shared" si="245"/>
        <v>35 Business and public service associate professionals</v>
      </c>
      <c r="M92" s="17">
        <f t="shared" si="205"/>
        <v>6.9690504174839019</v>
      </c>
      <c r="N92" s="17">
        <f t="shared" si="205"/>
        <v>4.5589533946534644</v>
      </c>
      <c r="O92" s="17">
        <f t="shared" si="205"/>
        <v>4.1010815442060311</v>
      </c>
      <c r="P92" s="17">
        <f t="shared" si="205"/>
        <v>3.2610183769838708</v>
      </c>
      <c r="Q92" s="17">
        <f t="shared" si="206"/>
        <v>3.6036585967994528</v>
      </c>
      <c r="S92" s="17">
        <f t="shared" si="207"/>
        <v>3.5402834910231773</v>
      </c>
      <c r="T92" s="17">
        <f t="shared" si="208"/>
        <v>3.4487352616888067</v>
      </c>
      <c r="U92" s="17">
        <f t="shared" si="209"/>
        <v>5.8557499024480597</v>
      </c>
      <c r="W92" t="str">
        <f t="shared" si="246"/>
        <v>35 Business and public service associate professionals</v>
      </c>
      <c r="X92" s="17">
        <f t="shared" si="210"/>
        <v>1.6201550637974904</v>
      </c>
      <c r="Y92" s="17">
        <f t="shared" si="210"/>
        <v>3.5744494506996238</v>
      </c>
      <c r="Z92" s="17">
        <f t="shared" si="210"/>
        <v>-0.64423323905541396</v>
      </c>
      <c r="AA92" s="17">
        <f t="shared" si="210"/>
        <v>0.30589416594879459</v>
      </c>
      <c r="AB92" s="17">
        <f t="shared" si="211"/>
        <v>0.20863824604304693</v>
      </c>
      <c r="AD92" s="17">
        <f t="shared" si="212"/>
        <v>-1.1820252697791744E-2</v>
      </c>
      <c r="AE92" s="17">
        <f t="shared" si="213"/>
        <v>2.733154281593464</v>
      </c>
      <c r="AF92" s="17">
        <f t="shared" si="214"/>
        <v>2.7250529118471256</v>
      </c>
      <c r="AH92" t="str">
        <f t="shared" si="247"/>
        <v>35 Business and public service associate professionals</v>
      </c>
      <c r="AI92" s="17">
        <f t="shared" si="215"/>
        <v>1.4931103413213132</v>
      </c>
      <c r="AJ92" s="17">
        <f t="shared" si="215"/>
        <v>10.156162388456602</v>
      </c>
      <c r="AK92" s="17">
        <f t="shared" si="215"/>
        <v>-0.50563569916984852</v>
      </c>
      <c r="AL92" s="17">
        <f t="shared" si="215"/>
        <v>0.85007874999467603</v>
      </c>
      <c r="AM92" s="17">
        <f t="shared" si="216"/>
        <v>0.97996745086514903</v>
      </c>
      <c r="AO92" s="17">
        <f t="shared" si="217"/>
        <v>0.39613370792597191</v>
      </c>
      <c r="AP92" s="17">
        <f t="shared" si="218"/>
        <v>2.6990977475486178</v>
      </c>
      <c r="AQ92" s="17">
        <f t="shared" si="219"/>
        <v>2.9744086912915968</v>
      </c>
      <c r="AS92" t="str">
        <f t="shared" si="248"/>
        <v>35 Business and public service associate professionals</v>
      </c>
      <c r="AT92" s="17">
        <f t="shared" si="220"/>
        <v>1.08527363567128</v>
      </c>
      <c r="AU92" s="17">
        <f t="shared" si="220"/>
        <v>7.1680441861351918</v>
      </c>
      <c r="AV92" s="17">
        <f t="shared" si="220"/>
        <v>-0.9196862818293905</v>
      </c>
      <c r="AW92" s="17">
        <f t="shared" si="220"/>
        <v>0.64907142454735389</v>
      </c>
      <c r="AX92" s="17">
        <f t="shared" si="221"/>
        <v>0.54980748855708583</v>
      </c>
      <c r="AZ92" s="17">
        <f t="shared" si="222"/>
        <v>0.12341160540292329</v>
      </c>
      <c r="BA92" s="17">
        <f t="shared" si="223"/>
        <v>2.5991109842619542</v>
      </c>
      <c r="BB92" s="17">
        <f t="shared" si="224"/>
        <v>2.6855160603108441</v>
      </c>
      <c r="BD92" t="str">
        <f t="shared" si="249"/>
        <v>35 Business and public service associate professionals</v>
      </c>
      <c r="BE92" s="17">
        <f t="shared" si="225"/>
        <v>0.85423720662123337</v>
      </c>
      <c r="BF92" s="17">
        <f t="shared" si="225"/>
        <v>4.7582992635174515</v>
      </c>
      <c r="BG92" s="17">
        <f t="shared" si="225"/>
        <v>-2.5190756180867968</v>
      </c>
      <c r="BH92" s="17">
        <f t="shared" si="225"/>
        <v>-0.7337064879272881</v>
      </c>
      <c r="BI92" s="17">
        <f t="shared" si="226"/>
        <v>-0.96235759415799205</v>
      </c>
      <c r="BK92" s="17">
        <f t="shared" si="227"/>
        <v>-1.3324335072056992</v>
      </c>
      <c r="BL92" s="17">
        <f t="shared" si="228"/>
        <v>2.0972247160442992</v>
      </c>
      <c r="BM92" s="17">
        <f t="shared" si="229"/>
        <v>1.1265545268166477</v>
      </c>
      <c r="BO92" t="str">
        <f t="shared" si="250"/>
        <v>35 Business and public service associate professionals</v>
      </c>
      <c r="BP92" s="17">
        <f t="shared" si="230"/>
        <v>0.19686439312711634</v>
      </c>
      <c r="BQ92" s="17">
        <f t="shared" si="230"/>
        <v>-1.0595860540208224</v>
      </c>
      <c r="BR92" s="17">
        <f t="shared" si="230"/>
        <v>-3.4154871822706823</v>
      </c>
      <c r="BS92" s="17">
        <f t="shared" si="230"/>
        <v>-2.5299773033585216</v>
      </c>
      <c r="BT92" s="17">
        <f t="shared" si="231"/>
        <v>-2.7165718044393161</v>
      </c>
      <c r="BV92" s="17">
        <f t="shared" si="232"/>
        <v>-2.8260456697265735</v>
      </c>
      <c r="BW92" s="17">
        <f t="shared" si="233"/>
        <v>1.8164893718222164</v>
      </c>
      <c r="BX92" s="17">
        <f t="shared" si="234"/>
        <v>-0.26829594483245289</v>
      </c>
      <c r="BZ92" t="str">
        <f t="shared" si="251"/>
        <v>35 Business and public service associate professionals</v>
      </c>
      <c r="CA92" s="17">
        <f t="shared" si="235"/>
        <v>-0.23243359161094768</v>
      </c>
      <c r="CB92" s="17">
        <f t="shared" si="235"/>
        <v>-4.1291302298852024</v>
      </c>
      <c r="CC92" s="17">
        <f t="shared" si="235"/>
        <v>-4.1560633126060065</v>
      </c>
      <c r="CD92" s="17">
        <f t="shared" si="235"/>
        <v>-4.7678699580608992</v>
      </c>
      <c r="CE92" s="17">
        <f t="shared" si="236"/>
        <v>-4.5372250992444023</v>
      </c>
      <c r="CG92" s="17">
        <f t="shared" si="237"/>
        <v>-4.5643695768145314</v>
      </c>
      <c r="CH92" s="17">
        <f t="shared" si="238"/>
        <v>1.5116198972823014</v>
      </c>
      <c r="CI92" s="17">
        <f t="shared" si="239"/>
        <v>-1.9119789129431242</v>
      </c>
      <c r="CK92" t="str">
        <f t="shared" si="252"/>
        <v>35 Business and public service associate professionals</v>
      </c>
      <c r="CL92" s="17">
        <f t="shared" si="240"/>
        <v>1.6320692895805955</v>
      </c>
      <c r="CM92" s="17">
        <f t="shared" si="240"/>
        <v>-7.4087225593065797</v>
      </c>
      <c r="CN92" s="17">
        <f t="shared" si="240"/>
        <v>-2.9724339826599722</v>
      </c>
      <c r="CO92" s="17">
        <f t="shared" si="240"/>
        <v>1.2233062769151593</v>
      </c>
      <c r="CP92" s="17">
        <f t="shared" si="241"/>
        <v>-0.66193772701329534</v>
      </c>
      <c r="CR92" s="17">
        <f t="shared" si="242"/>
        <v>-0.19505535441044497</v>
      </c>
      <c r="CS92" s="17">
        <f t="shared" si="243"/>
        <v>1.750954979536079</v>
      </c>
      <c r="CT92" s="17">
        <f t="shared" si="244"/>
        <v>1.5984622221492328</v>
      </c>
    </row>
    <row r="93" spans="1:98" x14ac:dyDescent="0.3">
      <c r="A93" t="str">
        <f t="shared" si="199"/>
        <v>41 Administrative occupations</v>
      </c>
      <c r="B93" s="17">
        <f t="shared" si="200"/>
        <v>5.3363877665026704</v>
      </c>
      <c r="C93" s="17">
        <f t="shared" si="200"/>
        <v>8.5645288475305392</v>
      </c>
      <c r="D93" s="17">
        <f t="shared" si="200"/>
        <v>4.877712468619988</v>
      </c>
      <c r="E93" s="17">
        <f t="shared" si="200"/>
        <v>4.3460807712712768</v>
      </c>
      <c r="F93" s="17">
        <f t="shared" si="201"/>
        <v>4.7711202259339558</v>
      </c>
      <c r="H93" s="17">
        <f t="shared" si="202"/>
        <v>4.522991229972706</v>
      </c>
      <c r="I93" s="17">
        <f t="shared" si="203"/>
        <v>3.8485379375876594</v>
      </c>
      <c r="J93" s="17">
        <f t="shared" si="204"/>
        <v>6.8555304582802012</v>
      </c>
      <c r="L93" t="str">
        <f t="shared" si="245"/>
        <v>41 Administrative occupations</v>
      </c>
      <c r="M93" s="17">
        <f t="shared" si="205"/>
        <v>5.8461119272896767</v>
      </c>
      <c r="N93" s="17">
        <f t="shared" si="205"/>
        <v>8.2782601925871937</v>
      </c>
      <c r="O93" s="17">
        <f t="shared" si="205"/>
        <v>4.3963101901859591</v>
      </c>
      <c r="P93" s="17">
        <f t="shared" si="205"/>
        <v>3.6507928761657871</v>
      </c>
      <c r="Q93" s="17">
        <f t="shared" si="206"/>
        <v>4.1671617977779185</v>
      </c>
      <c r="S93" s="17">
        <f t="shared" si="207"/>
        <v>3.8987052171267855</v>
      </c>
      <c r="T93" s="17">
        <f t="shared" si="208"/>
        <v>3.7689411239290704</v>
      </c>
      <c r="U93" s="17">
        <f t="shared" si="209"/>
        <v>6.346118977904136</v>
      </c>
      <c r="W93" t="str">
        <f t="shared" si="246"/>
        <v>41 Administrative occupations</v>
      </c>
      <c r="X93" s="17">
        <f t="shared" si="210"/>
        <v>0.90861620182032254</v>
      </c>
      <c r="Y93" s="17">
        <f t="shared" si="210"/>
        <v>9.4338737860079078</v>
      </c>
      <c r="Z93" s="17">
        <f t="shared" si="210"/>
        <v>0.71986859924262347</v>
      </c>
      <c r="AA93" s="17">
        <f t="shared" si="210"/>
        <v>1.3507901503071906</v>
      </c>
      <c r="AB93" s="17">
        <f t="shared" si="211"/>
        <v>1.6394794524579037</v>
      </c>
      <c r="AD93" s="17">
        <f t="shared" si="212"/>
        <v>1.1400450547754293</v>
      </c>
      <c r="AE93" s="17">
        <f t="shared" si="213"/>
        <v>3.1804079211465108</v>
      </c>
      <c r="AF93" s="17">
        <f t="shared" si="214"/>
        <v>3.9374219426588031</v>
      </c>
      <c r="AH93" t="str">
        <f t="shared" si="247"/>
        <v>41 Administrative occupations</v>
      </c>
      <c r="AI93" s="17">
        <f t="shared" si="215"/>
        <v>1.2026214391616774</v>
      </c>
      <c r="AJ93" s="17">
        <f t="shared" si="215"/>
        <v>9.9503297192274012</v>
      </c>
      <c r="AK93" s="17">
        <f t="shared" si="215"/>
        <v>0.18853570529495656</v>
      </c>
      <c r="AL93" s="17">
        <f t="shared" si="215"/>
        <v>1.170982207093485</v>
      </c>
      <c r="AM93" s="17">
        <f t="shared" si="216"/>
        <v>1.3888965712175017</v>
      </c>
      <c r="AO93" s="17">
        <f t="shared" si="217"/>
        <v>0.84243425090488877</v>
      </c>
      <c r="AP93" s="17">
        <f t="shared" si="218"/>
        <v>3.2459714499283088</v>
      </c>
      <c r="AQ93" s="17">
        <f t="shared" si="219"/>
        <v>3.7965479380657197</v>
      </c>
      <c r="AS93" t="str">
        <f t="shared" si="248"/>
        <v>41 Administrative occupations</v>
      </c>
      <c r="AT93" s="17">
        <f t="shared" si="220"/>
        <v>0.6775891549109847</v>
      </c>
      <c r="AU93" s="17">
        <f t="shared" si="220"/>
        <v>10.100531852715289</v>
      </c>
      <c r="AV93" s="17">
        <f t="shared" si="220"/>
        <v>-0.36021382332752649</v>
      </c>
      <c r="AW93" s="17">
        <f t="shared" si="220"/>
        <v>1.1849913840860093</v>
      </c>
      <c r="AX93" s="17">
        <f t="shared" si="221"/>
        <v>1.2324263886744902</v>
      </c>
      <c r="AZ93" s="17">
        <f t="shared" si="222"/>
        <v>0.66727862319619913</v>
      </c>
      <c r="BA93" s="17">
        <f t="shared" si="223"/>
        <v>3.0247161393032629</v>
      </c>
      <c r="BB93" s="17">
        <f t="shared" si="224"/>
        <v>3.4716958998922909</v>
      </c>
      <c r="BD93" t="str">
        <f t="shared" si="249"/>
        <v>41 Administrative occupations</v>
      </c>
      <c r="BE93" s="17">
        <f t="shared" si="225"/>
        <v>-0.48739385573263183</v>
      </c>
      <c r="BF93" s="17">
        <f t="shared" si="225"/>
        <v>5.3937311397209031</v>
      </c>
      <c r="BG93" s="17">
        <f t="shared" si="225"/>
        <v>-2.6542438751812614</v>
      </c>
      <c r="BH93" s="17">
        <f t="shared" si="225"/>
        <v>-2.0158074981522667</v>
      </c>
      <c r="BI93" s="17">
        <f t="shared" si="226"/>
        <v>-1.7692399089126343</v>
      </c>
      <c r="BK93" s="17">
        <f t="shared" si="227"/>
        <v>-2.2290835114623708</v>
      </c>
      <c r="BL93" s="17">
        <f t="shared" si="228"/>
        <v>2.2044153723639104</v>
      </c>
      <c r="BM93" s="17">
        <f t="shared" si="229"/>
        <v>0.63736732318564471</v>
      </c>
      <c r="BO93" t="str">
        <f t="shared" si="250"/>
        <v>41 Administrative occupations</v>
      </c>
      <c r="BP93" s="17">
        <f t="shared" si="230"/>
        <v>-1.9310141170857942</v>
      </c>
      <c r="BQ93" s="17">
        <f t="shared" si="230"/>
        <v>0.6532771712224994</v>
      </c>
      <c r="BR93" s="17">
        <f t="shared" si="230"/>
        <v>-3.9010742496009665</v>
      </c>
      <c r="BS93" s="17">
        <f t="shared" si="230"/>
        <v>-3.9893669120109942</v>
      </c>
      <c r="BT93" s="17">
        <f t="shared" si="231"/>
        <v>-3.6779160905012098</v>
      </c>
      <c r="BV93" s="17">
        <f t="shared" si="232"/>
        <v>-3.9599450416139215</v>
      </c>
      <c r="BW93" s="17">
        <f t="shared" si="233"/>
        <v>1.8549670309458755</v>
      </c>
      <c r="BX93" s="17">
        <f t="shared" si="234"/>
        <v>-0.9779508202054199</v>
      </c>
      <c r="BZ93" t="str">
        <f t="shared" si="251"/>
        <v>41 Administrative occupations</v>
      </c>
      <c r="CA93" s="17">
        <f t="shared" si="235"/>
        <v>-3.6533419329112582</v>
      </c>
      <c r="CB93" s="17">
        <f t="shared" si="235"/>
        <v>-6.0976084680426812</v>
      </c>
      <c r="CC93" s="17">
        <f t="shared" si="235"/>
        <v>-7.6106463996852503</v>
      </c>
      <c r="CD93" s="17">
        <f t="shared" si="235"/>
        <v>-9.5226930715064277</v>
      </c>
      <c r="CE93" s="17">
        <f t="shared" si="236"/>
        <v>-8.7177294215283201</v>
      </c>
      <c r="CG93" s="17">
        <f t="shared" si="237"/>
        <v>-8.8897818751704669</v>
      </c>
      <c r="CH93" s="17">
        <f t="shared" si="238"/>
        <v>1.2394206066914215</v>
      </c>
      <c r="CI93" s="17">
        <f t="shared" si="239"/>
        <v>-5.1785159391776192</v>
      </c>
      <c r="CK93" t="str">
        <f t="shared" si="252"/>
        <v>41 Administrative occupations</v>
      </c>
      <c r="CL93" s="17">
        <f t="shared" si="240"/>
        <v>-2.5917664641834648</v>
      </c>
      <c r="CM93" s="17">
        <f t="shared" si="240"/>
        <v>-4.3921766427107105</v>
      </c>
      <c r="CN93" s="17">
        <f t="shared" si="240"/>
        <v>-4.5913999019811751</v>
      </c>
      <c r="CO93" s="17">
        <f t="shared" si="240"/>
        <v>-1.8417379839080539</v>
      </c>
      <c r="CP93" s="17">
        <f t="shared" si="241"/>
        <v>-2.8693649532298915</v>
      </c>
      <c r="CR93" s="17">
        <f t="shared" si="242"/>
        <v>-2.7669860193281548</v>
      </c>
      <c r="CS93" s="17">
        <f t="shared" si="243"/>
        <v>1.446615060373313</v>
      </c>
      <c r="CT93" s="17">
        <f t="shared" si="244"/>
        <v>-0.72306452784848263</v>
      </c>
    </row>
    <row r="94" spans="1:98" x14ac:dyDescent="0.3">
      <c r="A94" t="str">
        <f t="shared" si="199"/>
        <v>42 Secretarial and related occupations</v>
      </c>
      <c r="B94" s="17">
        <f t="shared" si="200"/>
        <v>7.0613577342982126</v>
      </c>
      <c r="C94" s="17">
        <f t="shared" si="200"/>
        <v>-2.1982411000207924</v>
      </c>
      <c r="D94" s="17">
        <f t="shared" si="200"/>
        <v>10.649840662029476</v>
      </c>
      <c r="E94" s="17">
        <f t="shared" si="200"/>
        <v>6.7124338895560021</v>
      </c>
      <c r="F94" s="17">
        <f t="shared" si="201"/>
        <v>7.341010705611084</v>
      </c>
      <c r="H94" s="17">
        <f t="shared" si="202"/>
        <v>8.0090835686003494</v>
      </c>
      <c r="I94" s="17">
        <f t="shared" si="203"/>
        <v>5.8002069526174704</v>
      </c>
      <c r="J94" s="17">
        <f t="shared" si="204"/>
        <v>10.556731077769044</v>
      </c>
      <c r="L94" t="str">
        <f t="shared" si="245"/>
        <v>42 Secretarial and related occupations</v>
      </c>
      <c r="M94" s="17">
        <f t="shared" si="205"/>
        <v>4.1991493561264859</v>
      </c>
      <c r="N94" s="17">
        <f t="shared" si="205"/>
        <v>3.2680189145659844</v>
      </c>
      <c r="O94" s="17">
        <f t="shared" si="205"/>
        <v>10.020272874642044</v>
      </c>
      <c r="P94" s="17">
        <f t="shared" si="205"/>
        <v>3.0230295120886597</v>
      </c>
      <c r="Q94" s="17">
        <f t="shared" si="206"/>
        <v>5.176093878393262</v>
      </c>
      <c r="S94" s="17">
        <f t="shared" si="207"/>
        <v>5.3045452574467022</v>
      </c>
      <c r="T94" s="17">
        <f t="shared" si="208"/>
        <v>4.7380352444340579</v>
      </c>
      <c r="U94" s="17">
        <f t="shared" si="209"/>
        <v>8.0034878036984392</v>
      </c>
      <c r="W94" t="str">
        <f t="shared" si="246"/>
        <v>42 Secretarial and related occupations</v>
      </c>
      <c r="X94" s="17">
        <f t="shared" si="210"/>
        <v>0.32125718886100163</v>
      </c>
      <c r="Y94" s="17">
        <f t="shared" si="210"/>
        <v>4.4769218090575436</v>
      </c>
      <c r="Z94" s="17">
        <f t="shared" si="210"/>
        <v>7.4707144743227261</v>
      </c>
      <c r="AA94" s="17">
        <f t="shared" si="210"/>
        <v>3.2225356081567291</v>
      </c>
      <c r="AB94" s="17">
        <f t="shared" si="211"/>
        <v>4.6106781576667144</v>
      </c>
      <c r="AD94" s="17">
        <f t="shared" si="212"/>
        <v>4.6196013337288955</v>
      </c>
      <c r="AE94" s="17">
        <f t="shared" si="213"/>
        <v>4.592789904173733</v>
      </c>
      <c r="AF94" s="17">
        <f t="shared" si="214"/>
        <v>7.4297206161337614</v>
      </c>
      <c r="AH94" t="str">
        <f t="shared" si="247"/>
        <v>42 Secretarial and related occupations</v>
      </c>
      <c r="AI94" s="17">
        <f t="shared" si="215"/>
        <v>-0.37789439175317519</v>
      </c>
      <c r="AJ94" s="17">
        <f t="shared" si="215"/>
        <v>9.3343641289208801</v>
      </c>
      <c r="AK94" s="17">
        <f t="shared" si="215"/>
        <v>5.6214625051861589</v>
      </c>
      <c r="AL94" s="17">
        <f t="shared" si="215"/>
        <v>1.1098520965704628</v>
      </c>
      <c r="AM94" s="17">
        <f t="shared" si="216"/>
        <v>3.0008408005588016</v>
      </c>
      <c r="AO94" s="17">
        <f t="shared" si="217"/>
        <v>2.5918927466195951</v>
      </c>
      <c r="AP94" s="17">
        <f t="shared" si="218"/>
        <v>4.0068305939917837</v>
      </c>
      <c r="AQ94" s="17">
        <f t="shared" si="219"/>
        <v>5.6192087843805361</v>
      </c>
      <c r="AS94" t="str">
        <f t="shared" si="248"/>
        <v>42 Secretarial and related occupations</v>
      </c>
      <c r="AT94" s="17">
        <f t="shared" si="220"/>
        <v>-1.5562468782480243</v>
      </c>
      <c r="AU94" s="17">
        <f t="shared" si="220"/>
        <v>7.6789539248581562</v>
      </c>
      <c r="AV94" s="17">
        <f t="shared" si="220"/>
        <v>4.0836591521401733</v>
      </c>
      <c r="AW94" s="17">
        <f t="shared" si="220"/>
        <v>-0.2051757841476709</v>
      </c>
      <c r="AX94" s="17">
        <f t="shared" si="221"/>
        <v>1.597433022329664</v>
      </c>
      <c r="AZ94" s="17">
        <f t="shared" si="222"/>
        <v>1.2044313398424489</v>
      </c>
      <c r="BA94" s="17">
        <f t="shared" si="223"/>
        <v>3.4992852102415206</v>
      </c>
      <c r="BB94" s="17">
        <f t="shared" si="224"/>
        <v>4.2682584535495449</v>
      </c>
      <c r="BD94" t="str">
        <f t="shared" si="249"/>
        <v>42 Secretarial and related occupations</v>
      </c>
      <c r="BE94" s="17">
        <f t="shared" si="225"/>
        <v>-2.2130066468870835</v>
      </c>
      <c r="BF94" s="17">
        <f t="shared" si="225"/>
        <v>-0.43326501549073582</v>
      </c>
      <c r="BG94" s="17">
        <f t="shared" si="225"/>
        <v>1.4793023170871944</v>
      </c>
      <c r="BH94" s="17">
        <f t="shared" si="225"/>
        <v>-8.9819898479683751</v>
      </c>
      <c r="BI94" s="17">
        <f t="shared" si="226"/>
        <v>-5.3044246078728925</v>
      </c>
      <c r="BK94" s="17">
        <f t="shared" si="227"/>
        <v>-5.6205630655956291</v>
      </c>
      <c r="BL94" s="17">
        <f t="shared" si="228"/>
        <v>2.2892238652093999</v>
      </c>
      <c r="BM94" s="17">
        <f t="shared" si="229"/>
        <v>-1.2808617137171963</v>
      </c>
      <c r="BO94" t="str">
        <f t="shared" si="250"/>
        <v>42 Secretarial and related occupations</v>
      </c>
      <c r="BP94" s="17">
        <f t="shared" si="230"/>
        <v>-5.0539392601321005</v>
      </c>
      <c r="BQ94" s="17">
        <f t="shared" si="230"/>
        <v>-6.9067411473739737</v>
      </c>
      <c r="BR94" s="17">
        <f t="shared" si="230"/>
        <v>-4.2189165768137578</v>
      </c>
      <c r="BS94" s="17">
        <f t="shared" si="230"/>
        <v>-12.357505382192514</v>
      </c>
      <c r="BT94" s="17">
        <f t="shared" si="231"/>
        <v>-9.5509485683291313</v>
      </c>
      <c r="BV94" s="17">
        <f t="shared" si="232"/>
        <v>-9.7245347113878999</v>
      </c>
      <c r="BW94" s="17">
        <f t="shared" si="233"/>
        <v>1.6555400640303253</v>
      </c>
      <c r="BX94" s="17">
        <f t="shared" si="234"/>
        <v>-4.5819860767552285</v>
      </c>
      <c r="BZ94" t="str">
        <f t="shared" si="251"/>
        <v>42 Secretarial and related occupations</v>
      </c>
      <c r="CA94" s="17">
        <f t="shared" si="235"/>
        <v>-2.9702960297530723</v>
      </c>
      <c r="CB94" s="17">
        <f t="shared" si="235"/>
        <v>-10.875838564197537</v>
      </c>
      <c r="CC94" s="17">
        <f t="shared" si="235"/>
        <v>-9.8790251328564</v>
      </c>
      <c r="CD94" s="17">
        <f t="shared" si="235"/>
        <v>-13.737797832070854</v>
      </c>
      <c r="CE94" s="17">
        <f t="shared" si="236"/>
        <v>-12.371446668414322</v>
      </c>
      <c r="CG94" s="17">
        <f t="shared" si="237"/>
        <v>-12.470256802788448</v>
      </c>
      <c r="CH94" s="17">
        <f t="shared" si="238"/>
        <v>1.2317965567246514</v>
      </c>
      <c r="CI94" s="17">
        <f t="shared" si="239"/>
        <v>-6.9906766636819384</v>
      </c>
      <c r="CK94" t="str">
        <f t="shared" si="252"/>
        <v>42 Secretarial and related occupations</v>
      </c>
      <c r="CL94" s="17">
        <f t="shared" si="240"/>
        <v>0.10256004509410221</v>
      </c>
      <c r="CM94" s="17">
        <f t="shared" si="240"/>
        <v>-6.1145734013164805</v>
      </c>
      <c r="CN94" s="17">
        <f t="shared" si="240"/>
        <v>1.3388649271509845</v>
      </c>
      <c r="CO94" s="17">
        <f t="shared" si="240"/>
        <v>-0.86879750683777068</v>
      </c>
      <c r="CP94" s="17">
        <f t="shared" si="241"/>
        <v>-0.52272465137748192</v>
      </c>
      <c r="CR94" s="17">
        <f t="shared" si="242"/>
        <v>-0.138306193483273</v>
      </c>
      <c r="CS94" s="17">
        <f t="shared" si="243"/>
        <v>2.3402540424448892</v>
      </c>
      <c r="CT94" s="17">
        <f t="shared" si="244"/>
        <v>2.2404950640062538</v>
      </c>
    </row>
    <row r="95" spans="1:98" x14ac:dyDescent="0.3">
      <c r="A95" t="str">
        <f t="shared" si="199"/>
        <v>51 Skilled agricultural and related trades</v>
      </c>
      <c r="B95" s="17">
        <f t="shared" si="200"/>
        <v>7.82686213414725</v>
      </c>
      <c r="C95" s="17">
        <f t="shared" si="200"/>
        <v>20.359884289627583</v>
      </c>
      <c r="D95" s="17">
        <f t="shared" si="200"/>
        <v>5.0301746764107147</v>
      </c>
      <c r="E95" s="17">
        <f t="shared" si="200"/>
        <v>4.7570889536082239</v>
      </c>
      <c r="F95" s="17">
        <f t="shared" si="201"/>
        <v>5.7560937031012838</v>
      </c>
      <c r="H95" s="17">
        <f t="shared" si="202"/>
        <v>4.8480385430380135</v>
      </c>
      <c r="I95" s="17">
        <f t="shared" si="203"/>
        <v>4.684254320077974</v>
      </c>
      <c r="J95" s="17">
        <f t="shared" si="204"/>
        <v>7.649855080055068</v>
      </c>
      <c r="L95" t="str">
        <f t="shared" si="245"/>
        <v>51 Skilled agricultural and related trades</v>
      </c>
      <c r="M95" s="17">
        <f t="shared" si="205"/>
        <v>4.1722309537093993</v>
      </c>
      <c r="N95" s="17">
        <f t="shared" si="205"/>
        <v>-8.4852609466659281</v>
      </c>
      <c r="O95" s="17">
        <f t="shared" si="205"/>
        <v>3.6406312151636477</v>
      </c>
      <c r="P95" s="17">
        <f t="shared" si="205"/>
        <v>4.3125941108697274</v>
      </c>
      <c r="Q95" s="17">
        <f t="shared" si="206"/>
        <v>3.2539790690386816</v>
      </c>
      <c r="S95" s="17">
        <f t="shared" si="207"/>
        <v>4.0881237876504661</v>
      </c>
      <c r="T95" s="17">
        <f t="shared" si="208"/>
        <v>3.9643910990944331</v>
      </c>
      <c r="U95" s="17">
        <f t="shared" si="209"/>
        <v>6.6200895990280673</v>
      </c>
      <c r="W95" t="str">
        <f t="shared" si="246"/>
        <v>51 Skilled agricultural and related trades</v>
      </c>
      <c r="X95" s="17">
        <f t="shared" si="210"/>
        <v>1.3602392402401797</v>
      </c>
      <c r="Y95" s="17">
        <f t="shared" si="210"/>
        <v>6.9505705012246066</v>
      </c>
      <c r="Z95" s="17">
        <f t="shared" si="210"/>
        <v>3.2158554717401255</v>
      </c>
      <c r="AA95" s="17">
        <f t="shared" si="210"/>
        <v>3.5048633296030474</v>
      </c>
      <c r="AB95" s="17">
        <f t="shared" si="211"/>
        <v>3.6263429571711914</v>
      </c>
      <c r="AD95" s="17">
        <f t="shared" si="212"/>
        <v>3.408437574061729</v>
      </c>
      <c r="AE95" s="17">
        <f t="shared" si="213"/>
        <v>4.2640953194424513</v>
      </c>
      <c r="AF95" s="17">
        <f t="shared" si="214"/>
        <v>6.3668501410580003</v>
      </c>
      <c r="AH95" t="str">
        <f t="shared" si="247"/>
        <v>51 Skilled agricultural and related trades</v>
      </c>
      <c r="AI95" s="17">
        <f t="shared" si="215"/>
        <v>2.7577553796268361</v>
      </c>
      <c r="AJ95" s="17">
        <f t="shared" si="215"/>
        <v>-4.3433225957159705</v>
      </c>
      <c r="AK95" s="17">
        <f t="shared" si="215"/>
        <v>3.4398938180095318</v>
      </c>
      <c r="AL95" s="17">
        <f t="shared" si="215"/>
        <v>3.0593936571039704</v>
      </c>
      <c r="AM95" s="17">
        <f t="shared" si="216"/>
        <v>2.6985863952157629</v>
      </c>
      <c r="AO95" s="17">
        <f t="shared" si="217"/>
        <v>3.186071271828661</v>
      </c>
      <c r="AP95" s="17">
        <f t="shared" si="218"/>
        <v>4.4355196222213955</v>
      </c>
      <c r="AQ95" s="17">
        <f t="shared" si="219"/>
        <v>6.3503705912701269</v>
      </c>
      <c r="AS95" t="str">
        <f t="shared" si="248"/>
        <v>51 Skilled agricultural and related trades</v>
      </c>
      <c r="AT95" s="17">
        <f t="shared" si="220"/>
        <v>1.9834955639195906</v>
      </c>
      <c r="AU95" s="17">
        <f t="shared" si="220"/>
        <v>-3.4715859009761818</v>
      </c>
      <c r="AV95" s="17">
        <f t="shared" si="220"/>
        <v>2.5482035510993484</v>
      </c>
      <c r="AW95" s="17">
        <f t="shared" si="220"/>
        <v>3.2623641940783488</v>
      </c>
      <c r="AX95" s="17">
        <f t="shared" si="221"/>
        <v>2.605290885546685</v>
      </c>
      <c r="AZ95" s="17">
        <f t="shared" si="222"/>
        <v>3.0237597367311686</v>
      </c>
      <c r="BA95" s="17">
        <f t="shared" si="223"/>
        <v>3.9610754187938912</v>
      </c>
      <c r="BB95" s="17">
        <f t="shared" si="224"/>
        <v>5.8741359263872139</v>
      </c>
      <c r="BD95" t="str">
        <f t="shared" si="249"/>
        <v>51 Skilled agricultural and related trades</v>
      </c>
      <c r="BE95" s="17">
        <f t="shared" si="225"/>
        <v>-6.8029521476664634E-3</v>
      </c>
      <c r="BF95" s="17">
        <f t="shared" si="225"/>
        <v>-10.742927950335968</v>
      </c>
      <c r="BG95" s="17">
        <f t="shared" si="225"/>
        <v>-0.73998818948207701</v>
      </c>
      <c r="BH95" s="17">
        <f t="shared" si="225"/>
        <v>-0.11738433232569845</v>
      </c>
      <c r="BI95" s="17">
        <f t="shared" si="226"/>
        <v>-1.010681947798131</v>
      </c>
      <c r="BK95" s="17">
        <f t="shared" si="227"/>
        <v>-0.32535166324628717</v>
      </c>
      <c r="BL95" s="17">
        <f t="shared" si="228"/>
        <v>2.7030240588216348</v>
      </c>
      <c r="BM95" s="17">
        <f t="shared" si="229"/>
        <v>2.4807486649494503</v>
      </c>
      <c r="BO95" t="str">
        <f t="shared" si="250"/>
        <v>51 Skilled agricultural and related trades</v>
      </c>
      <c r="BP95" s="17">
        <f t="shared" si="230"/>
        <v>3.908198021231879E-2</v>
      </c>
      <c r="BQ95" s="17">
        <f t="shared" si="230"/>
        <v>-12.191312369432127</v>
      </c>
      <c r="BR95" s="17">
        <f t="shared" si="230"/>
        <v>-0.80191458545481042</v>
      </c>
      <c r="BS95" s="17">
        <f t="shared" si="230"/>
        <v>-0.4369648797433956</v>
      </c>
      <c r="BT95" s="17">
        <f t="shared" si="231"/>
        <v>-1.3289611550534763</v>
      </c>
      <c r="BV95" s="17">
        <f t="shared" si="232"/>
        <v>-0.55876372154721743</v>
      </c>
      <c r="BW95" s="17">
        <f t="shared" si="233"/>
        <v>2.7619133432238652</v>
      </c>
      <c r="BX95" s="17">
        <f t="shared" si="234"/>
        <v>2.3854048166905617</v>
      </c>
      <c r="BZ95" t="str">
        <f t="shared" si="251"/>
        <v>51 Skilled agricultural and related trades</v>
      </c>
      <c r="CA95" s="17">
        <f t="shared" si="235"/>
        <v>-1.6630103079908531</v>
      </c>
      <c r="CB95" s="17">
        <f t="shared" si="235"/>
        <v>-8.3889754311134652</v>
      </c>
      <c r="CC95" s="17">
        <f t="shared" si="235"/>
        <v>-1.0357000021428031</v>
      </c>
      <c r="CD95" s="17">
        <f t="shared" si="235"/>
        <v>0.60955076717583712</v>
      </c>
      <c r="CE95" s="17">
        <f t="shared" si="236"/>
        <v>-0.49193320502913807</v>
      </c>
      <c r="CG95" s="17">
        <f t="shared" si="237"/>
        <v>5.8116996708479363E-2</v>
      </c>
      <c r="CH95" s="17">
        <f t="shared" si="238"/>
        <v>2.4819919878171337</v>
      </c>
      <c r="CI95" s="17">
        <f t="shared" si="239"/>
        <v>2.5232758124577481</v>
      </c>
      <c r="CK95" t="str">
        <f t="shared" si="252"/>
        <v>51 Skilled agricultural and related trades</v>
      </c>
      <c r="CL95" s="17">
        <f t="shared" si="240"/>
        <v>-0.57114459197427081</v>
      </c>
      <c r="CM95" s="17">
        <f t="shared" si="240"/>
        <v>-15.578256684809787</v>
      </c>
      <c r="CN95" s="17">
        <f t="shared" si="240"/>
        <v>-1.1271607615815027</v>
      </c>
      <c r="CO95" s="17">
        <f t="shared" si="240"/>
        <v>-6.1338317886730609</v>
      </c>
      <c r="CP95" s="17">
        <f t="shared" si="241"/>
        <v>-5.2273247806673862</v>
      </c>
      <c r="CR95" s="17">
        <f t="shared" si="242"/>
        <v>-4.4937642631100232</v>
      </c>
      <c r="CS95" s="17">
        <f t="shared" si="243"/>
        <v>1.6611878903226796</v>
      </c>
      <c r="CT95" s="17">
        <f t="shared" si="244"/>
        <v>-1.6252701743718068</v>
      </c>
    </row>
    <row r="96" spans="1:98" x14ac:dyDescent="0.3">
      <c r="A96" t="str">
        <f t="shared" si="199"/>
        <v>52 Skilled metal, electrical and electronic trades</v>
      </c>
      <c r="B96" s="17">
        <f t="shared" si="200"/>
        <v>5.514986041722203</v>
      </c>
      <c r="C96" s="17">
        <f t="shared" si="200"/>
        <v>4.3211016929078694</v>
      </c>
      <c r="D96" s="17">
        <f t="shared" si="200"/>
        <v>5.189878351643995</v>
      </c>
      <c r="E96" s="17">
        <f t="shared" si="200"/>
        <v>4.8838270345402668</v>
      </c>
      <c r="F96" s="17">
        <f t="shared" si="201"/>
        <v>4.9440810813775604</v>
      </c>
      <c r="H96" s="17">
        <f t="shared" si="202"/>
        <v>4.9857450720516283</v>
      </c>
      <c r="I96" s="17">
        <f t="shared" si="203"/>
        <v>3.538758922517049</v>
      </c>
      <c r="J96" s="17">
        <f t="shared" si="204"/>
        <v>7.0011671393087616</v>
      </c>
      <c r="L96" t="str">
        <f t="shared" si="245"/>
        <v>52 Skilled metal, electrical and electronic trades</v>
      </c>
      <c r="M96" s="17">
        <f t="shared" si="205"/>
        <v>7.2716655863839019</v>
      </c>
      <c r="N96" s="17">
        <f t="shared" si="205"/>
        <v>-13.389537046442346</v>
      </c>
      <c r="O96" s="17">
        <f t="shared" si="205"/>
        <v>9.7545955095225132</v>
      </c>
      <c r="P96" s="17">
        <f t="shared" si="205"/>
        <v>5.2412745053783016</v>
      </c>
      <c r="Q96" s="17">
        <f t="shared" si="206"/>
        <v>5.3407866713062413</v>
      </c>
      <c r="S96" s="17">
        <f t="shared" si="207"/>
        <v>6.7247068196775173</v>
      </c>
      <c r="T96" s="17">
        <f t="shared" si="208"/>
        <v>4.4164553823738739</v>
      </c>
      <c r="U96" s="17">
        <f t="shared" si="209"/>
        <v>8.847234168908912</v>
      </c>
      <c r="W96" t="str">
        <f t="shared" si="246"/>
        <v>52 Skilled metal, electrical and electronic trades</v>
      </c>
      <c r="X96" s="17">
        <f t="shared" si="210"/>
        <v>1.9620473145292916</v>
      </c>
      <c r="Y96" s="17">
        <f t="shared" si="210"/>
        <v>-13.937582143366923</v>
      </c>
      <c r="Z96" s="17">
        <f t="shared" si="210"/>
        <v>4.4614889780905109</v>
      </c>
      <c r="AA96" s="17">
        <f t="shared" si="210"/>
        <v>2.4983561727114356</v>
      </c>
      <c r="AB96" s="17">
        <f t="shared" si="211"/>
        <v>1.9876830029436299</v>
      </c>
      <c r="AD96" s="17">
        <f t="shared" si="212"/>
        <v>3.1485999416912325</v>
      </c>
      <c r="AE96" s="17">
        <f t="shared" si="213"/>
        <v>3.4386406425163996</v>
      </c>
      <c r="AF96" s="17">
        <f t="shared" si="214"/>
        <v>5.5629390416085167</v>
      </c>
      <c r="AH96" t="str">
        <f t="shared" si="247"/>
        <v>52 Skilled metal, electrical and electronic trades</v>
      </c>
      <c r="AI96" s="17">
        <f t="shared" si="215"/>
        <v>1.2083775385459461</v>
      </c>
      <c r="AJ96" s="17">
        <f t="shared" si="215"/>
        <v>-8.1289098970369178</v>
      </c>
      <c r="AK96" s="17">
        <f t="shared" si="215"/>
        <v>2.0741248156934899</v>
      </c>
      <c r="AL96" s="17">
        <f t="shared" si="215"/>
        <v>2.5359629593194599</v>
      </c>
      <c r="AM96" s="17">
        <f t="shared" si="216"/>
        <v>1.6909860867964976</v>
      </c>
      <c r="AO96" s="17">
        <f t="shared" si="217"/>
        <v>2.3817851989128336</v>
      </c>
      <c r="AP96" s="17">
        <f t="shared" si="218"/>
        <v>2.9681587609811766</v>
      </c>
      <c r="AQ96" s="17">
        <f t="shared" si="219"/>
        <v>4.6388084476232105</v>
      </c>
      <c r="AS96" t="str">
        <f t="shared" si="248"/>
        <v>52 Skilled metal, electrical and electronic trades</v>
      </c>
      <c r="AT96" s="17">
        <f t="shared" si="220"/>
        <v>0.45397494139050032</v>
      </c>
      <c r="AU96" s="17">
        <f t="shared" si="220"/>
        <v>-8.5437407473030742</v>
      </c>
      <c r="AV96" s="17">
        <f t="shared" si="220"/>
        <v>1.7237252155751337</v>
      </c>
      <c r="AW96" s="17">
        <f t="shared" si="220"/>
        <v>1.9987940126187986</v>
      </c>
      <c r="AX96" s="17">
        <f t="shared" si="221"/>
        <v>1.2202003729246291</v>
      </c>
      <c r="AZ96" s="17">
        <f t="shared" si="222"/>
        <v>1.9070218675232287</v>
      </c>
      <c r="BA96" s="17">
        <f t="shared" si="223"/>
        <v>2.8383811085665789</v>
      </c>
      <c r="BB96" s="17">
        <f t="shared" si="224"/>
        <v>4.183799616867212</v>
      </c>
      <c r="BD96" t="str">
        <f t="shared" si="249"/>
        <v>52 Skilled metal, electrical and electronic trades</v>
      </c>
      <c r="BE96" s="17">
        <f t="shared" si="225"/>
        <v>0.52457389185449621</v>
      </c>
      <c r="BF96" s="17">
        <f t="shared" si="225"/>
        <v>-11.562515755216229</v>
      </c>
      <c r="BG96" s="17">
        <f t="shared" si="225"/>
        <v>-0.72655129214139746</v>
      </c>
      <c r="BH96" s="17">
        <f t="shared" si="225"/>
        <v>-0.88680690173197352</v>
      </c>
      <c r="BI96" s="17">
        <f t="shared" si="226"/>
        <v>-1.5405766660699594</v>
      </c>
      <c r="BK96" s="17">
        <f t="shared" si="227"/>
        <v>-0.83341713008616702</v>
      </c>
      <c r="BL96" s="17">
        <f t="shared" si="228"/>
        <v>1.8844521234149703</v>
      </c>
      <c r="BM96" s="17">
        <f t="shared" si="229"/>
        <v>1.2520939630303873</v>
      </c>
      <c r="BO96" t="str">
        <f t="shared" si="250"/>
        <v>52 Skilled metal, electrical and electronic trades</v>
      </c>
      <c r="BP96" s="17">
        <f t="shared" si="230"/>
        <v>-4.3239899681402072E-2</v>
      </c>
      <c r="BQ96" s="17">
        <f t="shared" si="230"/>
        <v>-12.866296985541116</v>
      </c>
      <c r="BR96" s="17">
        <f t="shared" si="230"/>
        <v>-1.9142153929396888</v>
      </c>
      <c r="BS96" s="17">
        <f t="shared" si="230"/>
        <v>-2.0466369495495629</v>
      </c>
      <c r="BT96" s="17">
        <f t="shared" si="231"/>
        <v>-2.7195373725390048</v>
      </c>
      <c r="BV96" s="17">
        <f t="shared" si="232"/>
        <v>-2.0025163067036167</v>
      </c>
      <c r="BW96" s="17">
        <f t="shared" si="233"/>
        <v>1.8354578846474956</v>
      </c>
      <c r="BX96" s="17">
        <f t="shared" si="234"/>
        <v>0.33821896222030468</v>
      </c>
      <c r="BZ96" t="str">
        <f t="shared" si="251"/>
        <v>52 Skilled metal, electrical and electronic trades</v>
      </c>
      <c r="CA96" s="17">
        <f t="shared" si="235"/>
        <v>-1.4181405999087349</v>
      </c>
      <c r="CB96" s="17">
        <f t="shared" si="235"/>
        <v>-15.958770110572173</v>
      </c>
      <c r="CC96" s="17">
        <f t="shared" si="235"/>
        <v>-1.5960502576459423</v>
      </c>
      <c r="CD96" s="17">
        <f t="shared" si="235"/>
        <v>-5.3472674132758025</v>
      </c>
      <c r="CE96" s="17">
        <f t="shared" si="236"/>
        <v>-4.9000226521337513</v>
      </c>
      <c r="CG96" s="17">
        <f t="shared" si="237"/>
        <v>-4.1130257688114957</v>
      </c>
      <c r="CH96" s="17">
        <f t="shared" si="238"/>
        <v>1.6965607938095539</v>
      </c>
      <c r="CI96" s="17">
        <f t="shared" si="239"/>
        <v>-1.317204022295615</v>
      </c>
      <c r="CK96" t="str">
        <f t="shared" si="252"/>
        <v>52 Skilled metal, electrical and electronic trades</v>
      </c>
      <c r="CL96" s="17">
        <f t="shared" si="240"/>
        <v>0.55359419639140484</v>
      </c>
      <c r="CM96" s="17">
        <f t="shared" si="240"/>
        <v>-21.166413138821593</v>
      </c>
      <c r="CN96" s="17">
        <f t="shared" si="240"/>
        <v>-1.6263194395070846</v>
      </c>
      <c r="CO96" s="17">
        <f t="shared" si="240"/>
        <v>-3.3598319872255478</v>
      </c>
      <c r="CP96" s="17">
        <f t="shared" si="241"/>
        <v>-4.0505110836011271</v>
      </c>
      <c r="CR96" s="17">
        <f t="shared" si="242"/>
        <v>-2.7854154923241392</v>
      </c>
      <c r="CS96" s="17">
        <f t="shared" si="243"/>
        <v>1.6814852864750485</v>
      </c>
      <c r="CT96" s="17">
        <f t="shared" si="244"/>
        <v>-0.4202760603023159</v>
      </c>
    </row>
    <row r="97" spans="1:98" x14ac:dyDescent="0.3">
      <c r="A97" t="str">
        <f t="shared" si="199"/>
        <v>53 Skilled construction and building trades</v>
      </c>
      <c r="B97" s="17">
        <f t="shared" si="200"/>
        <v>-5.3521989537583909</v>
      </c>
      <c r="C97" s="17">
        <f t="shared" si="200"/>
        <v>-26.172559470269128</v>
      </c>
      <c r="D97" s="17">
        <f t="shared" si="200"/>
        <v>12.291860620220119</v>
      </c>
      <c r="E97" s="17">
        <f t="shared" si="200"/>
        <v>2.6468258651612508</v>
      </c>
      <c r="F97" s="17">
        <f t="shared" si="201"/>
        <v>3.4161588309330915</v>
      </c>
      <c r="H97" s="17">
        <f t="shared" si="202"/>
        <v>5.7660882162200666</v>
      </c>
      <c r="I97" s="17">
        <f t="shared" si="203"/>
        <v>4.1988305770139345</v>
      </c>
      <c r="J97" s="17">
        <f t="shared" si="204"/>
        <v>7.9990057428187544</v>
      </c>
      <c r="L97" t="str">
        <f t="shared" si="245"/>
        <v>53 Skilled construction and building trades</v>
      </c>
      <c r="M97" s="17">
        <f t="shared" si="205"/>
        <v>4.4865421342118905</v>
      </c>
      <c r="N97" s="17">
        <f t="shared" si="205"/>
        <v>-16.405847692276453</v>
      </c>
      <c r="O97" s="17">
        <f t="shared" si="205"/>
        <v>8.3439769215803317</v>
      </c>
      <c r="P97" s="17">
        <f t="shared" si="205"/>
        <v>4.7811079592299022</v>
      </c>
      <c r="Q97" s="17">
        <f t="shared" si="206"/>
        <v>4.3973204089161388</v>
      </c>
      <c r="S97" s="17">
        <f t="shared" si="207"/>
        <v>5.9555187028860868</v>
      </c>
      <c r="T97" s="17">
        <f t="shared" si="208"/>
        <v>4.2904742078789804</v>
      </c>
      <c r="U97" s="17">
        <f t="shared" si="209"/>
        <v>8.1955058783544921</v>
      </c>
      <c r="W97" t="str">
        <f t="shared" si="246"/>
        <v>53 Skilled construction and building trades</v>
      </c>
      <c r="X97" s="17">
        <f t="shared" si="210"/>
        <v>-0.57356576804979964</v>
      </c>
      <c r="Y97" s="17">
        <f t="shared" si="210"/>
        <v>-13.079847719699455</v>
      </c>
      <c r="Z97" s="17">
        <f t="shared" si="210"/>
        <v>4.8942162202949557</v>
      </c>
      <c r="AA97" s="17">
        <f t="shared" si="210"/>
        <v>1.8586524309496033</v>
      </c>
      <c r="AB97" s="17">
        <f t="shared" si="211"/>
        <v>1.783783583081977</v>
      </c>
      <c r="AD97" s="17">
        <f t="shared" si="212"/>
        <v>2.8606185406564677</v>
      </c>
      <c r="AE97" s="17">
        <f t="shared" si="213"/>
        <v>3.6153977016795125</v>
      </c>
      <c r="AF97" s="17">
        <f t="shared" si="214"/>
        <v>5.4929153904925476</v>
      </c>
      <c r="AH97" t="str">
        <f t="shared" si="247"/>
        <v>53 Skilled construction and building trades</v>
      </c>
      <c r="AI97" s="17">
        <f t="shared" si="215"/>
        <v>2.2716766144057932</v>
      </c>
      <c r="AJ97" s="17">
        <f t="shared" si="215"/>
        <v>-12.598620279160521</v>
      </c>
      <c r="AK97" s="17">
        <f t="shared" si="215"/>
        <v>4.3615838287223374</v>
      </c>
      <c r="AL97" s="17">
        <f t="shared" si="215"/>
        <v>2.1316389870760677</v>
      </c>
      <c r="AM97" s="17">
        <f t="shared" si="216"/>
        <v>1.8272553918175172</v>
      </c>
      <c r="AO97" s="17">
        <f t="shared" si="217"/>
        <v>2.8696087631500111</v>
      </c>
      <c r="AP97" s="17">
        <f t="shared" si="218"/>
        <v>3.7578713343541903</v>
      </c>
      <c r="AQ97" s="17">
        <f t="shared" si="219"/>
        <v>5.6101888623765861</v>
      </c>
      <c r="AS97" t="str">
        <f t="shared" si="248"/>
        <v>53 Skilled construction and building trades</v>
      </c>
      <c r="AT97" s="17">
        <f t="shared" si="220"/>
        <v>-0.34945453454463538</v>
      </c>
      <c r="AU97" s="17">
        <f t="shared" si="220"/>
        <v>-10.44923326521905</v>
      </c>
      <c r="AV97" s="17">
        <f t="shared" si="220"/>
        <v>5.1961145758004257</v>
      </c>
      <c r="AW97" s="17">
        <f t="shared" si="220"/>
        <v>1.6141275561278201</v>
      </c>
      <c r="AX97" s="17">
        <f t="shared" si="221"/>
        <v>1.9120519086570198</v>
      </c>
      <c r="AZ97" s="17">
        <f t="shared" si="222"/>
        <v>2.7943618940606152</v>
      </c>
      <c r="BA97" s="17">
        <f t="shared" si="223"/>
        <v>3.7636501837198688</v>
      </c>
      <c r="BB97" s="17">
        <f t="shared" si="224"/>
        <v>5.5627436863322499</v>
      </c>
      <c r="BD97" t="str">
        <f t="shared" si="249"/>
        <v>53 Skilled construction and building trades</v>
      </c>
      <c r="BE97" s="17">
        <f t="shared" si="225"/>
        <v>-1.0301023150058097</v>
      </c>
      <c r="BF97" s="17">
        <f t="shared" si="225"/>
        <v>-14.5427208619744</v>
      </c>
      <c r="BG97" s="17">
        <f t="shared" si="225"/>
        <v>-1.90270444030749E-2</v>
      </c>
      <c r="BH97" s="17">
        <f t="shared" si="225"/>
        <v>-1.2760476798265641</v>
      </c>
      <c r="BI97" s="17">
        <f t="shared" si="226"/>
        <v>-1.7748785564090097</v>
      </c>
      <c r="BK97" s="17">
        <f t="shared" si="227"/>
        <v>-0.8588066879056111</v>
      </c>
      <c r="BL97" s="17">
        <f t="shared" si="228"/>
        <v>2.0624577861836135</v>
      </c>
      <c r="BM97" s="17">
        <f t="shared" si="229"/>
        <v>1.4276206836786542</v>
      </c>
      <c r="BO97" t="str">
        <f t="shared" si="250"/>
        <v>53 Skilled construction and building trades</v>
      </c>
      <c r="BP97" s="17">
        <f t="shared" si="230"/>
        <v>1.3860095998493138</v>
      </c>
      <c r="BQ97" s="17">
        <f t="shared" si="230"/>
        <v>-15.359371895210272</v>
      </c>
      <c r="BR97" s="17">
        <f t="shared" si="230"/>
        <v>1.6187558818127501</v>
      </c>
      <c r="BS97" s="17">
        <f t="shared" si="230"/>
        <v>-0.18608132654657217</v>
      </c>
      <c r="BT97" s="17">
        <f t="shared" si="231"/>
        <v>-0.65466999956202976</v>
      </c>
      <c r="BV97" s="17">
        <f t="shared" si="232"/>
        <v>0.41194094695680139</v>
      </c>
      <c r="BW97" s="17">
        <f t="shared" si="233"/>
        <v>2.6009733358435927</v>
      </c>
      <c r="BX97" s="17">
        <f t="shared" si="234"/>
        <v>2.8911497828164601</v>
      </c>
      <c r="BZ97" t="str">
        <f t="shared" si="251"/>
        <v>53 Skilled construction and building trades</v>
      </c>
      <c r="CA97" s="17">
        <f t="shared" si="235"/>
        <v>-1.2602858306881903</v>
      </c>
      <c r="CB97" s="17">
        <f t="shared" si="235"/>
        <v>-17.588131622039814</v>
      </c>
      <c r="CC97" s="17">
        <f t="shared" si="235"/>
        <v>0.82257270373606861</v>
      </c>
      <c r="CD97" s="17">
        <f t="shared" si="235"/>
        <v>-0.92798401899188976</v>
      </c>
      <c r="CE97" s="17">
        <f t="shared" si="236"/>
        <v>-1.5239681766886282</v>
      </c>
      <c r="CG97" s="17">
        <f t="shared" si="237"/>
        <v>-0.34786860280505705</v>
      </c>
      <c r="CH97" s="17">
        <f t="shared" si="238"/>
        <v>2.2366768272606974</v>
      </c>
      <c r="CI97" s="17">
        <f t="shared" si="239"/>
        <v>1.9832238495345766</v>
      </c>
      <c r="CK97" t="str">
        <f t="shared" si="252"/>
        <v>53 Skilled construction and building trades</v>
      </c>
      <c r="CL97" s="17">
        <f t="shared" si="240"/>
        <v>-2.3171040793530495</v>
      </c>
      <c r="CM97" s="17">
        <f t="shared" si="240"/>
        <v>-25.56753137472576</v>
      </c>
      <c r="CN97" s="17">
        <f t="shared" si="240"/>
        <v>-5.3078663759641316</v>
      </c>
      <c r="CO97" s="17">
        <f t="shared" si="240"/>
        <v>-11.52065633936199</v>
      </c>
      <c r="CP97" s="17">
        <f t="shared" si="241"/>
        <v>-10.595489720854424</v>
      </c>
      <c r="CR97" s="17">
        <f t="shared" si="242"/>
        <v>-9.4963914527979583</v>
      </c>
      <c r="CS97" s="17">
        <f t="shared" si="243"/>
        <v>1.0463777734610824</v>
      </c>
      <c r="CT97" s="17">
        <f t="shared" si="244"/>
        <v>-6.0387050040253021</v>
      </c>
    </row>
    <row r="98" spans="1:98" x14ac:dyDescent="0.3">
      <c r="A98" t="str">
        <f t="shared" si="199"/>
        <v>54 Textiles, printing and other skilled trades</v>
      </c>
      <c r="B98" s="17">
        <f t="shared" si="200"/>
        <v>1.8318310397174686</v>
      </c>
      <c r="C98" s="17">
        <f t="shared" si="200"/>
        <v>-0.5533075199686821</v>
      </c>
      <c r="D98" s="17">
        <f t="shared" si="200"/>
        <v>6.8730931068577972</v>
      </c>
      <c r="E98" s="17">
        <f t="shared" si="200"/>
        <v>4.1826175953474376</v>
      </c>
      <c r="F98" s="17">
        <f t="shared" si="201"/>
        <v>4.7111201343955633</v>
      </c>
      <c r="H98" s="17">
        <f t="shared" si="202"/>
        <v>5.0718316004761954</v>
      </c>
      <c r="I98" s="17">
        <f t="shared" si="203"/>
        <v>4.004782225117931</v>
      </c>
      <c r="J98" s="17">
        <f t="shared" si="204"/>
        <v>7.3623429633917326</v>
      </c>
      <c r="L98" t="str">
        <f t="shared" si="245"/>
        <v>54 Textiles, printing and other skilled trades</v>
      </c>
      <c r="M98" s="17">
        <f t="shared" si="205"/>
        <v>5.3737862503806966</v>
      </c>
      <c r="N98" s="17">
        <f t="shared" si="205"/>
        <v>3.1330123048869174</v>
      </c>
      <c r="O98" s="17">
        <f t="shared" si="205"/>
        <v>7.2732105592345109</v>
      </c>
      <c r="P98" s="17">
        <f t="shared" si="205"/>
        <v>5.4140882419310365</v>
      </c>
      <c r="Q98" s="17">
        <f t="shared" si="206"/>
        <v>5.8467533778153946</v>
      </c>
      <c r="S98" s="17">
        <f t="shared" si="207"/>
        <v>6.0301878312539747</v>
      </c>
      <c r="T98" s="17">
        <f t="shared" si="208"/>
        <v>4.4212645169926956</v>
      </c>
      <c r="U98" s="17">
        <f t="shared" si="209"/>
        <v>8.3291958022043477</v>
      </c>
      <c r="W98" t="str">
        <f t="shared" si="246"/>
        <v>54 Textiles, printing and other skilled trades</v>
      </c>
      <c r="X98" s="17">
        <f t="shared" si="210"/>
        <v>9.2825578247701657E-2</v>
      </c>
      <c r="Y98" s="17">
        <f t="shared" si="210"/>
        <v>-1.9117533510275786</v>
      </c>
      <c r="Z98" s="17">
        <f t="shared" si="210"/>
        <v>4.0718353995802925</v>
      </c>
      <c r="AA98" s="17">
        <f t="shared" si="210"/>
        <v>2.605834508508309</v>
      </c>
      <c r="AB98" s="17">
        <f t="shared" si="211"/>
        <v>2.7720987680914799</v>
      </c>
      <c r="AD98" s="17">
        <f t="shared" si="212"/>
        <v>3.0921924631100106</v>
      </c>
      <c r="AE98" s="17">
        <f t="shared" si="213"/>
        <v>3.7103207918687264</v>
      </c>
      <c r="AF98" s="17">
        <f t="shared" si="214"/>
        <v>5.7286506525311864</v>
      </c>
      <c r="AH98" t="str">
        <f t="shared" si="247"/>
        <v>54 Textiles, printing and other skilled trades</v>
      </c>
      <c r="AI98" s="17">
        <f t="shared" si="215"/>
        <v>-1.2100562492511679</v>
      </c>
      <c r="AJ98" s="17">
        <f t="shared" si="215"/>
        <v>4.9325718194096035</v>
      </c>
      <c r="AK98" s="17">
        <f t="shared" si="215"/>
        <v>1.4031062398258465</v>
      </c>
      <c r="AL98" s="17">
        <f t="shared" si="215"/>
        <v>2.1113596427278836</v>
      </c>
      <c r="AM98" s="17">
        <f t="shared" si="216"/>
        <v>2.0632045501821628</v>
      </c>
      <c r="AO98" s="17">
        <f t="shared" si="217"/>
        <v>1.8747272277754634</v>
      </c>
      <c r="AP98" s="17">
        <f t="shared" si="218"/>
        <v>3.3616588979259454</v>
      </c>
      <c r="AQ98" s="17">
        <f t="shared" si="219"/>
        <v>4.6003877963160855</v>
      </c>
      <c r="AS98" t="str">
        <f t="shared" si="248"/>
        <v>54 Textiles, printing and other skilled trades</v>
      </c>
      <c r="AT98" s="17">
        <f t="shared" si="220"/>
        <v>-1.0926627101760955</v>
      </c>
      <c r="AU98" s="17">
        <f t="shared" si="220"/>
        <v>0.6794346451272304</v>
      </c>
      <c r="AV98" s="17">
        <f t="shared" si="220"/>
        <v>3.0138110388921557</v>
      </c>
      <c r="AW98" s="17">
        <f t="shared" si="220"/>
        <v>1.9914766374790283</v>
      </c>
      <c r="AX98" s="17">
        <f t="shared" si="221"/>
        <v>2.2271026877215716</v>
      </c>
      <c r="AZ98" s="17">
        <f t="shared" si="222"/>
        <v>2.3311224479313664</v>
      </c>
      <c r="BA98" s="17">
        <f t="shared" si="223"/>
        <v>3.4279361247958162</v>
      </c>
      <c r="BB98" s="17">
        <f t="shared" si="224"/>
        <v>4.9727555859278461</v>
      </c>
      <c r="BD98" t="str">
        <f t="shared" si="249"/>
        <v>54 Textiles, printing and other skilled trades</v>
      </c>
      <c r="BE98" s="17">
        <f t="shared" si="225"/>
        <v>-1.4118244773839939</v>
      </c>
      <c r="BF98" s="17">
        <f t="shared" si="225"/>
        <v>-7.0752882138390261</v>
      </c>
      <c r="BG98" s="17">
        <f t="shared" si="225"/>
        <v>1.001135451552293</v>
      </c>
      <c r="BH98" s="17">
        <f t="shared" si="225"/>
        <v>4.4705762187735587E-3</v>
      </c>
      <c r="BI98" s="17">
        <f t="shared" si="226"/>
        <v>-0.1444309687662404</v>
      </c>
      <c r="BK98" s="17">
        <f t="shared" si="227"/>
        <v>0.33559460901930738</v>
      </c>
      <c r="BL98" s="17">
        <f t="shared" si="228"/>
        <v>2.3857205783936575</v>
      </c>
      <c r="BM98" s="17">
        <f t="shared" si="229"/>
        <v>2.6286427056941175</v>
      </c>
      <c r="BO98" t="str">
        <f t="shared" si="250"/>
        <v>54 Textiles, printing and other skilled trades</v>
      </c>
      <c r="BP98" s="17">
        <f t="shared" si="230"/>
        <v>-4.1153712980978145</v>
      </c>
      <c r="BQ98" s="17">
        <f t="shared" si="230"/>
        <v>-5.5548856938274387</v>
      </c>
      <c r="BR98" s="17">
        <f t="shared" si="230"/>
        <v>-2.9556370370384721</v>
      </c>
      <c r="BS98" s="17">
        <f t="shared" si="230"/>
        <v>-1.6829906001218364</v>
      </c>
      <c r="BT98" s="17">
        <f t="shared" si="231"/>
        <v>-2.3280510261857401</v>
      </c>
      <c r="BV98" s="17">
        <f t="shared" si="232"/>
        <v>-2.1090497497234906</v>
      </c>
      <c r="BW98" s="17">
        <f t="shared" si="233"/>
        <v>1.8682065542027448</v>
      </c>
      <c r="BX98" s="17">
        <f t="shared" si="234"/>
        <v>0.30254231801698506</v>
      </c>
      <c r="BZ98" t="str">
        <f t="shared" si="251"/>
        <v>54 Textiles, printing and other skilled trades</v>
      </c>
      <c r="CA98" s="17">
        <f t="shared" si="235"/>
        <v>-2.8892515133143726</v>
      </c>
      <c r="CB98" s="17">
        <f t="shared" si="235"/>
        <v>-7.9407890560866505</v>
      </c>
      <c r="CC98" s="17">
        <f t="shared" si="235"/>
        <v>-0.61853705769353562</v>
      </c>
      <c r="CD98" s="17">
        <f t="shared" si="235"/>
        <v>-2.4618717785734323</v>
      </c>
      <c r="CE98" s="17">
        <f t="shared" si="236"/>
        <v>-2.2433868568476623</v>
      </c>
      <c r="CG98" s="17">
        <f t="shared" si="237"/>
        <v>-1.8512574546422189</v>
      </c>
      <c r="CH98" s="17">
        <f t="shared" si="238"/>
        <v>1.8735620397454023</v>
      </c>
      <c r="CI98" s="17">
        <f t="shared" si="239"/>
        <v>0.49340986831114542</v>
      </c>
      <c r="CK98" t="str">
        <f t="shared" si="252"/>
        <v>54 Textiles, printing and other skilled trades</v>
      </c>
      <c r="CL98" s="17">
        <f t="shared" si="240"/>
        <v>-3.6805685425346901</v>
      </c>
      <c r="CM98" s="17">
        <f t="shared" si="240"/>
        <v>-14.162512588274378</v>
      </c>
      <c r="CN98" s="17">
        <f t="shared" si="240"/>
        <v>-6.2236220329660918</v>
      </c>
      <c r="CO98" s="17">
        <f t="shared" si="240"/>
        <v>-3.2858925535051431</v>
      </c>
      <c r="CP98" s="17">
        <f t="shared" si="241"/>
        <v>-4.92525715563138</v>
      </c>
      <c r="CR98" s="17">
        <f t="shared" si="242"/>
        <v>-4.2752214629185881</v>
      </c>
      <c r="CS98" s="17">
        <f t="shared" si="243"/>
        <v>1.2652527388434809</v>
      </c>
      <c r="CT98" s="17">
        <f t="shared" si="244"/>
        <v>-2.1049675052225658</v>
      </c>
    </row>
    <row r="99" spans="1:98" x14ac:dyDescent="0.3">
      <c r="A99" t="str">
        <f t="shared" si="199"/>
        <v>61 Caring personal service occupations</v>
      </c>
      <c r="B99" s="17">
        <f t="shared" si="200"/>
        <v>5.0254546947084311</v>
      </c>
      <c r="C99" s="17">
        <f t="shared" si="200"/>
        <v>-0.14321880665653097</v>
      </c>
      <c r="D99" s="17">
        <f t="shared" si="200"/>
        <v>8.6285451879373873</v>
      </c>
      <c r="E99" s="17">
        <f t="shared" si="200"/>
        <v>5.1527807916394774</v>
      </c>
      <c r="F99" s="17">
        <f t="shared" si="201"/>
        <v>5.8842982268632493</v>
      </c>
      <c r="H99" s="17">
        <f t="shared" si="202"/>
        <v>6.2988328129301774</v>
      </c>
      <c r="I99" s="17">
        <f t="shared" si="203"/>
        <v>4.6441134398708117</v>
      </c>
      <c r="J99" s="17">
        <f t="shared" si="204"/>
        <v>8.6598052692547824</v>
      </c>
      <c r="L99" t="str">
        <f t="shared" si="245"/>
        <v>61 Caring personal service occupations</v>
      </c>
      <c r="M99" s="17">
        <f t="shared" si="205"/>
        <v>7.9826818739318517</v>
      </c>
      <c r="N99" s="17">
        <f t="shared" si="205"/>
        <v>-0.23766829781933785</v>
      </c>
      <c r="O99" s="17">
        <f t="shared" si="205"/>
        <v>7.6389785067861427</v>
      </c>
      <c r="P99" s="17">
        <f t="shared" si="205"/>
        <v>4.877505056307796</v>
      </c>
      <c r="Q99" s="17">
        <f t="shared" si="206"/>
        <v>5.4028536265120497</v>
      </c>
      <c r="S99" s="17">
        <f t="shared" si="207"/>
        <v>5.7900333643469137</v>
      </c>
      <c r="T99" s="17">
        <f t="shared" si="208"/>
        <v>4.6933107461225809</v>
      </c>
      <c r="U99" s="17">
        <f t="shared" si="209"/>
        <v>8.3197758324129225</v>
      </c>
      <c r="W99" t="str">
        <f t="shared" si="246"/>
        <v>61 Caring personal service occupations</v>
      </c>
      <c r="X99" s="17">
        <f t="shared" si="210"/>
        <v>2.7820810095960935</v>
      </c>
      <c r="Y99" s="17">
        <f t="shared" si="210"/>
        <v>2.068875530504255</v>
      </c>
      <c r="Z99" s="17">
        <f t="shared" si="210"/>
        <v>3.6573512085050996</v>
      </c>
      <c r="AA99" s="17">
        <f t="shared" si="210"/>
        <v>2.2504801216031822</v>
      </c>
      <c r="AB99" s="17">
        <f t="shared" si="211"/>
        <v>2.6766555305547168</v>
      </c>
      <c r="AD99" s="17">
        <f t="shared" si="212"/>
        <v>2.7173026383093157</v>
      </c>
      <c r="AE99" s="17">
        <f t="shared" si="213"/>
        <v>4.10930671868599</v>
      </c>
      <c r="AF99" s="17">
        <f t="shared" si="214"/>
        <v>5.7847576110693577</v>
      </c>
      <c r="AH99" t="str">
        <f t="shared" si="247"/>
        <v>61 Caring personal service occupations</v>
      </c>
      <c r="AI99" s="17">
        <f t="shared" si="215"/>
        <v>-0.39313514804315552</v>
      </c>
      <c r="AJ99" s="17">
        <f t="shared" si="215"/>
        <v>2.1835265741788401</v>
      </c>
      <c r="AK99" s="17">
        <f t="shared" si="215"/>
        <v>1.237089910696465</v>
      </c>
      <c r="AL99" s="17">
        <f t="shared" si="215"/>
        <v>0.66508354595435915</v>
      </c>
      <c r="AM99" s="17">
        <f t="shared" si="216"/>
        <v>0.93789263616144147</v>
      </c>
      <c r="AO99" s="17">
        <f t="shared" si="217"/>
        <v>0.85539232600742032</v>
      </c>
      <c r="AP99" s="17">
        <f t="shared" si="218"/>
        <v>3.3424118025466409</v>
      </c>
      <c r="AQ99" s="17">
        <f t="shared" si="219"/>
        <v>3.8946613102167404</v>
      </c>
      <c r="AS99" t="str">
        <f t="shared" si="248"/>
        <v>61 Caring personal service occupations</v>
      </c>
      <c r="AT99" s="17">
        <f t="shared" si="220"/>
        <v>1.8339138477188932</v>
      </c>
      <c r="AU99" s="17">
        <f t="shared" si="220"/>
        <v>3.1648312689755986</v>
      </c>
      <c r="AV99" s="17">
        <f t="shared" si="220"/>
        <v>1.770586563322385</v>
      </c>
      <c r="AW99" s="17">
        <f t="shared" si="220"/>
        <v>1.3077383098738737</v>
      </c>
      <c r="AX99" s="17">
        <f t="shared" si="221"/>
        <v>1.5673984773881156</v>
      </c>
      <c r="AZ99" s="17">
        <f t="shared" si="222"/>
        <v>1.4617866965589421</v>
      </c>
      <c r="BA99" s="17">
        <f t="shared" si="223"/>
        <v>3.5318220357143604</v>
      </c>
      <c r="BB99" s="17">
        <f t="shared" si="224"/>
        <v>4.467530335826031</v>
      </c>
      <c r="BD99" t="str">
        <f t="shared" si="249"/>
        <v>61 Caring personal service occupations</v>
      </c>
      <c r="BE99" s="17">
        <f t="shared" si="225"/>
        <v>2.5717028610440895</v>
      </c>
      <c r="BF99" s="17">
        <f t="shared" si="225"/>
        <v>-1.1008618579310347</v>
      </c>
      <c r="BG99" s="17">
        <f t="shared" si="225"/>
        <v>2.2439773357002979</v>
      </c>
      <c r="BH99" s="17">
        <f t="shared" si="225"/>
        <v>1.3807641774790769</v>
      </c>
      <c r="BI99" s="17">
        <f t="shared" si="226"/>
        <v>1.4924062778076452</v>
      </c>
      <c r="BK99" s="17">
        <f t="shared" si="227"/>
        <v>1.6676890842362457</v>
      </c>
      <c r="BL99" s="17">
        <f t="shared" si="228"/>
        <v>3.3784693637721075</v>
      </c>
      <c r="BM99" s="17">
        <f t="shared" si="229"/>
        <v>4.4725018830358065</v>
      </c>
      <c r="BO99" t="str">
        <f t="shared" si="250"/>
        <v>61 Caring personal service occupations</v>
      </c>
      <c r="BP99" s="17">
        <f t="shared" si="230"/>
        <v>-0.82730785470860324</v>
      </c>
      <c r="BQ99" s="17">
        <f t="shared" si="230"/>
        <v>-7.6939550233153469</v>
      </c>
      <c r="BR99" s="17">
        <f t="shared" si="230"/>
        <v>-8.7423757143290093E-2</v>
      </c>
      <c r="BS99" s="17">
        <f t="shared" si="230"/>
        <v>-2.2155052747302229</v>
      </c>
      <c r="BT99" s="17">
        <f t="shared" si="231"/>
        <v>-1.9095039858471607</v>
      </c>
      <c r="BV99" s="17">
        <f t="shared" si="232"/>
        <v>-1.5112293719461434</v>
      </c>
      <c r="BW99" s="17">
        <f t="shared" si="233"/>
        <v>2.54370747752799</v>
      </c>
      <c r="BX99" s="17">
        <f t="shared" si="234"/>
        <v>1.5170374008895759</v>
      </c>
      <c r="BZ99" t="str">
        <f t="shared" si="251"/>
        <v>61 Caring personal service occupations</v>
      </c>
      <c r="CA99" s="17">
        <f t="shared" si="235"/>
        <v>-12.478956509673534</v>
      </c>
      <c r="CB99" s="17">
        <f t="shared" si="235"/>
        <v>-14.454112380282591</v>
      </c>
      <c r="CC99" s="17">
        <f t="shared" si="235"/>
        <v>-5.5697963502047365</v>
      </c>
      <c r="CD99" s="17">
        <f t="shared" si="235"/>
        <v>-1.8006703276504887</v>
      </c>
      <c r="CE99" s="17">
        <f t="shared" si="236"/>
        <v>-3.8271607728903589</v>
      </c>
      <c r="CG99" s="17">
        <f t="shared" si="237"/>
        <v>-3.0734716873645151</v>
      </c>
      <c r="CH99" s="17">
        <f t="shared" si="238"/>
        <v>1.4333587982374496</v>
      </c>
      <c r="CI99" s="17">
        <f t="shared" si="239"/>
        <v>-0.96928103681628297</v>
      </c>
      <c r="CK99" t="str">
        <f t="shared" si="252"/>
        <v>61 Caring personal service occupations</v>
      </c>
      <c r="CL99" s="17">
        <f t="shared" si="240"/>
        <v>-3.5177325096757972</v>
      </c>
      <c r="CM99" s="17">
        <f t="shared" si="240"/>
        <v>-10.273726992745358</v>
      </c>
      <c r="CN99" s="17">
        <f t="shared" si="240"/>
        <v>1.8144119440240525</v>
      </c>
      <c r="CO99" s="17">
        <f t="shared" si="240"/>
        <v>0.26927712701239059</v>
      </c>
      <c r="CP99" s="17">
        <f t="shared" si="241"/>
        <v>5.2465994390882287E-2</v>
      </c>
      <c r="CR99" s="17">
        <f t="shared" si="242"/>
        <v>0.78169889597494713</v>
      </c>
      <c r="CS99" s="17">
        <f t="shared" si="243"/>
        <v>1.8069641889236543</v>
      </c>
      <c r="CT99" s="17">
        <f t="shared" si="244"/>
        <v>2.4229709324768534</v>
      </c>
    </row>
    <row r="100" spans="1:98" x14ac:dyDescent="0.3">
      <c r="A100" t="str">
        <f t="shared" si="199"/>
        <v>62 Leisure, travel and related personal service occupations</v>
      </c>
      <c r="B100" s="17">
        <f t="shared" si="200"/>
        <v>9.8275360365172926</v>
      </c>
      <c r="C100" s="17">
        <f t="shared" si="200"/>
        <v>4.7263068835924571</v>
      </c>
      <c r="D100" s="17">
        <f t="shared" si="200"/>
        <v>7.096568682885418</v>
      </c>
      <c r="E100" s="17">
        <f t="shared" si="200"/>
        <v>5.0209556916251508</v>
      </c>
      <c r="F100" s="17">
        <f t="shared" si="201"/>
        <v>5.646673503969879</v>
      </c>
      <c r="H100" s="17">
        <f t="shared" si="202"/>
        <v>5.7083180854214266</v>
      </c>
      <c r="I100" s="17">
        <f t="shared" si="203"/>
        <v>4.4174081895285822</v>
      </c>
      <c r="J100" s="17">
        <f t="shared" si="204"/>
        <v>8.0898509984868916</v>
      </c>
      <c r="L100" t="str">
        <f t="shared" si="245"/>
        <v>62 Leisure, travel and related personal service occupations</v>
      </c>
      <c r="M100" s="17">
        <f t="shared" si="205"/>
        <v>7.4488873415606616</v>
      </c>
      <c r="N100" s="17">
        <f t="shared" si="205"/>
        <v>-9.6572412815876483</v>
      </c>
      <c r="O100" s="17">
        <f t="shared" si="205"/>
        <v>6.3450504334920055</v>
      </c>
      <c r="P100" s="17">
        <f t="shared" si="205"/>
        <v>4.7843031773081135</v>
      </c>
      <c r="Q100" s="17">
        <f t="shared" si="206"/>
        <v>4.2983957090769298</v>
      </c>
      <c r="S100" s="17">
        <f t="shared" si="207"/>
        <v>5.3019904149860242</v>
      </c>
      <c r="T100" s="17">
        <f t="shared" si="208"/>
        <v>4.3098516836546086</v>
      </c>
      <c r="U100" s="17">
        <f t="shared" si="209"/>
        <v>7.7260046861357567</v>
      </c>
      <c r="W100" t="str">
        <f t="shared" si="246"/>
        <v>62 Leisure, travel and related personal service occupations</v>
      </c>
      <c r="X100" s="17">
        <f t="shared" si="210"/>
        <v>5.177371162001565</v>
      </c>
      <c r="Y100" s="17">
        <f t="shared" si="210"/>
        <v>-5.048829736895744</v>
      </c>
      <c r="Z100" s="17">
        <f t="shared" si="210"/>
        <v>4.259208726088537</v>
      </c>
      <c r="AA100" s="17">
        <f t="shared" si="210"/>
        <v>3.182510002769412</v>
      </c>
      <c r="AB100" s="17">
        <f t="shared" si="211"/>
        <v>2.9812912319779006</v>
      </c>
      <c r="AD100" s="17">
        <f t="shared" si="212"/>
        <v>3.5401684043262716</v>
      </c>
      <c r="AE100" s="17">
        <f t="shared" si="213"/>
        <v>4.108057789537134</v>
      </c>
      <c r="AF100" s="17">
        <f t="shared" si="214"/>
        <v>6.3395928444153871</v>
      </c>
      <c r="AH100" t="str">
        <f t="shared" si="247"/>
        <v>62 Leisure, travel and related personal service occupations</v>
      </c>
      <c r="AI100" s="17">
        <f t="shared" si="215"/>
        <v>5.3034346211542571</v>
      </c>
      <c r="AJ100" s="17">
        <f t="shared" si="215"/>
        <v>-3.4890385993134321</v>
      </c>
      <c r="AK100" s="17">
        <f t="shared" si="215"/>
        <v>2.8071370763066872</v>
      </c>
      <c r="AL100" s="17">
        <f t="shared" si="215"/>
        <v>3.0182768521258785</v>
      </c>
      <c r="AM100" s="17">
        <f t="shared" si="216"/>
        <v>2.5332530483902493</v>
      </c>
      <c r="AO100" s="17">
        <f t="shared" si="217"/>
        <v>2.9478487899418315</v>
      </c>
      <c r="AP100" s="17">
        <f t="shared" si="218"/>
        <v>3.9447068513780659</v>
      </c>
      <c r="AQ100" s="17">
        <f t="shared" si="219"/>
        <v>5.8096566301689467</v>
      </c>
      <c r="AS100" t="str">
        <f t="shared" si="248"/>
        <v>62 Leisure, travel and related personal service occupations</v>
      </c>
      <c r="AT100" s="17">
        <f t="shared" si="220"/>
        <v>5.6451280246496038</v>
      </c>
      <c r="AU100" s="17">
        <f t="shared" si="220"/>
        <v>4.3570580649955559</v>
      </c>
      <c r="AV100" s="17">
        <f t="shared" si="220"/>
        <v>3.4695206151139413</v>
      </c>
      <c r="AW100" s="17">
        <f t="shared" si="220"/>
        <v>3.4536534453613932</v>
      </c>
      <c r="AX100" s="17">
        <f t="shared" si="221"/>
        <v>3.51484733211338</v>
      </c>
      <c r="AZ100" s="17">
        <f t="shared" si="222"/>
        <v>3.4589422315661755</v>
      </c>
      <c r="BA100" s="17">
        <f t="shared" si="223"/>
        <v>4.0848928922258887</v>
      </c>
      <c r="BB100" s="17">
        <f t="shared" si="224"/>
        <v>6.2664504269394072</v>
      </c>
      <c r="BD100" t="str">
        <f t="shared" si="249"/>
        <v>62 Leisure, travel and related personal service occupations</v>
      </c>
      <c r="BE100" s="17">
        <f t="shared" si="225"/>
        <v>1.1825905177473395</v>
      </c>
      <c r="BF100" s="17">
        <f t="shared" si="225"/>
        <v>-8.1005234558047654</v>
      </c>
      <c r="BG100" s="17">
        <f t="shared" si="225"/>
        <v>-0.62170408266277732</v>
      </c>
      <c r="BH100" s="17">
        <f t="shared" si="225"/>
        <v>-0.75870903067211115</v>
      </c>
      <c r="BI100" s="17">
        <f t="shared" si="226"/>
        <v>-1.1917002984531022</v>
      </c>
      <c r="BK100" s="17">
        <f t="shared" si="227"/>
        <v>-0.71306171396247064</v>
      </c>
      <c r="BL100" s="17">
        <f t="shared" si="228"/>
        <v>2.4002975689067396</v>
      </c>
      <c r="BM100" s="17">
        <f t="shared" si="229"/>
        <v>1.8964982632369898</v>
      </c>
      <c r="BO100" t="str">
        <f t="shared" si="250"/>
        <v>62 Leisure, travel and related personal service occupations</v>
      </c>
      <c r="BP100" s="17">
        <f t="shared" si="230"/>
        <v>0.30356711388961344</v>
      </c>
      <c r="BQ100" s="17">
        <f t="shared" si="230"/>
        <v>-11.15061494342584</v>
      </c>
      <c r="BR100" s="17">
        <f t="shared" si="230"/>
        <v>-2.0566964968874557</v>
      </c>
      <c r="BS100" s="17">
        <f t="shared" si="230"/>
        <v>-2.5215711081288616</v>
      </c>
      <c r="BT100" s="17">
        <f t="shared" si="231"/>
        <v>-2.9404360315130718</v>
      </c>
      <c r="BV100" s="17">
        <f t="shared" si="232"/>
        <v>-2.366858585689513</v>
      </c>
      <c r="BW100" s="17">
        <f t="shared" si="233"/>
        <v>2.2202087693582895</v>
      </c>
      <c r="BX100" s="17">
        <f t="shared" si="234"/>
        <v>0.56560616235508121</v>
      </c>
      <c r="BZ100" t="str">
        <f t="shared" si="251"/>
        <v>62 Leisure, travel and related personal service occupations</v>
      </c>
      <c r="CA100" s="17">
        <f t="shared" si="235"/>
        <v>1.4521271256111135</v>
      </c>
      <c r="CB100" s="17">
        <f t="shared" si="235"/>
        <v>-11.900075275165101</v>
      </c>
      <c r="CC100" s="17">
        <f t="shared" si="235"/>
        <v>-0.63536406374746779</v>
      </c>
      <c r="CD100" s="17">
        <f t="shared" si="235"/>
        <v>-2.6339140249882376</v>
      </c>
      <c r="CE100" s="17">
        <f t="shared" si="236"/>
        <v>-2.6242663118429932</v>
      </c>
      <c r="CG100" s="17">
        <f t="shared" si="237"/>
        <v>-1.9722374853747504</v>
      </c>
      <c r="CH100" s="17">
        <f t="shared" si="238"/>
        <v>2.1172823240173111</v>
      </c>
      <c r="CI100" s="17">
        <f t="shared" si="239"/>
        <v>0.70409965633404514</v>
      </c>
      <c r="CK100" t="str">
        <f t="shared" si="252"/>
        <v>62 Leisure, travel and related personal service occupations</v>
      </c>
      <c r="CL100" s="17">
        <f t="shared" si="240"/>
        <v>-1.7376298453884442</v>
      </c>
      <c r="CM100" s="17">
        <f t="shared" si="240"/>
        <v>-15.878440150665774</v>
      </c>
      <c r="CN100" s="17">
        <f t="shared" si="240"/>
        <v>-3.8031994451158901</v>
      </c>
      <c r="CO100" s="17">
        <f t="shared" si="240"/>
        <v>-2.9335678349413863</v>
      </c>
      <c r="CP100" s="17">
        <f t="shared" si="241"/>
        <v>-4.0682051059768636</v>
      </c>
      <c r="CR100" s="17">
        <f t="shared" si="242"/>
        <v>-3.2243150563417644</v>
      </c>
      <c r="CS100" s="17">
        <f t="shared" si="243"/>
        <v>1.4629207863963378</v>
      </c>
      <c r="CT100" s="17">
        <f t="shared" si="244"/>
        <v>-1.0386483262084134</v>
      </c>
    </row>
    <row r="101" spans="1:98" x14ac:dyDescent="0.3">
      <c r="A101" t="str">
        <f t="shared" si="199"/>
        <v>63 Community and civil enforcement occupations</v>
      </c>
      <c r="B101" s="17">
        <f t="shared" si="200"/>
        <v>2.9133490558790331</v>
      </c>
      <c r="C101" s="17">
        <f t="shared" si="200"/>
        <v>11.205308410094705</v>
      </c>
      <c r="D101" s="17">
        <f t="shared" si="200"/>
        <v>4.9785261744126563</v>
      </c>
      <c r="E101" s="17">
        <f t="shared" si="200"/>
        <v>4.764486754954933</v>
      </c>
      <c r="F101" s="17">
        <f t="shared" si="201"/>
        <v>5.2229681440977505</v>
      </c>
      <c r="H101" s="17">
        <f t="shared" si="202"/>
        <v>4.835784694968237</v>
      </c>
      <c r="I101" s="17">
        <f t="shared" si="203"/>
        <v>4.1433696952710486</v>
      </c>
      <c r="J101" s="17">
        <f t="shared" si="204"/>
        <v>7.2797440659632118</v>
      </c>
      <c r="L101" t="str">
        <f t="shared" si="245"/>
        <v>63 Community and civil enforcement occupations</v>
      </c>
      <c r="M101" s="17">
        <f t="shared" si="205"/>
        <v>1.1597924411410387</v>
      </c>
      <c r="N101" s="17">
        <f t="shared" si="205"/>
        <v>36.60774054652196</v>
      </c>
      <c r="O101" s="17">
        <f t="shared" si="205"/>
        <v>0.97139366310754482</v>
      </c>
      <c r="P101" s="17">
        <f t="shared" si="205"/>
        <v>5.2184086530103757</v>
      </c>
      <c r="Q101" s="17">
        <f t="shared" si="206"/>
        <v>5.5811825767169365</v>
      </c>
      <c r="S101" s="17">
        <f t="shared" si="207"/>
        <v>3.7832507251704506</v>
      </c>
      <c r="T101" s="17">
        <f t="shared" si="208"/>
        <v>3.5375531748587097</v>
      </c>
      <c r="U101" s="17">
        <f t="shared" si="209"/>
        <v>6.0978172573439737</v>
      </c>
      <c r="W101" t="str">
        <f t="shared" si="246"/>
        <v>63 Community and civil enforcement occupations</v>
      </c>
      <c r="X101" s="17">
        <f t="shared" si="210"/>
        <v>1.2626916007113964</v>
      </c>
      <c r="Y101" s="17">
        <f t="shared" si="210"/>
        <v>12.866492433869837</v>
      </c>
      <c r="Z101" s="17">
        <f t="shared" si="210"/>
        <v>1.9924565765535585</v>
      </c>
      <c r="AA101" s="17">
        <f t="shared" si="210"/>
        <v>2.1656093872954418</v>
      </c>
      <c r="AB101" s="17">
        <f t="shared" si="211"/>
        <v>2.7491615710747652</v>
      </c>
      <c r="AD101" s="17">
        <f t="shared" si="212"/>
        <v>2.1078591459025242</v>
      </c>
      <c r="AE101" s="17">
        <f t="shared" si="213"/>
        <v>3.834784040101602</v>
      </c>
      <c r="AF101" s="17">
        <f t="shared" si="214"/>
        <v>5.1564406005375707</v>
      </c>
      <c r="AH101" t="str">
        <f t="shared" si="247"/>
        <v>63 Community and civil enforcement occupations</v>
      </c>
      <c r="AI101" s="17">
        <f t="shared" si="215"/>
        <v>-0.97598665211697799</v>
      </c>
      <c r="AJ101" s="17">
        <f t="shared" si="215"/>
        <v>32.191314563704545</v>
      </c>
      <c r="AK101" s="17">
        <f t="shared" si="215"/>
        <v>-2.0506665986873784</v>
      </c>
      <c r="AL101" s="17">
        <f t="shared" si="215"/>
        <v>2.0865139985262626</v>
      </c>
      <c r="AM101" s="17">
        <f t="shared" si="216"/>
        <v>2.4161345261192846</v>
      </c>
      <c r="AO101" s="17">
        <f t="shared" si="217"/>
        <v>0.68839332159487121</v>
      </c>
      <c r="AP101" s="17">
        <f t="shared" si="218"/>
        <v>3.0960121915347916</v>
      </c>
      <c r="AQ101" s="17">
        <f t="shared" si="219"/>
        <v>3.5530688918887332</v>
      </c>
      <c r="AS101" t="str">
        <f t="shared" si="248"/>
        <v>63 Community and civil enforcement occupations</v>
      </c>
      <c r="AT101" s="17">
        <f t="shared" si="220"/>
        <v>-3.1901945754620464</v>
      </c>
      <c r="AU101" s="17">
        <f t="shared" si="220"/>
        <v>26.003050051323861</v>
      </c>
      <c r="AV101" s="17">
        <f t="shared" si="220"/>
        <v>-3.7921379498592422</v>
      </c>
      <c r="AW101" s="17">
        <f t="shared" si="220"/>
        <v>0.68216333764341552</v>
      </c>
      <c r="AX101" s="17">
        <f t="shared" si="221"/>
        <v>0.66359908062021411</v>
      </c>
      <c r="AZ101" s="17">
        <f t="shared" si="222"/>
        <v>-0.83192561710250246</v>
      </c>
      <c r="BA101" s="17">
        <f t="shared" si="223"/>
        <v>2.8054667035406933</v>
      </c>
      <c r="BB101" s="17">
        <f t="shared" si="224"/>
        <v>2.2520731255853521</v>
      </c>
      <c r="BD101" t="str">
        <f t="shared" si="249"/>
        <v>63 Community and civil enforcement occupations</v>
      </c>
      <c r="BE101" s="17">
        <f t="shared" si="225"/>
        <v>-8.3299358045357597</v>
      </c>
      <c r="BF101" s="17">
        <f t="shared" si="225"/>
        <v>42.602936987342545</v>
      </c>
      <c r="BG101" s="17">
        <f t="shared" si="225"/>
        <v>-8.5464986993765262</v>
      </c>
      <c r="BH101" s="17">
        <f t="shared" si="225"/>
        <v>3.6211084231219104E-2</v>
      </c>
      <c r="BI101" s="17">
        <f t="shared" si="226"/>
        <v>-0.54962933160503935</v>
      </c>
      <c r="BK101" s="17">
        <f t="shared" si="227"/>
        <v>-2.9106481374017501</v>
      </c>
      <c r="BL101" s="17">
        <f t="shared" si="228"/>
        <v>1.4665821343939678</v>
      </c>
      <c r="BM101" s="17">
        <f t="shared" si="229"/>
        <v>-0.80270853533986886</v>
      </c>
      <c r="BO101" t="str">
        <f t="shared" si="250"/>
        <v>63 Community and civil enforcement occupations</v>
      </c>
      <c r="BP101" s="17">
        <f t="shared" si="230"/>
        <v>-3.996120795645175</v>
      </c>
      <c r="BQ101" s="17">
        <f t="shared" si="230"/>
        <v>26.326988615640644</v>
      </c>
      <c r="BR101" s="17">
        <f t="shared" si="230"/>
        <v>-6.1167530229811806</v>
      </c>
      <c r="BS101" s="17">
        <f t="shared" si="230"/>
        <v>-0.64326807144136078</v>
      </c>
      <c r="BT101" s="17">
        <f t="shared" si="231"/>
        <v>-0.91096431148861567</v>
      </c>
      <c r="BV101" s="17">
        <f t="shared" si="232"/>
        <v>-2.5023310123066356</v>
      </c>
      <c r="BW101" s="17">
        <f t="shared" si="233"/>
        <v>1.8000895747708467</v>
      </c>
      <c r="BX101" s="17">
        <f t="shared" si="234"/>
        <v>-6.2839839760475691E-2</v>
      </c>
      <c r="BZ101" t="str">
        <f t="shared" si="251"/>
        <v>63 Community and civil enforcement occupations</v>
      </c>
      <c r="CA101" s="17">
        <f t="shared" si="235"/>
        <v>-3.1690992087626713</v>
      </c>
      <c r="CB101" s="17">
        <f t="shared" si="235"/>
        <v>23.033326333592296</v>
      </c>
      <c r="CC101" s="17">
        <f t="shared" si="235"/>
        <v>-4.4457298416435869</v>
      </c>
      <c r="CD101" s="17">
        <f t="shared" si="235"/>
        <v>-1.5953040097561599</v>
      </c>
      <c r="CE101" s="17">
        <f t="shared" si="236"/>
        <v>-1.1243232539639547</v>
      </c>
      <c r="CG101" s="17">
        <f t="shared" si="237"/>
        <v>-2.5547705504424312</v>
      </c>
      <c r="CH101" s="17">
        <f t="shared" si="238"/>
        <v>1.8023327387060695</v>
      </c>
      <c r="CI101" s="17">
        <f t="shared" si="239"/>
        <v>-9.6978699903327303E-2</v>
      </c>
      <c r="CK101" t="str">
        <f t="shared" si="252"/>
        <v>63 Community and civil enforcement occupations</v>
      </c>
      <c r="CL101" s="17">
        <f t="shared" si="240"/>
        <v>-9.1745178638704239</v>
      </c>
      <c r="CM101" s="17">
        <f t="shared" si="240"/>
        <v>29.0447151831684</v>
      </c>
      <c r="CN101" s="17">
        <f t="shared" si="240"/>
        <v>-12.247813599807722</v>
      </c>
      <c r="CO101" s="17">
        <f t="shared" si="240"/>
        <v>-2.5587903042341376</v>
      </c>
      <c r="CP101" s="17">
        <f t="shared" si="241"/>
        <v>-4.0260125463453029</v>
      </c>
      <c r="CR101" s="17">
        <f t="shared" si="242"/>
        <v>-5.9018482368371261</v>
      </c>
      <c r="CS101" s="17">
        <f t="shared" si="243"/>
        <v>0.84767722262402145</v>
      </c>
      <c r="CT101" s="17">
        <f t="shared" si="244"/>
        <v>-4.0661628854174019</v>
      </c>
    </row>
    <row r="102" spans="1:98" x14ac:dyDescent="0.3">
      <c r="A102" t="str">
        <f t="shared" si="199"/>
        <v>71 Sales occupations</v>
      </c>
      <c r="B102" s="17">
        <f t="shared" si="200"/>
        <v>3.6410150932605578</v>
      </c>
      <c r="C102" s="17">
        <f t="shared" si="200"/>
        <v>-9.2359884982100464</v>
      </c>
      <c r="D102" s="17">
        <f t="shared" si="200"/>
        <v>4.5510953090388773</v>
      </c>
      <c r="E102" s="17">
        <f t="shared" si="200"/>
        <v>3.7486776872941441</v>
      </c>
      <c r="F102" s="17">
        <f t="shared" si="201"/>
        <v>3.1332954063324703</v>
      </c>
      <c r="H102" s="17">
        <f t="shared" si="202"/>
        <v>4.0154636096201957</v>
      </c>
      <c r="I102" s="17">
        <f t="shared" si="203"/>
        <v>3.4232822490321446</v>
      </c>
      <c r="J102" s="17">
        <f t="shared" si="204"/>
        <v>6.1899235343642944</v>
      </c>
      <c r="L102" t="str">
        <f t="shared" si="245"/>
        <v>71 Sales occupations</v>
      </c>
      <c r="M102" s="17">
        <f t="shared" si="205"/>
        <v>5.0310816562620708</v>
      </c>
      <c r="N102" s="17">
        <f t="shared" si="205"/>
        <v>2.5444930993137493</v>
      </c>
      <c r="O102" s="17">
        <f t="shared" si="205"/>
        <v>5.2065799276972857</v>
      </c>
      <c r="P102" s="17">
        <f t="shared" si="205"/>
        <v>5.0588478686810268</v>
      </c>
      <c r="Q102" s="17">
        <f t="shared" si="206"/>
        <v>4.9459841625840717</v>
      </c>
      <c r="S102" s="17">
        <f t="shared" si="207"/>
        <v>5.1080688243192229</v>
      </c>
      <c r="T102" s="17">
        <f t="shared" si="208"/>
        <v>3.7379894008603642</v>
      </c>
      <c r="U102" s="17">
        <f t="shared" si="209"/>
        <v>7.2199247149772328</v>
      </c>
      <c r="W102" t="str">
        <f t="shared" si="246"/>
        <v>71 Sales occupations</v>
      </c>
      <c r="X102" s="17">
        <f t="shared" si="210"/>
        <v>1.0677610770570833</v>
      </c>
      <c r="Y102" s="17">
        <f t="shared" si="210"/>
        <v>5.2319417936443458</v>
      </c>
      <c r="Z102" s="17">
        <f t="shared" si="210"/>
        <v>1.5746576381668209</v>
      </c>
      <c r="AA102" s="17">
        <f t="shared" si="210"/>
        <v>2.4776937378915953</v>
      </c>
      <c r="AB102" s="17">
        <f t="shared" si="211"/>
        <v>2.3641750150013463</v>
      </c>
      <c r="AD102" s="17">
        <f t="shared" si="212"/>
        <v>2.1757931752278692</v>
      </c>
      <c r="AE102" s="17">
        <f t="shared" si="213"/>
        <v>3.3631434761959067</v>
      </c>
      <c r="AF102" s="17">
        <f t="shared" si="214"/>
        <v>4.8110378996967684</v>
      </c>
      <c r="AH102" t="str">
        <f t="shared" si="247"/>
        <v>71 Sales occupations</v>
      </c>
      <c r="AI102" s="17">
        <f t="shared" si="215"/>
        <v>-7.6942836099580525E-2</v>
      </c>
      <c r="AJ102" s="17">
        <f t="shared" si="215"/>
        <v>6.9766982435009561</v>
      </c>
      <c r="AK102" s="17">
        <f t="shared" si="215"/>
        <v>0.51982536127905821</v>
      </c>
      <c r="AL102" s="17">
        <f t="shared" si="215"/>
        <v>2.1847181168938246</v>
      </c>
      <c r="AM102" s="17">
        <f t="shared" si="216"/>
        <v>1.9531052888086764</v>
      </c>
      <c r="AO102" s="17">
        <f t="shared" si="217"/>
        <v>1.6267122776941534</v>
      </c>
      <c r="AP102" s="17">
        <f t="shared" si="218"/>
        <v>3.2466201177000498</v>
      </c>
      <c r="AQ102" s="17">
        <f t="shared" si="219"/>
        <v>4.3304714785361353</v>
      </c>
      <c r="AS102" t="str">
        <f t="shared" si="248"/>
        <v>71 Sales occupations</v>
      </c>
      <c r="AT102" s="17">
        <f t="shared" si="220"/>
        <v>-0.87581560527985047</v>
      </c>
      <c r="AU102" s="17">
        <f t="shared" si="220"/>
        <v>3.9446466363021182</v>
      </c>
      <c r="AV102" s="17">
        <f t="shared" si="220"/>
        <v>-0.18835064184603567</v>
      </c>
      <c r="AW102" s="17">
        <f t="shared" si="220"/>
        <v>1.7808405618936041</v>
      </c>
      <c r="AX102" s="17">
        <f t="shared" si="221"/>
        <v>1.2944238962995014</v>
      </c>
      <c r="AZ102" s="17">
        <f t="shared" si="222"/>
        <v>1.1201642132711687</v>
      </c>
      <c r="BA102" s="17">
        <f t="shared" si="223"/>
        <v>2.7579531626304554</v>
      </c>
      <c r="BB102" s="17">
        <f t="shared" si="224"/>
        <v>3.5429404282377286</v>
      </c>
      <c r="BD102" t="str">
        <f t="shared" si="249"/>
        <v>71 Sales occupations</v>
      </c>
      <c r="BE102" s="17">
        <f t="shared" si="225"/>
        <v>-0.39246667061241247</v>
      </c>
      <c r="BF102" s="17">
        <f t="shared" si="225"/>
        <v>1.8990373118288773</v>
      </c>
      <c r="BG102" s="17">
        <f t="shared" si="225"/>
        <v>-0.97321735466927572</v>
      </c>
      <c r="BH102" s="17">
        <f t="shared" si="225"/>
        <v>4.3642587177417091E-2</v>
      </c>
      <c r="BI102" s="17">
        <f t="shared" si="226"/>
        <v>-0.16064326707840859</v>
      </c>
      <c r="BK102" s="17">
        <f t="shared" si="227"/>
        <v>-0.29646564803771369</v>
      </c>
      <c r="BL102" s="17">
        <f t="shared" si="228"/>
        <v>2.4318406790830638</v>
      </c>
      <c r="BM102" s="17">
        <f t="shared" si="229"/>
        <v>2.2214002279429712</v>
      </c>
      <c r="BO102" t="str">
        <f t="shared" si="250"/>
        <v>71 Sales occupations</v>
      </c>
      <c r="BP102" s="17">
        <f t="shared" si="230"/>
        <v>-2.6635599789231135</v>
      </c>
      <c r="BQ102" s="17">
        <f t="shared" si="230"/>
        <v>-4.4046970206069957</v>
      </c>
      <c r="BR102" s="17">
        <f t="shared" si="230"/>
        <v>-2.761942902873038</v>
      </c>
      <c r="BS102" s="17">
        <f t="shared" si="230"/>
        <v>-2.5893616315667667</v>
      </c>
      <c r="BT102" s="17">
        <f t="shared" si="231"/>
        <v>-2.7577244282180668</v>
      </c>
      <c r="BV102" s="17">
        <f t="shared" si="232"/>
        <v>-2.6469227288350661</v>
      </c>
      <c r="BW102" s="17">
        <f t="shared" si="233"/>
        <v>2.1492404080793781</v>
      </c>
      <c r="BX102" s="17">
        <f t="shared" si="234"/>
        <v>0.29024285631371605</v>
      </c>
      <c r="BZ102" t="str">
        <f t="shared" si="251"/>
        <v>71 Sales occupations</v>
      </c>
      <c r="CA102" s="17">
        <f t="shared" si="235"/>
        <v>-2.0234736700883049</v>
      </c>
      <c r="CB102" s="17">
        <f t="shared" si="235"/>
        <v>-8.567059072646499</v>
      </c>
      <c r="CC102" s="17">
        <f t="shared" si="235"/>
        <v>-4.3694786139112267</v>
      </c>
      <c r="CD102" s="17">
        <f t="shared" si="235"/>
        <v>-8.921625709398695</v>
      </c>
      <c r="CE102" s="17">
        <f t="shared" si="236"/>
        <v>-7.5003955784397114</v>
      </c>
      <c r="CG102" s="17">
        <f t="shared" si="237"/>
        <v>-7.4288438303052757</v>
      </c>
      <c r="CH102" s="17">
        <f t="shared" si="238"/>
        <v>1.4260935154235321</v>
      </c>
      <c r="CI102" s="17">
        <f t="shared" si="239"/>
        <v>-3.8979471863346382</v>
      </c>
      <c r="CK102" t="str">
        <f t="shared" si="252"/>
        <v>71 Sales occupations</v>
      </c>
      <c r="CL102" s="17">
        <f t="shared" si="240"/>
        <v>-4.6818026171847489</v>
      </c>
      <c r="CM102" s="17">
        <f t="shared" si="240"/>
        <v>-15.339279244161851</v>
      </c>
      <c r="CN102" s="17">
        <f t="shared" si="240"/>
        <v>-7.0792433732701383</v>
      </c>
      <c r="CO102" s="17">
        <f t="shared" si="240"/>
        <v>-4.2056616347036062</v>
      </c>
      <c r="CP102" s="17">
        <f t="shared" si="241"/>
        <v>-5.8429692766932213</v>
      </c>
      <c r="CR102" s="17">
        <f t="shared" si="242"/>
        <v>-5.1732628718220148</v>
      </c>
      <c r="CS102" s="17">
        <f t="shared" si="243"/>
        <v>1.0521237225711744</v>
      </c>
      <c r="CT102" s="17">
        <f t="shared" si="244"/>
        <v>-3.1286840474610833</v>
      </c>
    </row>
    <row r="103" spans="1:98" x14ac:dyDescent="0.3">
      <c r="A103" t="str">
        <f t="shared" si="199"/>
        <v>72 Customer service occupations</v>
      </c>
      <c r="B103" s="17">
        <f t="shared" si="200"/>
        <v>5.2854958001427255</v>
      </c>
      <c r="C103" s="17">
        <f t="shared" si="200"/>
        <v>11.165074868458058</v>
      </c>
      <c r="D103" s="17">
        <f t="shared" si="200"/>
        <v>11.485967473494529</v>
      </c>
      <c r="E103" s="17">
        <f t="shared" si="200"/>
        <v>5.1126773627625521</v>
      </c>
      <c r="F103" s="17">
        <f t="shared" si="201"/>
        <v>7.439449377669316</v>
      </c>
      <c r="H103" s="17">
        <f t="shared" si="202"/>
        <v>7.1955609346266325</v>
      </c>
      <c r="I103" s="17">
        <f t="shared" si="203"/>
        <v>4.5046349946899822</v>
      </c>
      <c r="J103" s="17">
        <f t="shared" si="204"/>
        <v>9.2546106214670196</v>
      </c>
      <c r="L103" t="str">
        <f t="shared" si="245"/>
        <v>72 Customer service occupations</v>
      </c>
      <c r="M103" s="17">
        <f t="shared" si="205"/>
        <v>7.5444748391862548</v>
      </c>
      <c r="N103" s="17">
        <f t="shared" si="205"/>
        <v>5.0094904263463746</v>
      </c>
      <c r="O103" s="17">
        <f t="shared" si="205"/>
        <v>10.900703551724789</v>
      </c>
      <c r="P103" s="17">
        <f t="shared" si="205"/>
        <v>4.8564493661035657</v>
      </c>
      <c r="Q103" s="17">
        <f t="shared" si="206"/>
        <v>6.7187478269777445</v>
      </c>
      <c r="S103" s="17">
        <f t="shared" si="207"/>
        <v>6.8336825721653227</v>
      </c>
      <c r="T103" s="17">
        <f t="shared" si="208"/>
        <v>4.5632295209006024</v>
      </c>
      <c r="U103" s="17">
        <f t="shared" si="209"/>
        <v>9.0116374001801383</v>
      </c>
      <c r="W103" t="str">
        <f t="shared" si="246"/>
        <v>72 Customer service occupations</v>
      </c>
      <c r="X103" s="17">
        <f t="shared" si="210"/>
        <v>2.9103695298538401</v>
      </c>
      <c r="Y103" s="17">
        <f t="shared" si="210"/>
        <v>8.9696646334365138</v>
      </c>
      <c r="Z103" s="17">
        <f t="shared" si="210"/>
        <v>6.6839499622199483</v>
      </c>
      <c r="AA103" s="17">
        <f t="shared" si="210"/>
        <v>2.8970587365838796</v>
      </c>
      <c r="AB103" s="17">
        <f t="shared" si="211"/>
        <v>4.4394115332524908</v>
      </c>
      <c r="AD103" s="17">
        <f t="shared" si="212"/>
        <v>4.1441795393917236</v>
      </c>
      <c r="AE103" s="17">
        <f t="shared" si="213"/>
        <v>3.8644581537414346</v>
      </c>
      <c r="AF103" s="17">
        <f t="shared" si="214"/>
        <v>6.590491928366693</v>
      </c>
      <c r="AH103" t="str">
        <f t="shared" si="247"/>
        <v>72 Customer service occupations</v>
      </c>
      <c r="AI103" s="17">
        <f t="shared" si="215"/>
        <v>4.0014778095394554</v>
      </c>
      <c r="AJ103" s="17">
        <f t="shared" si="215"/>
        <v>12.502971975277433</v>
      </c>
      <c r="AK103" s="17">
        <f t="shared" si="215"/>
        <v>6.8241866842389642</v>
      </c>
      <c r="AL103" s="17">
        <f t="shared" si="215"/>
        <v>2.8908686077148804</v>
      </c>
      <c r="AM103" s="17">
        <f t="shared" si="216"/>
        <v>4.6869432661883481</v>
      </c>
      <c r="AO103" s="17">
        <f t="shared" si="217"/>
        <v>4.1856136447113723</v>
      </c>
      <c r="AP103" s="17">
        <f t="shared" si="218"/>
        <v>4.0581092515324935</v>
      </c>
      <c r="AQ103" s="17">
        <f t="shared" si="219"/>
        <v>6.7552304391875984</v>
      </c>
      <c r="AS103" t="str">
        <f t="shared" si="248"/>
        <v>72 Customer service occupations</v>
      </c>
      <c r="AT103" s="17">
        <f t="shared" si="220"/>
        <v>2.2419022761195784</v>
      </c>
      <c r="AU103" s="17">
        <f t="shared" si="220"/>
        <v>4.8389826247658974</v>
      </c>
      <c r="AV103" s="17">
        <f t="shared" si="220"/>
        <v>5.9507918664406301</v>
      </c>
      <c r="AW103" s="17">
        <f t="shared" si="220"/>
        <v>1.8896014879091538</v>
      </c>
      <c r="AX103" s="17">
        <f t="shared" si="221"/>
        <v>3.3258304070599154</v>
      </c>
      <c r="AZ103" s="17">
        <f t="shared" si="222"/>
        <v>3.2257336189690733</v>
      </c>
      <c r="BA103" s="17">
        <f t="shared" si="223"/>
        <v>3.4527015252761917</v>
      </c>
      <c r="BB103" s="17">
        <f t="shared" si="224"/>
        <v>5.6293190773503365</v>
      </c>
      <c r="BD103" t="str">
        <f t="shared" si="249"/>
        <v>72 Customer service occupations</v>
      </c>
      <c r="BE103" s="17">
        <f t="shared" si="225"/>
        <v>1.7026899147114971</v>
      </c>
      <c r="BF103" s="17">
        <f t="shared" si="225"/>
        <v>4.2243071284846279</v>
      </c>
      <c r="BG103" s="17">
        <f t="shared" si="225"/>
        <v>4.3408240295113032</v>
      </c>
      <c r="BH103" s="17">
        <f t="shared" si="225"/>
        <v>0.9882357945478315</v>
      </c>
      <c r="BI103" s="17">
        <f t="shared" si="226"/>
        <v>2.2255042207499631</v>
      </c>
      <c r="BK103" s="17">
        <f t="shared" si="227"/>
        <v>2.0936218469663759</v>
      </c>
      <c r="BL103" s="17">
        <f t="shared" si="228"/>
        <v>2.9080406345027177</v>
      </c>
      <c r="BM103" s="17">
        <f t="shared" si="229"/>
        <v>4.3783038788658857</v>
      </c>
      <c r="BO103" t="str">
        <f t="shared" si="250"/>
        <v>72 Customer service occupations</v>
      </c>
      <c r="BP103" s="17">
        <f t="shared" si="230"/>
        <v>1.3892573803217179</v>
      </c>
      <c r="BQ103" s="17">
        <f t="shared" si="230"/>
        <v>-2.7342578724657507</v>
      </c>
      <c r="BR103" s="17">
        <f t="shared" si="230"/>
        <v>3.9825842845445658</v>
      </c>
      <c r="BS103" s="17">
        <f t="shared" si="230"/>
        <v>-0.88812117109046129</v>
      </c>
      <c r="BT103" s="17">
        <f t="shared" si="231"/>
        <v>0.49078800318684834</v>
      </c>
      <c r="BV103" s="17">
        <f t="shared" si="232"/>
        <v>0.70955452126899576</v>
      </c>
      <c r="BW103" s="17">
        <f t="shared" si="233"/>
        <v>2.8929636406959336</v>
      </c>
      <c r="BX103" s="17">
        <f t="shared" si="234"/>
        <v>3.3770524740154517</v>
      </c>
      <c r="BZ103" t="str">
        <f t="shared" si="251"/>
        <v>72 Customer service occupations</v>
      </c>
      <c r="CA103" s="17">
        <f t="shared" si="235"/>
        <v>-1.1023212336301436</v>
      </c>
      <c r="CB103" s="17">
        <f t="shared" si="235"/>
        <v>-3.0256976286793913</v>
      </c>
      <c r="CC103" s="17">
        <f t="shared" si="235"/>
        <v>1.6218696399988408</v>
      </c>
      <c r="CD103" s="17">
        <f t="shared" si="235"/>
        <v>-1.3982877216516476</v>
      </c>
      <c r="CE103" s="17">
        <f t="shared" si="236"/>
        <v>-0.56773762556598939</v>
      </c>
      <c r="CG103" s="17">
        <f t="shared" si="237"/>
        <v>-0.40167574596277067</v>
      </c>
      <c r="CH103" s="17">
        <f t="shared" si="238"/>
        <v>1.9650146101176658</v>
      </c>
      <c r="CI103" s="17">
        <f t="shared" si="239"/>
        <v>1.6613315469386825</v>
      </c>
      <c r="CK103" t="str">
        <f t="shared" si="252"/>
        <v>72 Customer service occupations</v>
      </c>
      <c r="CL103" s="17">
        <f t="shared" si="240"/>
        <v>4.3829145954364046</v>
      </c>
      <c r="CM103" s="17">
        <f t="shared" si="240"/>
        <v>-4.9407703837256118</v>
      </c>
      <c r="CN103" s="17">
        <f t="shared" si="240"/>
        <v>6.7556633731192584</v>
      </c>
      <c r="CO103" s="17">
        <f t="shared" si="240"/>
        <v>1.6330052006919171</v>
      </c>
      <c r="CP103" s="17">
        <f t="shared" si="241"/>
        <v>2.776431965012649</v>
      </c>
      <c r="CR103" s="17">
        <f t="shared" si="242"/>
        <v>3.3126463625663849</v>
      </c>
      <c r="CS103" s="17">
        <f t="shared" si="243"/>
        <v>2.6183452040424715</v>
      </c>
      <c r="CT103" s="17">
        <f t="shared" si="244"/>
        <v>5.0839990244545774</v>
      </c>
    </row>
    <row r="104" spans="1:98" x14ac:dyDescent="0.3">
      <c r="A104" t="str">
        <f t="shared" si="199"/>
        <v>81 Process, plant and machine operatives</v>
      </c>
      <c r="B104" s="17">
        <f t="shared" si="200"/>
        <v>6.8113560881933211</v>
      </c>
      <c r="C104" s="17">
        <f t="shared" si="200"/>
        <v>-12.876278782201799</v>
      </c>
      <c r="D104" s="17">
        <f t="shared" si="200"/>
        <v>11.76984946159989</v>
      </c>
      <c r="E104" s="17">
        <f t="shared" si="200"/>
        <v>7.1857063464995985</v>
      </c>
      <c r="F104" s="17">
        <f t="shared" si="201"/>
        <v>7.2001839498919251</v>
      </c>
      <c r="H104" s="17">
        <f t="shared" si="202"/>
        <v>8.6924733656777562</v>
      </c>
      <c r="I104" s="17">
        <f t="shared" si="203"/>
        <v>5.242490685305401</v>
      </c>
      <c r="J104" s="17">
        <f t="shared" si="204"/>
        <v>10.778662927923733</v>
      </c>
      <c r="L104" t="str">
        <f t="shared" si="245"/>
        <v>81 Process, plant and machine operatives</v>
      </c>
      <c r="M104" s="17">
        <f t="shared" si="205"/>
        <v>6.7867629557689657</v>
      </c>
      <c r="N104" s="17">
        <f t="shared" si="205"/>
        <v>-10.430020842107879</v>
      </c>
      <c r="O104" s="17">
        <f t="shared" si="205"/>
        <v>11.908152647927416</v>
      </c>
      <c r="P104" s="17">
        <f t="shared" si="205"/>
        <v>6.3345895608785563</v>
      </c>
      <c r="Q104" s="17">
        <f t="shared" si="206"/>
        <v>6.8934375326724195</v>
      </c>
      <c r="S104" s="17">
        <f t="shared" si="207"/>
        <v>8.1608973181200639</v>
      </c>
      <c r="T104" s="17">
        <f t="shared" si="208"/>
        <v>4.9923839949335802</v>
      </c>
      <c r="U104" s="17">
        <f t="shared" si="209"/>
        <v>10.247493270475093</v>
      </c>
      <c r="W104" t="str">
        <f t="shared" si="246"/>
        <v>81 Process, plant and machine operatives</v>
      </c>
      <c r="X104" s="17">
        <f t="shared" si="210"/>
        <v>0.47391931091169681</v>
      </c>
      <c r="Y104" s="17">
        <f t="shared" si="210"/>
        <v>-6.9816967666089802</v>
      </c>
      <c r="Z104" s="17">
        <f t="shared" si="210"/>
        <v>10.055315695555</v>
      </c>
      <c r="AA104" s="17">
        <f t="shared" si="210"/>
        <v>5.3956231695046597</v>
      </c>
      <c r="AB104" s="17">
        <f t="shared" si="211"/>
        <v>5.9993203906220538</v>
      </c>
      <c r="AD104" s="17">
        <f t="shared" si="212"/>
        <v>6.9265099946193009</v>
      </c>
      <c r="AE104" s="17">
        <f t="shared" si="213"/>
        <v>4.7088976710485175</v>
      </c>
      <c r="AF104" s="17">
        <f t="shared" si="214"/>
        <v>9.1626607858731326</v>
      </c>
      <c r="AH104" t="str">
        <f t="shared" si="247"/>
        <v>81 Process, plant and machine operatives</v>
      </c>
      <c r="AI104" s="17">
        <f t="shared" si="215"/>
        <v>0.67736868989567434</v>
      </c>
      <c r="AJ104" s="17">
        <f t="shared" si="215"/>
        <v>-2.4613919052772881</v>
      </c>
      <c r="AK104" s="17">
        <f t="shared" si="215"/>
        <v>8.9121032827982773</v>
      </c>
      <c r="AL104" s="17">
        <f t="shared" si="215"/>
        <v>4.1263506787547977</v>
      </c>
      <c r="AM104" s="17">
        <f t="shared" si="216"/>
        <v>5.1683922899671941</v>
      </c>
      <c r="AO104" s="17">
        <f t="shared" si="217"/>
        <v>5.6977673085987002</v>
      </c>
      <c r="AP104" s="17">
        <f t="shared" si="218"/>
        <v>4.1223091592931027</v>
      </c>
      <c r="AQ104" s="17">
        <f t="shared" si="219"/>
        <v>7.9015214335793393</v>
      </c>
      <c r="AS104" t="str">
        <f t="shared" si="248"/>
        <v>81 Process, plant and machine operatives</v>
      </c>
      <c r="AT104" s="17">
        <f t="shared" si="220"/>
        <v>-0.16268024694904293</v>
      </c>
      <c r="AU104" s="17">
        <f t="shared" si="220"/>
        <v>-4.6733019785002217</v>
      </c>
      <c r="AV104" s="17">
        <f t="shared" si="220"/>
        <v>8.0786954632077403</v>
      </c>
      <c r="AW104" s="17">
        <f t="shared" si="220"/>
        <v>3.3909456483573353</v>
      </c>
      <c r="AX104" s="17">
        <f t="shared" si="221"/>
        <v>4.3028693558938347</v>
      </c>
      <c r="AZ104" s="17">
        <f t="shared" si="222"/>
        <v>4.930490511104435</v>
      </c>
      <c r="BA104" s="17">
        <f t="shared" si="223"/>
        <v>3.9070325837688769</v>
      </c>
      <c r="BB104" s="17">
        <f t="shared" si="224"/>
        <v>7.1947532580025619</v>
      </c>
      <c r="BD104" t="str">
        <f t="shared" si="249"/>
        <v>81 Process, plant and machine operatives</v>
      </c>
      <c r="BE104" s="17">
        <f t="shared" si="225"/>
        <v>0.72813243314979736</v>
      </c>
      <c r="BF104" s="17">
        <f t="shared" si="225"/>
        <v>-11.461227301457965</v>
      </c>
      <c r="BG104" s="17">
        <f t="shared" si="225"/>
        <v>5.643034683916226</v>
      </c>
      <c r="BH104" s="17">
        <f t="shared" si="225"/>
        <v>1.1123039845495786</v>
      </c>
      <c r="BI104" s="17">
        <f t="shared" si="226"/>
        <v>1.6596520645762336</v>
      </c>
      <c r="BK104" s="17">
        <f t="shared" si="227"/>
        <v>2.600535401406856</v>
      </c>
      <c r="BL104" s="17">
        <f t="shared" si="228"/>
        <v>2.6837715893019753</v>
      </c>
      <c r="BM104" s="17">
        <f t="shared" si="229"/>
        <v>4.5795312314102832</v>
      </c>
      <c r="BO104" t="str">
        <f t="shared" si="250"/>
        <v>81 Process, plant and machine operatives</v>
      </c>
      <c r="BP104" s="17">
        <f t="shared" si="230"/>
        <v>-0.10373030732445665</v>
      </c>
      <c r="BQ104" s="17">
        <f t="shared" si="230"/>
        <v>-10.471757010316551</v>
      </c>
      <c r="BR104" s="17">
        <f t="shared" si="230"/>
        <v>4.4832651973234272</v>
      </c>
      <c r="BS104" s="17">
        <f t="shared" si="230"/>
        <v>-0.25669100302198045</v>
      </c>
      <c r="BT104" s="17">
        <f t="shared" si="231"/>
        <v>0.51988113154892712</v>
      </c>
      <c r="BV104" s="17">
        <f t="shared" si="232"/>
        <v>1.2989071394813756</v>
      </c>
      <c r="BW104" s="17">
        <f t="shared" si="233"/>
        <v>2.6535355013559858</v>
      </c>
      <c r="BX104" s="17">
        <f t="shared" si="234"/>
        <v>3.579562343131748</v>
      </c>
      <c r="BZ104" t="str">
        <f t="shared" si="251"/>
        <v>81 Process, plant and machine operatives</v>
      </c>
      <c r="CA104" s="17">
        <f t="shared" si="235"/>
        <v>-2.0406651671555531</v>
      </c>
      <c r="CB104" s="17">
        <f t="shared" si="235"/>
        <v>-14.485288340377146</v>
      </c>
      <c r="CC104" s="17">
        <f t="shared" si="235"/>
        <v>1.8826252130834664</v>
      </c>
      <c r="CD104" s="17">
        <f t="shared" si="235"/>
        <v>-6.7181720302730401</v>
      </c>
      <c r="CE104" s="17">
        <f t="shared" si="236"/>
        <v>-4.6310509283904899</v>
      </c>
      <c r="CG104" s="17">
        <f t="shared" si="237"/>
        <v>-3.935098677190485</v>
      </c>
      <c r="CH104" s="17">
        <f t="shared" si="238"/>
        <v>1.8776133262146777</v>
      </c>
      <c r="CI104" s="17">
        <f t="shared" si="239"/>
        <v>-0.92823780180893989</v>
      </c>
      <c r="CK104" t="str">
        <f t="shared" si="252"/>
        <v>81 Process, plant and machine operatives</v>
      </c>
      <c r="CL104" s="17">
        <f t="shared" si="240"/>
        <v>-5.6885950871329305</v>
      </c>
      <c r="CM104" s="17">
        <f t="shared" si="240"/>
        <v>-19.457641461751162</v>
      </c>
      <c r="CN104" s="17">
        <f t="shared" si="240"/>
        <v>-9.2536304175701254</v>
      </c>
      <c r="CO104" s="17">
        <f t="shared" si="240"/>
        <v>-6.7684010606543836</v>
      </c>
      <c r="CP104" s="17">
        <f t="shared" si="241"/>
        <v>-8.3937462698943417</v>
      </c>
      <c r="CR104" s="17">
        <f t="shared" si="242"/>
        <v>-7.604282668910411</v>
      </c>
      <c r="CS104" s="17">
        <f t="shared" si="243"/>
        <v>0.88436280463459749</v>
      </c>
      <c r="CT104" s="17">
        <f t="shared" si="244"/>
        <v>-5.2331575394692242</v>
      </c>
    </row>
    <row r="105" spans="1:98" x14ac:dyDescent="0.3">
      <c r="A105" t="str">
        <f t="shared" si="199"/>
        <v>82 Transport and mobile machine drivers and operatives</v>
      </c>
      <c r="B105" s="17">
        <f t="shared" si="200"/>
        <v>11.09676369268373</v>
      </c>
      <c r="C105" s="17">
        <f t="shared" si="200"/>
        <v>-7.0534264653386973</v>
      </c>
      <c r="D105" s="17">
        <f t="shared" si="200"/>
        <v>11.072708152454801</v>
      </c>
      <c r="E105" s="17">
        <f t="shared" si="200"/>
        <v>5.8212960179812034</v>
      </c>
      <c r="F105" s="17">
        <f t="shared" si="201"/>
        <v>6.5675691289788451</v>
      </c>
      <c r="H105" s="17">
        <f t="shared" si="202"/>
        <v>7.5435836759647268</v>
      </c>
      <c r="I105" s="17">
        <f t="shared" si="203"/>
        <v>5.7836489497857801</v>
      </c>
      <c r="J105" s="17">
        <f t="shared" si="204"/>
        <v>10.214556396772579</v>
      </c>
      <c r="L105" t="str">
        <f t="shared" si="245"/>
        <v>82 Transport and mobile machine drivers and operatives</v>
      </c>
      <c r="M105" s="17">
        <f t="shared" si="205"/>
        <v>9.8558509882618281</v>
      </c>
      <c r="N105" s="17">
        <f t="shared" si="205"/>
        <v>-2.7965890654151893</v>
      </c>
      <c r="O105" s="17">
        <f t="shared" si="205"/>
        <v>8.5614204152201232</v>
      </c>
      <c r="P105" s="17">
        <f t="shared" si="205"/>
        <v>5.5171946051386866</v>
      </c>
      <c r="Q105" s="17">
        <f t="shared" si="206"/>
        <v>5.9145720201289498</v>
      </c>
      <c r="S105" s="17">
        <f t="shared" si="207"/>
        <v>6.5223313969146268</v>
      </c>
      <c r="T105" s="17">
        <f t="shared" si="208"/>
        <v>5.2448965221632671</v>
      </c>
      <c r="U105" s="17">
        <f t="shared" si="209"/>
        <v>9.1781320574315437</v>
      </c>
      <c r="W105" t="str">
        <f t="shared" si="246"/>
        <v>82 Transport and mobile machine drivers and operatives</v>
      </c>
      <c r="X105" s="17">
        <f t="shared" si="210"/>
        <v>5.7095066416334994</v>
      </c>
      <c r="Y105" s="17">
        <f t="shared" si="210"/>
        <v>-0.91157571098556822</v>
      </c>
      <c r="Z105" s="17">
        <f t="shared" si="210"/>
        <v>4.5419034240220757</v>
      </c>
      <c r="AA105" s="17">
        <f t="shared" si="210"/>
        <v>3.0915403519393925</v>
      </c>
      <c r="AB105" s="17">
        <f t="shared" si="211"/>
        <v>3.2866226119056874</v>
      </c>
      <c r="AD105" s="17">
        <f t="shared" si="212"/>
        <v>3.5727450749560852</v>
      </c>
      <c r="AE105" s="17">
        <f t="shared" si="213"/>
        <v>4.4649311487458654</v>
      </c>
      <c r="AF105" s="17">
        <f t="shared" si="214"/>
        <v>6.628172516956754</v>
      </c>
      <c r="AH105" t="str">
        <f t="shared" si="247"/>
        <v>82 Transport and mobile machine drivers and operatives</v>
      </c>
      <c r="AI105" s="17">
        <f t="shared" si="215"/>
        <v>5.8377239755117438</v>
      </c>
      <c r="AJ105" s="17">
        <f t="shared" si="215"/>
        <v>0.49654521416111486</v>
      </c>
      <c r="AK105" s="17">
        <f t="shared" si="215"/>
        <v>4.706150813700094</v>
      </c>
      <c r="AL105" s="17">
        <f t="shared" si="215"/>
        <v>2.5880736553466122</v>
      </c>
      <c r="AM105" s="17">
        <f t="shared" si="216"/>
        <v>3.1124968542339593</v>
      </c>
      <c r="AO105" s="17">
        <f t="shared" si="217"/>
        <v>3.2892953831721305</v>
      </c>
      <c r="AP105" s="17">
        <f t="shared" si="218"/>
        <v>4.35240326520967</v>
      </c>
      <c r="AQ105" s="17">
        <f t="shared" si="219"/>
        <v>6.354382616206955</v>
      </c>
      <c r="AS105" t="str">
        <f t="shared" si="248"/>
        <v>82 Transport and mobile machine drivers and operatives</v>
      </c>
      <c r="AT105" s="17">
        <f t="shared" si="220"/>
        <v>3.932182233266146</v>
      </c>
      <c r="AU105" s="17">
        <f t="shared" si="220"/>
        <v>1.1690063969597819</v>
      </c>
      <c r="AV105" s="17">
        <f t="shared" si="220"/>
        <v>4.1548078474810346</v>
      </c>
      <c r="AW105" s="17">
        <f t="shared" si="220"/>
        <v>2.3084494317422655</v>
      </c>
      <c r="AX105" s="17">
        <f t="shared" si="221"/>
        <v>2.8099019762654054</v>
      </c>
      <c r="AZ105" s="17">
        <f t="shared" si="222"/>
        <v>2.9202365618155257</v>
      </c>
      <c r="BA105" s="17">
        <f t="shared" si="223"/>
        <v>4.2968724328340757</v>
      </c>
      <c r="BB105" s="17">
        <f t="shared" si="224"/>
        <v>6.0675942678956041</v>
      </c>
      <c r="BD105" t="str">
        <f t="shared" si="249"/>
        <v>82 Transport and mobile machine drivers and operatives</v>
      </c>
      <c r="BE105" s="17">
        <f t="shared" si="225"/>
        <v>2.9290092822491065</v>
      </c>
      <c r="BF105" s="17">
        <f t="shared" si="225"/>
        <v>-6.7512199546375555</v>
      </c>
      <c r="BG105" s="17">
        <f t="shared" si="225"/>
        <v>2.1398846619950396</v>
      </c>
      <c r="BH105" s="17">
        <f t="shared" si="225"/>
        <v>0.81894740099210939</v>
      </c>
      <c r="BI105" s="17">
        <f t="shared" si="226"/>
        <v>0.73725155414878785</v>
      </c>
      <c r="BK105" s="17">
        <f t="shared" si="227"/>
        <v>1.257350695720838</v>
      </c>
      <c r="BL105" s="17">
        <f t="shared" si="228"/>
        <v>3.0451852476117036</v>
      </c>
      <c r="BM105" s="17">
        <f t="shared" si="229"/>
        <v>3.8970744745117525</v>
      </c>
      <c r="BO105" t="str">
        <f t="shared" si="250"/>
        <v>82 Transport and mobile machine drivers and operatives</v>
      </c>
      <c r="BP105" s="17">
        <f t="shared" si="230"/>
        <v>3.204719052819005</v>
      </c>
      <c r="BQ105" s="17">
        <f t="shared" si="230"/>
        <v>-12.783473733901229</v>
      </c>
      <c r="BR105" s="17">
        <f t="shared" si="230"/>
        <v>1.8895744353129462</v>
      </c>
      <c r="BS105" s="17">
        <f t="shared" si="230"/>
        <v>-0.1719933788587924</v>
      </c>
      <c r="BT105" s="17">
        <f t="shared" si="231"/>
        <v>-0.37674671543861393</v>
      </c>
      <c r="BV105" s="17">
        <f t="shared" si="232"/>
        <v>0.51051900117180526</v>
      </c>
      <c r="BW105" s="17">
        <f t="shared" si="233"/>
        <v>3.0943129730073737</v>
      </c>
      <c r="BX105" s="17">
        <f t="shared" si="234"/>
        <v>3.4318575082989744</v>
      </c>
      <c r="BZ105" t="str">
        <f t="shared" si="251"/>
        <v>82 Transport and mobile machine drivers and operatives</v>
      </c>
      <c r="CA105" s="17">
        <f t="shared" si="235"/>
        <v>0.23087854705798883</v>
      </c>
      <c r="CB105" s="17">
        <f t="shared" si="235"/>
        <v>-14.473685762709676</v>
      </c>
      <c r="CC105" s="17">
        <f t="shared" si="235"/>
        <v>-0.60457608659759687</v>
      </c>
      <c r="CD105" s="17">
        <f t="shared" si="235"/>
        <v>-2.5901062529576913</v>
      </c>
      <c r="CE105" s="17">
        <f t="shared" si="236"/>
        <v>-2.7677915055214997</v>
      </c>
      <c r="CG105" s="17">
        <f t="shared" si="237"/>
        <v>-1.9327094632657471</v>
      </c>
      <c r="CH105" s="17">
        <f t="shared" si="238"/>
        <v>2.3155699486413051</v>
      </c>
      <c r="CI105" s="17">
        <f t="shared" si="239"/>
        <v>0.97060052621473769</v>
      </c>
      <c r="CK105" t="str">
        <f t="shared" si="252"/>
        <v>82 Transport and mobile machine drivers and operatives</v>
      </c>
      <c r="CL105" s="17">
        <f t="shared" si="240"/>
        <v>2.2142253866336503</v>
      </c>
      <c r="CM105" s="17">
        <f t="shared" si="240"/>
        <v>-17.035826091195826</v>
      </c>
      <c r="CN105" s="17">
        <f t="shared" si="240"/>
        <v>-2.7292487915867469</v>
      </c>
      <c r="CO105" s="17">
        <f t="shared" si="240"/>
        <v>-5.2234871783137793</v>
      </c>
      <c r="CP105" s="17">
        <f t="shared" si="241"/>
        <v>-5.2426133241867845</v>
      </c>
      <c r="CR105" s="17">
        <f t="shared" si="242"/>
        <v>-4.3992630283095968</v>
      </c>
      <c r="CS105" s="17">
        <f t="shared" si="243"/>
        <v>1.7556026373687361</v>
      </c>
      <c r="CT105" s="17">
        <f t="shared" si="244"/>
        <v>-1.4150179617232861</v>
      </c>
    </row>
    <row r="106" spans="1:98" x14ac:dyDescent="0.3">
      <c r="A106" t="str">
        <f t="shared" si="199"/>
        <v>91 Elementary trades and related occupations</v>
      </c>
      <c r="B106" s="17">
        <f t="shared" si="200"/>
        <v>0.66693134970021717</v>
      </c>
      <c r="C106" s="17">
        <f t="shared" si="200"/>
        <v>-7.0884796922805808</v>
      </c>
      <c r="D106" s="17">
        <f t="shared" si="200"/>
        <v>1.7859292162718976</v>
      </c>
      <c r="E106" s="17">
        <f t="shared" si="200"/>
        <v>5.2038817082952882</v>
      </c>
      <c r="F106" s="17">
        <f t="shared" si="201"/>
        <v>3.3181499908117029</v>
      </c>
      <c r="H106" s="17">
        <f t="shared" si="202"/>
        <v>4.051998200457696</v>
      </c>
      <c r="I106" s="17">
        <f t="shared" si="203"/>
        <v>3.8410875407846268</v>
      </c>
      <c r="J106" s="17">
        <f t="shared" si="204"/>
        <v>6.5076179505948462</v>
      </c>
      <c r="L106" t="str">
        <f t="shared" si="245"/>
        <v>91 Elementary trades and related occupations</v>
      </c>
      <c r="M106" s="17">
        <f t="shared" si="205"/>
        <v>4.9714716528875158</v>
      </c>
      <c r="N106" s="17">
        <f t="shared" si="205"/>
        <v>-16.578004734970055</v>
      </c>
      <c r="O106" s="17">
        <f t="shared" si="205"/>
        <v>4.4617924372011952</v>
      </c>
      <c r="P106" s="17">
        <f t="shared" si="205"/>
        <v>5.1400465336222334</v>
      </c>
      <c r="Q106" s="17">
        <f t="shared" si="206"/>
        <v>3.4211468357405517</v>
      </c>
      <c r="S106" s="17">
        <f t="shared" si="207"/>
        <v>4.9134739306240238</v>
      </c>
      <c r="T106" s="17">
        <f t="shared" si="208"/>
        <v>3.7434318530908506</v>
      </c>
      <c r="U106" s="17">
        <f t="shared" si="209"/>
        <v>7.0766228217313598</v>
      </c>
      <c r="W106" t="str">
        <f t="shared" si="246"/>
        <v>91 Elementary trades and related occupations</v>
      </c>
      <c r="X106" s="17">
        <f t="shared" si="210"/>
        <v>-0.2893776624757427</v>
      </c>
      <c r="Y106" s="17">
        <f t="shared" si="210"/>
        <v>-9.3686218376842874</v>
      </c>
      <c r="Z106" s="17">
        <f t="shared" si="210"/>
        <v>-0.61429386647356976</v>
      </c>
      <c r="AA106" s="17">
        <f t="shared" si="210"/>
        <v>1.6572858471981977</v>
      </c>
      <c r="AB106" s="17">
        <f t="shared" si="211"/>
        <v>0.22018678786004386</v>
      </c>
      <c r="AD106" s="17">
        <f t="shared" si="212"/>
        <v>0.89438158779922006</v>
      </c>
      <c r="AE106" s="17">
        <f t="shared" si="213"/>
        <v>3.1764873181895803</v>
      </c>
      <c r="AF106" s="17">
        <f t="shared" si="214"/>
        <v>3.767093853411474</v>
      </c>
      <c r="AH106" t="str">
        <f t="shared" si="247"/>
        <v>91 Elementary trades and related occupations</v>
      </c>
      <c r="AI106" s="17">
        <f t="shared" si="215"/>
        <v>-0.11812570631352104</v>
      </c>
      <c r="AJ106" s="17">
        <f t="shared" si="215"/>
        <v>-7.6109587301909194</v>
      </c>
      <c r="AK106" s="17">
        <f t="shared" si="215"/>
        <v>5.6423525781323924E-2</v>
      </c>
      <c r="AL106" s="17">
        <f t="shared" si="215"/>
        <v>2.5287245344361553</v>
      </c>
      <c r="AM106" s="17">
        <f t="shared" si="216"/>
        <v>1.0895597628454823</v>
      </c>
      <c r="AO106" s="17">
        <f t="shared" si="217"/>
        <v>1.6979100973115946</v>
      </c>
      <c r="AP106" s="17">
        <f t="shared" si="218"/>
        <v>3.3753868261304776</v>
      </c>
      <c r="AQ106" s="17">
        <f t="shared" si="219"/>
        <v>4.4905098941869559</v>
      </c>
      <c r="AS106" t="str">
        <f t="shared" si="248"/>
        <v>91 Elementary trades and related occupations</v>
      </c>
      <c r="AT106" s="17">
        <f t="shared" si="220"/>
        <v>-1.1861842583424376</v>
      </c>
      <c r="AU106" s="17">
        <f t="shared" si="220"/>
        <v>0.37228078578392942</v>
      </c>
      <c r="AV106" s="17">
        <f t="shared" si="220"/>
        <v>-0.62280575110459369</v>
      </c>
      <c r="AW106" s="17">
        <f t="shared" si="220"/>
        <v>1.6380407289785515</v>
      </c>
      <c r="AX106" s="17">
        <f t="shared" si="221"/>
        <v>0.84703715861147444</v>
      </c>
      <c r="AZ106" s="17">
        <f t="shared" si="222"/>
        <v>0.87876730895504185</v>
      </c>
      <c r="BA106" s="17">
        <f t="shared" si="223"/>
        <v>2.8635479066763558</v>
      </c>
      <c r="BB106" s="17">
        <f t="shared" si="224"/>
        <v>3.4677442842415251</v>
      </c>
      <c r="BD106" t="str">
        <f t="shared" si="249"/>
        <v>91 Elementary trades and related occupations</v>
      </c>
      <c r="BE106" s="17">
        <f t="shared" si="225"/>
        <v>-2.6560215390535435</v>
      </c>
      <c r="BF106" s="17">
        <f t="shared" si="225"/>
        <v>-9.2804790575701013</v>
      </c>
      <c r="BG106" s="17">
        <f t="shared" si="225"/>
        <v>-1.5049015706716684</v>
      </c>
      <c r="BH106" s="17">
        <f t="shared" si="225"/>
        <v>1.1962703705943323</v>
      </c>
      <c r="BI106" s="17">
        <f t="shared" si="226"/>
        <v>-0.33878402230393956</v>
      </c>
      <c r="BK106" s="17">
        <f t="shared" si="227"/>
        <v>0.28774757066991619</v>
      </c>
      <c r="BL106" s="17">
        <f t="shared" si="228"/>
        <v>1.9972288842615038</v>
      </c>
      <c r="BM106" s="17">
        <f t="shared" si="229"/>
        <v>2.2165072121454354</v>
      </c>
      <c r="BO106" t="str">
        <f t="shared" si="250"/>
        <v>91 Elementary trades and related occupations</v>
      </c>
      <c r="BP106" s="17">
        <f t="shared" si="230"/>
        <v>-3.1630451906326296</v>
      </c>
      <c r="BQ106" s="17">
        <f t="shared" si="230"/>
        <v>-9.4549016019743526</v>
      </c>
      <c r="BR106" s="17">
        <f t="shared" si="230"/>
        <v>-3.723032724879205</v>
      </c>
      <c r="BS106" s="17">
        <f t="shared" si="230"/>
        <v>-0.74221057773036225</v>
      </c>
      <c r="BT106" s="17">
        <f t="shared" si="231"/>
        <v>-2.246417214010421</v>
      </c>
      <c r="BV106" s="17">
        <f t="shared" si="232"/>
        <v>-1.7459336816834203</v>
      </c>
      <c r="BW106" s="17">
        <f t="shared" si="233"/>
        <v>1.7978308041319169</v>
      </c>
      <c r="BX106" s="17">
        <f t="shared" si="234"/>
        <v>0.47845555972572118</v>
      </c>
      <c r="BZ106" t="str">
        <f t="shared" si="251"/>
        <v>91 Elementary trades and related occupations</v>
      </c>
      <c r="CA106" s="17">
        <f t="shared" si="235"/>
        <v>-3.1704620981639398</v>
      </c>
      <c r="CB106" s="17">
        <f t="shared" si="235"/>
        <v>-13.620971213317745</v>
      </c>
      <c r="CC106" s="17">
        <f t="shared" si="235"/>
        <v>-4.7466111886830475</v>
      </c>
      <c r="CD106" s="17">
        <f t="shared" si="235"/>
        <v>-2.5067088529574288</v>
      </c>
      <c r="CE106" s="17">
        <f t="shared" si="236"/>
        <v>-3.9417073895275601</v>
      </c>
      <c r="CG106" s="17">
        <f t="shared" si="237"/>
        <v>-3.2591350425948407</v>
      </c>
      <c r="CH106" s="17">
        <f t="shared" si="238"/>
        <v>1.6697904362057425</v>
      </c>
      <c r="CI106" s="17">
        <f t="shared" si="239"/>
        <v>-0.77152257172451444</v>
      </c>
      <c r="CK106" t="str">
        <f t="shared" si="252"/>
        <v>91 Elementary trades and related occupations</v>
      </c>
      <c r="CL106" s="17">
        <f t="shared" si="240"/>
        <v>-3.7098774313408356</v>
      </c>
      <c r="CM106" s="17">
        <f t="shared" si="240"/>
        <v>-14.006478751875795</v>
      </c>
      <c r="CN106" s="17">
        <f t="shared" si="240"/>
        <v>-5.9611047650393267</v>
      </c>
      <c r="CO106" s="17">
        <f t="shared" si="240"/>
        <v>-3.1312096903309494</v>
      </c>
      <c r="CP106" s="17">
        <f t="shared" si="241"/>
        <v>-4.7362593763238809</v>
      </c>
      <c r="CR106" s="17">
        <f t="shared" si="242"/>
        <v>-4.0838458415609065</v>
      </c>
      <c r="CS106" s="17">
        <f t="shared" si="243"/>
        <v>1.2852140484080232</v>
      </c>
      <c r="CT106" s="17">
        <f t="shared" si="244"/>
        <v>-1.9331907787140223</v>
      </c>
    </row>
    <row r="107" spans="1:98" x14ac:dyDescent="0.3">
      <c r="A107" t="str">
        <f t="shared" si="199"/>
        <v>92 Elementary administration and service occupations</v>
      </c>
      <c r="B107" s="17">
        <f t="shared" si="200"/>
        <v>6.9678117630874503</v>
      </c>
      <c r="C107" s="17">
        <f t="shared" si="200"/>
        <v>-1.5345072286945483</v>
      </c>
      <c r="D107" s="17">
        <f t="shared" si="200"/>
        <v>7.5154965016963171</v>
      </c>
      <c r="E107" s="17">
        <f t="shared" si="200"/>
        <v>4.3344520321316748</v>
      </c>
      <c r="F107" s="17">
        <f t="shared" si="201"/>
        <v>4.9378830047769773</v>
      </c>
      <c r="H107" s="17">
        <f t="shared" si="202"/>
        <v>5.3842028023833866</v>
      </c>
      <c r="I107" s="17">
        <f t="shared" si="203"/>
        <v>4.4737724206380447</v>
      </c>
      <c r="J107" s="17">
        <f t="shared" si="204"/>
        <v>7.8899123566083196</v>
      </c>
      <c r="L107" t="str">
        <f t="shared" ref="L107" si="253">A107</f>
        <v>92 Elementary administration and service occupations</v>
      </c>
      <c r="M107" s="17">
        <f t="shared" si="205"/>
        <v>8.8537789099314637</v>
      </c>
      <c r="N107" s="17">
        <f t="shared" si="205"/>
        <v>3.1361469332608305</v>
      </c>
      <c r="O107" s="17">
        <f t="shared" si="205"/>
        <v>8.528931165837994</v>
      </c>
      <c r="P107" s="17">
        <f t="shared" si="205"/>
        <v>6.0472547552754774</v>
      </c>
      <c r="Q107" s="17">
        <f t="shared" si="206"/>
        <v>6.6309558485868614</v>
      </c>
      <c r="S107" s="17">
        <f t="shared" si="207"/>
        <v>6.8681100285277852</v>
      </c>
      <c r="T107" s="17">
        <f t="shared" si="208"/>
        <v>4.9427527237863478</v>
      </c>
      <c r="U107" s="17">
        <f t="shared" si="209"/>
        <v>9.2511952373306237</v>
      </c>
      <c r="W107" t="str">
        <f t="shared" ref="W107" si="254">A107</f>
        <v>92 Elementary administration and service occupations</v>
      </c>
      <c r="X107" s="17">
        <f t="shared" si="210"/>
        <v>4.3454531611622382</v>
      </c>
      <c r="Y107" s="17">
        <f t="shared" si="210"/>
        <v>2.5568229079639515</v>
      </c>
      <c r="Z107" s="17">
        <f t="shared" si="210"/>
        <v>3.8432985235564043</v>
      </c>
      <c r="AA107" s="17">
        <f t="shared" si="210"/>
        <v>2.7474111693548631</v>
      </c>
      <c r="AB107" s="17">
        <f t="shared" si="211"/>
        <v>3.0766661116871097</v>
      </c>
      <c r="AD107" s="17">
        <f t="shared" si="212"/>
        <v>3.1114158666797787</v>
      </c>
      <c r="AE107" s="17">
        <f t="shared" si="213"/>
        <v>4.1411004328707479</v>
      </c>
      <c r="AF107" s="17">
        <f t="shared" si="214"/>
        <v>6.0728498669650355</v>
      </c>
      <c r="AH107" t="str">
        <f t="shared" ref="AH107" si="255">L107</f>
        <v>92 Elementary administration and service occupations</v>
      </c>
      <c r="AI107" s="17">
        <f t="shared" si="215"/>
        <v>4.368932353273558</v>
      </c>
      <c r="AJ107" s="17">
        <f t="shared" si="215"/>
        <v>4.4478927520881895</v>
      </c>
      <c r="AK107" s="17">
        <f t="shared" si="215"/>
        <v>3.5059632464663704</v>
      </c>
      <c r="AL107" s="17">
        <f t="shared" si="215"/>
        <v>2.9561126981187513</v>
      </c>
      <c r="AM107" s="17">
        <f t="shared" si="216"/>
        <v>3.2203896272775756</v>
      </c>
      <c r="AO107" s="17">
        <f t="shared" si="217"/>
        <v>3.1390708957145019</v>
      </c>
      <c r="AP107" s="17">
        <f t="shared" si="218"/>
        <v>3.9787158822207846</v>
      </c>
      <c r="AQ107" s="17">
        <f t="shared" si="219"/>
        <v>5.9665638662570464</v>
      </c>
      <c r="AS107" t="str">
        <f t="shared" ref="AS107" si="256">W107</f>
        <v>92 Elementary administration and service occupations</v>
      </c>
      <c r="AT107" s="17">
        <f t="shared" si="220"/>
        <v>2.6700481568652012</v>
      </c>
      <c r="AU107" s="17">
        <f t="shared" si="220"/>
        <v>7.646587356032275</v>
      </c>
      <c r="AV107" s="17">
        <f t="shared" si="220"/>
        <v>3.0263474648205335</v>
      </c>
      <c r="AW107" s="17">
        <f t="shared" si="220"/>
        <v>2.795118986668288</v>
      </c>
      <c r="AX107" s="17">
        <f t="shared" si="221"/>
        <v>3.1642368600685478</v>
      </c>
      <c r="AZ107" s="17">
        <f t="shared" si="222"/>
        <v>2.872137426176713</v>
      </c>
      <c r="BA107" s="17">
        <f t="shared" si="223"/>
        <v>3.8557417110228531</v>
      </c>
      <c r="BB107" s="17">
        <f t="shared" si="224"/>
        <v>5.6884334487830035</v>
      </c>
      <c r="BD107" t="str">
        <f t="shared" ref="BD107" si="257">AH107</f>
        <v>92 Elementary administration and service occupations</v>
      </c>
      <c r="BE107" s="17">
        <f t="shared" si="225"/>
        <v>-0.49114998187118619</v>
      </c>
      <c r="BF107" s="17">
        <f t="shared" si="225"/>
        <v>-5.1572837381923753</v>
      </c>
      <c r="BG107" s="17">
        <f t="shared" si="225"/>
        <v>-0.18718371305084247</v>
      </c>
      <c r="BH107" s="17">
        <f t="shared" si="225"/>
        <v>-0.30480223286392105</v>
      </c>
      <c r="BI107" s="17">
        <f t="shared" si="226"/>
        <v>-0.57860093774279031</v>
      </c>
      <c r="BK107" s="17">
        <f t="shared" si="227"/>
        <v>-0.26561146773055322</v>
      </c>
      <c r="BL107" s="17">
        <f t="shared" si="228"/>
        <v>2.6460247116031121</v>
      </c>
      <c r="BM107" s="17">
        <f t="shared" si="229"/>
        <v>2.4628706751092189</v>
      </c>
      <c r="BO107" t="str">
        <f t="shared" ref="BO107" si="258">AS107</f>
        <v>92 Elementary administration and service occupations</v>
      </c>
      <c r="BP107" s="17">
        <f t="shared" si="230"/>
        <v>0.75780765465534028</v>
      </c>
      <c r="BQ107" s="17">
        <f t="shared" si="230"/>
        <v>-10.164365404610953</v>
      </c>
      <c r="BR107" s="17">
        <f t="shared" si="230"/>
        <v>0.50019703964745421</v>
      </c>
      <c r="BS107" s="17">
        <f t="shared" si="230"/>
        <v>-1.4103426039896116</v>
      </c>
      <c r="BT107" s="17">
        <f t="shared" si="231"/>
        <v>-1.3919663085043332</v>
      </c>
      <c r="BV107" s="17">
        <f t="shared" si="232"/>
        <v>-0.77756608509402803</v>
      </c>
      <c r="BW107" s="17">
        <f t="shared" si="233"/>
        <v>2.5626981166836593</v>
      </c>
      <c r="BX107" s="17">
        <f t="shared" si="234"/>
        <v>2.0266283813207497</v>
      </c>
      <c r="BZ107" t="str">
        <f t="shared" ref="BZ107" si="259">BD107</f>
        <v>92 Elementary administration and service occupations</v>
      </c>
      <c r="CA107" s="17">
        <f t="shared" si="235"/>
        <v>9.1545241244350706E-2</v>
      </c>
      <c r="CB107" s="17">
        <f t="shared" si="235"/>
        <v>-11.90419228728874</v>
      </c>
      <c r="CC107" s="17">
        <f t="shared" si="235"/>
        <v>-0.43401705923475919</v>
      </c>
      <c r="CD107" s="17">
        <f t="shared" si="235"/>
        <v>-3.6655241084441403</v>
      </c>
      <c r="CE107" s="17">
        <f t="shared" si="236"/>
        <v>-3.2094467125919013</v>
      </c>
      <c r="CG107" s="17">
        <f t="shared" si="237"/>
        <v>-2.6001799544908444</v>
      </c>
      <c r="CH107" s="17">
        <f t="shared" si="238"/>
        <v>2.0263415833335685</v>
      </c>
      <c r="CI107" s="17">
        <f t="shared" si="239"/>
        <v>0.16244109662146844</v>
      </c>
      <c r="CK107" t="str">
        <f t="shared" ref="CK107" si="260">BO107</f>
        <v>92 Elementary administration and service occupations</v>
      </c>
      <c r="CL107" s="17">
        <f t="shared" si="240"/>
        <v>-5.193562268085361</v>
      </c>
      <c r="CM107" s="17">
        <f t="shared" si="240"/>
        <v>-20.071362701155017</v>
      </c>
      <c r="CN107" s="17">
        <f t="shared" si="240"/>
        <v>-6.1294128619610921</v>
      </c>
      <c r="CO107" s="17">
        <f t="shared" si="240"/>
        <v>-3.7685610499508693</v>
      </c>
      <c r="CP107" s="17">
        <f t="shared" si="241"/>
        <v>-5.6140193473518067</v>
      </c>
      <c r="CR107" s="17">
        <f t="shared" si="242"/>
        <v>-4.5620362623184914</v>
      </c>
      <c r="CS107" s="17">
        <f t="shared" si="243"/>
        <v>1.1531361774482551</v>
      </c>
      <c r="CT107" s="17">
        <f t="shared" si="244"/>
        <v>-2.4998297171006767</v>
      </c>
    </row>
    <row r="108" spans="1:98" x14ac:dyDescent="0.3">
      <c r="B108" s="17"/>
      <c r="C108" s="17"/>
      <c r="D108" s="17"/>
      <c r="E108" s="17"/>
      <c r="F108" s="17"/>
      <c r="H108" s="17"/>
      <c r="I108" s="17"/>
      <c r="J108" s="17"/>
      <c r="M108" s="17"/>
      <c r="N108" s="17"/>
      <c r="O108" s="17"/>
      <c r="P108" s="17"/>
      <c r="Q108" s="17"/>
      <c r="S108" s="17"/>
      <c r="T108" s="17"/>
      <c r="U108" s="17"/>
      <c r="X108" s="17"/>
      <c r="Y108" s="17"/>
      <c r="Z108" s="17"/>
      <c r="AA108" s="17"/>
      <c r="AB108" s="17"/>
      <c r="AD108" s="17"/>
      <c r="AE108" s="17"/>
      <c r="AF108" s="17"/>
      <c r="AI108" s="17"/>
      <c r="AJ108" s="17"/>
      <c r="AK108" s="17"/>
      <c r="AL108" s="17"/>
      <c r="AM108" s="17"/>
      <c r="AO108" s="17"/>
      <c r="AP108" s="17"/>
      <c r="AQ108" s="17"/>
      <c r="AT108" s="17"/>
      <c r="AU108" s="17"/>
      <c r="AV108" s="17"/>
      <c r="AW108" s="17"/>
      <c r="AX108" s="17"/>
      <c r="AZ108" s="17"/>
      <c r="BA108" s="17"/>
      <c r="BB108" s="17"/>
      <c r="BE108" s="17"/>
      <c r="BF108" s="17"/>
      <c r="BG108" s="17"/>
      <c r="BH108" s="17"/>
      <c r="BI108" s="17"/>
      <c r="BK108" s="17"/>
      <c r="BL108" s="17"/>
      <c r="BM108" s="17"/>
      <c r="BP108" s="17"/>
      <c r="BQ108" s="17"/>
      <c r="BR108" s="17"/>
      <c r="BS108" s="17"/>
      <c r="BT108" s="17"/>
      <c r="BV108" s="17"/>
      <c r="BW108" s="17"/>
      <c r="BX108" s="17"/>
      <c r="CA108" s="17"/>
      <c r="CB108" s="17"/>
      <c r="CC108" s="17"/>
      <c r="CD108" s="17"/>
      <c r="CE108" s="17"/>
      <c r="CG108" s="17"/>
      <c r="CH108" s="17"/>
      <c r="CI108" s="17"/>
      <c r="CL108" s="17"/>
      <c r="CM108" s="17"/>
      <c r="CN108" s="17"/>
      <c r="CO108" s="17"/>
      <c r="CP108" s="17"/>
      <c r="CR108" s="17"/>
      <c r="CS108" s="17"/>
      <c r="CT108" s="17"/>
    </row>
    <row r="109" spans="1:98" x14ac:dyDescent="0.3">
      <c r="A109" s="23" t="str">
        <f>A35</f>
        <v>All occupations</v>
      </c>
      <c r="B109" s="25">
        <f>IF(AND(C$6-B$6 &lt;&gt; 0,B35&lt;&gt;0,C35&lt;&gt;0),(EXP(LN(C35/B35)/(C$6-B$6))-1)*100,0)</f>
        <v>6.5810274212162012</v>
      </c>
      <c r="C109" s="25">
        <f>IF(AND(D$6-C$6 &lt;&gt; 0,C35&lt;&gt;0,D35&lt;&gt;0),(EXP(LN(D35/C35)/(D$6-C$6))-1)*100,0)</f>
        <v>3.9433833782069438</v>
      </c>
      <c r="D109" s="25">
        <f>IF(AND(E$6-D$6 &lt;&gt; 0,D35&lt;&gt;0,E35&lt;&gt;0),(EXP(LN(E35/D35)/(E$6-D$6))-1)*100,0)</f>
        <v>4.9250648249284934</v>
      </c>
      <c r="E109" s="25">
        <f>IF(AND(F$6-E$6 &lt;&gt; 0,E35&lt;&gt;0,F35&lt;&gt;0),(EXP(LN(F35/E35)/(F$6-E$6))-1)*100,0)</f>
        <v>3.3140991976067236</v>
      </c>
      <c r="F109" s="25">
        <f>IF(AND(F$6-C$6 &lt;&gt; 0,C35&lt;&gt;0,F35&lt;&gt;0),(EXP(LN(F35/C35)/(F$6-C$6))-1)*100,0)</f>
        <v>3.8542594772207561</v>
      </c>
      <c r="H109" s="25">
        <f>IF($F$6-$D$6 &lt;&gt; 0,(EXP(LN(1+(H72/100))/($F$6-$D$6))-1)*100,0)</f>
        <v>3.8483206016052929</v>
      </c>
      <c r="I109" s="25">
        <f>IF(D35&gt;0,((1+(I35/D35))^(1/($F$6-$D$6))-1)*100,0)</f>
        <v>3.5214881983752333</v>
      </c>
      <c r="J109" s="25">
        <f>IF($F$6-$D$6 &lt;&gt; 0,(EXP(LN(1+(J72/100))/($F$6-$D$6))-1)*100,0)</f>
        <v>6.1343226936746209</v>
      </c>
      <c r="L109" s="23" t="str">
        <f>L35</f>
        <v>All occupations</v>
      </c>
      <c r="M109" s="25">
        <f>IF(AND(N$6-M$6 &lt;&gt; 0,M35&lt;&gt;0,N35&lt;&gt;0),(EXP(LN(N35/M35)/(N$6-M$6))-1)*100,0)</f>
        <v>7.0034240339086118</v>
      </c>
      <c r="N109" s="25">
        <f>IF(AND(O$6-N$6 &lt;&gt; 0,N35&lt;&gt;0,O35&lt;&gt;0),(EXP(LN(O35/N35)/(O$6-N$6))-1)*100,0)</f>
        <v>4.8105391964456068</v>
      </c>
      <c r="O109" s="25">
        <f>IF(AND(P$6-O$6 &lt;&gt; 0,O35&lt;&gt;0,P35&lt;&gt;0),(EXP(LN(P35/O35)/(P$6-O$6))-1)*100,0)</f>
        <v>4.9148284656606256</v>
      </c>
      <c r="P109" s="25">
        <f>IF(AND(Q$6-P$6 &lt;&gt; 0,P35&lt;&gt;0,Q35&lt;&gt;0),(EXP(LN(Q35/P35)/(Q$6-P$6))-1)*100,0)</f>
        <v>3.3818681487318036</v>
      </c>
      <c r="Q109" s="25">
        <f>IF(AND(Q$6-N$6 &lt;&gt; 0,N35&lt;&gt;0,Q35&lt;&gt;0),(EXP(LN(Q35/N35)/(Q$6-N$6))-1)*100,0)</f>
        <v>3.9476242723019972</v>
      </c>
      <c r="S109" s="25">
        <f t="shared" ref="S109" si="261">IF($F$6-$D$6 &lt;&gt; 0,(EXP(LN(1+(S72/100))/($F$6-$D$6))-1)*100,0)</f>
        <v>3.8903498632811617</v>
      </c>
      <c r="T109" s="25">
        <f t="shared" ref="T109" si="262">IF(O35&gt;0,((1+(T35/O35))^(1/($F$6-$D$6))-1)*100,0)</f>
        <v>3.6556966227581977</v>
      </c>
      <c r="U109" s="25">
        <f t="shared" ref="U109" si="263">IF($F$6-$D$6 &lt;&gt; 0,(EXP(LN(1+(U72/100))/($F$6-$D$6))-1)*100,0)</f>
        <v>6.2598879307785404</v>
      </c>
      <c r="W109" s="23" t="str">
        <f>W35</f>
        <v>All occupations</v>
      </c>
      <c r="X109" s="25">
        <f>IF(AND(Y$6-X$6 &lt;&gt; 0,X35&lt;&gt;0,Y35&lt;&gt;0),(EXP(LN(Y35/X35)/(Y$6-X$6))-1)*100,0)</f>
        <v>2.2926801693812893</v>
      </c>
      <c r="Y109" s="25">
        <f>IF(AND(Z$6-Y$6 &lt;&gt; 0,Y35&lt;&gt;0,Z35&lt;&gt;0),(EXP(LN(Z35/Y35)/(Z$6-Y$6))-1)*100,0)</f>
        <v>4.5908982402467879</v>
      </c>
      <c r="Z109" s="25">
        <f>IF(AND(AA$6-Z$6 &lt;&gt; 0,Z35&lt;&gt;0,AA35&lt;&gt;0),(EXP(LN(AA35/Z35)/(AA$6-Z$6))-1)*100,0)</f>
        <v>1.3892792672769216</v>
      </c>
      <c r="AA109" s="25">
        <f>IF(AND(AB$6-AA$6 &lt;&gt; 0,AA35&lt;&gt;0,AB35&lt;&gt;0),(EXP(LN(AB35/AA35)/(AB$6-AA$6))-1)*100,0)</f>
        <v>1.3139455158201585</v>
      </c>
      <c r="AB109" s="25">
        <f>IF(AND(AB$6-Y$6 &lt;&gt; 0,Y35&lt;&gt;0,AB35&lt;&gt;0),(EXP(LN(AB35/Y35)/(AB$6-Y$6))-1)*100,0)</f>
        <v>1.5392958580140004</v>
      </c>
      <c r="AD109" s="25">
        <f t="shared" ref="AD109" si="264">IF($F$6-$D$6 &lt;&gt; 0,(EXP(LN(1+(AD72/100))/($F$6-$D$6))-1)*100,0)</f>
        <v>1.3390505449061063</v>
      </c>
      <c r="AE109" s="25">
        <f t="shared" ref="AE109" si="265">IF(Z35&gt;0,((1+(AE35/Z35))^(1/($F$6-$D$6))-1)*100,0)</f>
        <v>3.2089037776503293</v>
      </c>
      <c r="AF109" s="25">
        <f t="shared" ref="AF109" si="266">IF($F$6-$D$6 &lt;&gt; 0,(EXP(LN(1+(AF72/100))/($F$6-$D$6))-1)*100,0)</f>
        <v>4.0991349226346729</v>
      </c>
      <c r="AH109" s="23" t="str">
        <f>AH35</f>
        <v>All occupations</v>
      </c>
      <c r="AI109" s="25">
        <f>IF(AND(AJ$6-AI$6 &lt;&gt; 0,AI35&lt;&gt;0,AJ35&lt;&gt;0),(EXP(LN(AJ35/AI35)/(AJ$6-AI$6))-1)*100,0)</f>
        <v>-0.11746939836049242</v>
      </c>
      <c r="AJ109" s="25">
        <f>IF(AND(AK$6-AJ$6 &lt;&gt; 0,AJ35&lt;&gt;0,AK35&lt;&gt;0),(EXP(LN(AK35/AJ35)/(AK$6-AJ$6))-1)*100,0)</f>
        <v>4.2529327630315583</v>
      </c>
      <c r="AK109" s="25">
        <f>IF(AND(AL$6-AK$6 &lt;&gt; 0,AK35&lt;&gt;0,AL35&lt;&gt;0),(EXP(LN(AL35/AK35)/(AL$6-AK$6))-1)*100,0)</f>
        <v>6.2633297789327358E-2</v>
      </c>
      <c r="AL109" s="25">
        <f>IF(AND(AM$6-AL$6 &lt;&gt; 0,AL35&lt;&gt;0,AM35&lt;&gt;0),(EXP(LN(AM35/AL35)/(AM$6-AL$6))-1)*100,0)</f>
        <v>1.0140979514159154</v>
      </c>
      <c r="AM109" s="25">
        <f>IF(AND(AM$6-AJ$6 &lt;&gt; 0,AJ35&lt;&gt;0,AM35&lt;&gt;0),(EXP(LN(AM35/AJ35)/(AM$6-AJ$6))-1)*100,0)</f>
        <v>0.9146547511615033</v>
      </c>
      <c r="AO109" s="25">
        <f t="shared" ref="AO109" si="267">IF($F$6-$D$6 &lt;&gt; 0,(EXP(LN(1+(AO72/100))/($F$6-$D$6))-1)*100,0)</f>
        <v>0.69594204910738977</v>
      </c>
      <c r="AP109" s="25">
        <f t="shared" ref="AP109" si="268">IF(AK35&gt;0,((1+(AP35/AK35))^(1/($F$6-$D$6))-1)*100,0)</f>
        <v>2.9897236134313721</v>
      </c>
      <c r="AQ109" s="25">
        <f t="shared" ref="AQ109" si="269">IF($F$6-$D$6 &lt;&gt; 0,(EXP(LN(1+(AQ72/100))/($F$6-$D$6))-1)*100,0)</f>
        <v>3.4583766045136466</v>
      </c>
      <c r="AS109" s="23" t="str">
        <f>AS35</f>
        <v>All occupations</v>
      </c>
      <c r="AT109" s="25">
        <f>IF(AND(AU$6-AT$6 &lt;&gt; 0,AT35&lt;&gt;0,AU35&lt;&gt;0),(EXP(LN(AU35/AT35)/(AU$6-AT$6))-1)*100,0)</f>
        <v>1.5561988978368246</v>
      </c>
      <c r="AU109" s="25">
        <f>IF(AND(AV$6-AU$6 &lt;&gt; 0,AU35&lt;&gt;0,AV35&lt;&gt;0),(EXP(LN(AV35/AU35)/(AV$6-AU$6))-1)*100,0)</f>
        <v>5.0541485487964</v>
      </c>
      <c r="AV109" s="25">
        <f>IF(AND(AW$6-AV$6 &lt;&gt; 0,AV35&lt;&gt;0,AW35&lt;&gt;0),(EXP(LN(AW35/AV35)/(AW$6-AV$6))-1)*100,0)</f>
        <v>0.94911026734403325</v>
      </c>
      <c r="AW109" s="25">
        <f>IF(AND(AX$6-AW$6 &lt;&gt; 0,AW35&lt;&gt;0,AX35&lt;&gt;0),(EXP(LN(AX35/AW35)/(AX$6-AW$6))-1)*100,0)</f>
        <v>1.380810047186376</v>
      </c>
      <c r="AX109" s="25">
        <f>IF(AND(AX$6-AU$6 &lt;&gt; 0,AU35&lt;&gt;0,AX35&lt;&gt;0),(EXP(LN(AX35/AU35)/(AX$6-AU$6))-1)*100,0)</f>
        <v>1.4711782818374708</v>
      </c>
      <c r="AZ109" s="25">
        <f t="shared" ref="AZ109" si="270">IF($F$6-$D$6 &lt;&gt; 0,(EXP(LN(1+(AZ72/100))/($F$6-$D$6))-1)*100,0)</f>
        <v>1.2367053844424714</v>
      </c>
      <c r="BA109" s="25">
        <f t="shared" ref="BA109" si="271">IF(AV35&gt;0,((1+(BA35/AV35))^(1/($F$6-$D$6))-1)*100,0)</f>
        <v>3.0640984759348289</v>
      </c>
      <c r="BB109" s="25">
        <f t="shared" ref="BB109" si="272">IF($F$6-$D$6 &lt;&gt; 0,(EXP(LN(1+(BB72/100))/($F$6-$D$6))-1)*100,0)</f>
        <v>3.8995709370464482</v>
      </c>
      <c r="BD109" s="23" t="str">
        <f>BD35</f>
        <v>All occupations</v>
      </c>
      <c r="BE109" s="25">
        <f>IF(AND(BF$6-BE$6 &lt;&gt; 0,BE35&lt;&gt;0,BF35&lt;&gt;0),(EXP(LN(BF35/BE35)/(BF$6-BE$6))-1)*100,0)</f>
        <v>0.89079403420788683</v>
      </c>
      <c r="BF109" s="25">
        <f>IF(AND(BG$6-BF$6 &lt;&gt; 0,BF35&lt;&gt;0,BG35&lt;&gt;0),(EXP(LN(BG35/BF35)/(BG$6-BF$6))-1)*100,0)</f>
        <v>-1.1235598851391804</v>
      </c>
      <c r="BG109" s="25">
        <f>IF(AND(BH$6-BG$6 &lt;&gt; 0,BG35&lt;&gt;0,BH35&lt;&gt;0),(EXP(LN(BH35/BG35)/(BH$6-BG$6))-1)*100,0)</f>
        <v>-0.10509503934170716</v>
      </c>
      <c r="BH109" s="25">
        <f>IF(AND(BI$6-BH$6 &lt;&gt; 0,BH35&lt;&gt;0,BI35&lt;&gt;0),(EXP(LN(BI35/BH35)/(BI$6-BH$6))-1)*100,0)</f>
        <v>-0.13318671008812899</v>
      </c>
      <c r="BI109" s="25">
        <f>IF(AND(BI$6-BF$6 &lt;&gt; 0,BF35&lt;&gt;0,BI35&lt;&gt;0),(EXP(LN(BI35/BF35)/(BI$6-BF$6))-1)*100,0)</f>
        <v>-0.18660229595299782</v>
      </c>
      <c r="BK109" s="25">
        <f t="shared" ref="BK109" si="273">IF($F$6-$D$6 &lt;&gt; 0,(EXP(LN(1+(BK72/100))/($F$6-$D$6))-1)*100,0)</f>
        <v>-0.12382369769591284</v>
      </c>
      <c r="BL109" s="25">
        <f t="shared" ref="BL109" si="274">IF(BG35&gt;0,((1+(BL35/BG35))^(1/($F$6-$D$6))-1)*100,0)</f>
        <v>2.4807761720475385</v>
      </c>
      <c r="BM109" s="25">
        <f t="shared" ref="BM109" si="275">IF($F$6-$D$6 &lt;&gt; 0,(EXP(LN(1+(BM72/100))/($F$6-$D$6))-1)*100,0)</f>
        <v>2.3931472864548109</v>
      </c>
      <c r="BO109" s="23" t="str">
        <f>BO35</f>
        <v>All occupations</v>
      </c>
      <c r="BP109" s="25">
        <f>IF(AND(BQ$6-BP$6 &lt;&gt; 0,BP35&lt;&gt;0,BQ35&lt;&gt;0),(EXP(LN(BQ35/BP35)/(BQ$6-BP$6))-1)*100,0)</f>
        <v>-9.4260043420002493E-2</v>
      </c>
      <c r="BQ109" s="25">
        <f>IF(AND(BR$6-BQ$6 &lt;&gt; 0,BQ35&lt;&gt;0,BR35&lt;&gt;0),(EXP(LN(BR35/BQ35)/(BR$6-BQ$6))-1)*100,0)</f>
        <v>-6.1414771383694777</v>
      </c>
      <c r="BR109" s="25">
        <f>IF(AND(BS$6-BR$6 &lt;&gt; 0,BR35&lt;&gt;0,BS35&lt;&gt;0),(EXP(LN(BS35/BR35)/(BS$6-BR$6))-1)*100,0)</f>
        <v>-0.91495343524853334</v>
      </c>
      <c r="BS109" s="25">
        <f>IF(AND(BT$6-BS$6 &lt;&gt; 0,BS35&lt;&gt;0,BT35&lt;&gt;0),(EXP(LN(BT35/BS35)/(BT$6-BS$6))-1)*100,0)</f>
        <v>-1.8939580514219845</v>
      </c>
      <c r="BT109" s="25">
        <f>IF(AND(BT$6-BQ$6 &lt;&gt; 0,BQ35&lt;&gt;0,BT35&lt;&gt;0),(EXP(LN(BT35/BQ35)/(BT$6-BQ$6))-1)*100,0)</f>
        <v>-1.8609181355405902</v>
      </c>
      <c r="BV109" s="25">
        <f t="shared" ref="BV109" si="276">IF($F$6-$D$6 &lt;&gt; 0,(EXP(LN(1+(BV72/100))/($F$6-$D$6))-1)*100,0)</f>
        <v>-1.5687027046386803</v>
      </c>
      <c r="BW109" s="25">
        <f t="shared" ref="BW109" si="277">IF(BR35&gt;0,((1+(BW35/BR35))^(1/($F$6-$D$6))-1)*100,0)</f>
        <v>2.2924334627419496</v>
      </c>
      <c r="BX109" s="25">
        <f t="shared" ref="BX109" si="278">IF($F$6-$D$6 &lt;&gt; 0,(EXP(LN(1+(BX72/100))/($F$6-$D$6))-1)*100,0)</f>
        <v>1.1878318489167983</v>
      </c>
      <c r="BZ109" s="23" t="str">
        <f>BZ35</f>
        <v>All occupations</v>
      </c>
      <c r="CA109" s="25">
        <f>IF(AND(CB$6-CA$6 &lt;&gt; 0,CA35&lt;&gt;0,CB35&lt;&gt;0),(EXP(LN(CB35/CA35)/(CB$6-CA$6))-1)*100,0)</f>
        <v>-1.1095685970956004</v>
      </c>
      <c r="CB109" s="25">
        <f>IF(AND(CC$6-CB$6 &lt;&gt; 0,CB35&lt;&gt;0,CC35&lt;&gt;0),(EXP(LN(CC35/CB35)/(CC$6-CB$6))-1)*100,0)</f>
        <v>-9.113452985169701</v>
      </c>
      <c r="CC109" s="25">
        <f>IF(AND(CD$6-CC$6 &lt;&gt; 0,CC35&lt;&gt;0,CD35&lt;&gt;0),(EXP(LN(CD35/CC35)/(CD$6-CC$6))-1)*100,0)</f>
        <v>-2.0482961324802096</v>
      </c>
      <c r="CD109" s="25">
        <f>IF(AND(CE$6-CD$6 &lt;&gt; 0,CD35&lt;&gt;0,CE35&lt;&gt;0),(EXP(LN(CE35/CD35)/(CE$6-CD$6))-1)*100,0)</f>
        <v>-4.0487819061580277</v>
      </c>
      <c r="CE109" s="25">
        <f>IF(AND(CE$6-CB$6 &lt;&gt; 0,CB35&lt;&gt;0,CE35&lt;&gt;0),(EXP(LN(CE35/CB35)/(CE$6-CB$6))-1)*100,0)</f>
        <v>-3.7548106104454804</v>
      </c>
      <c r="CG109" s="25">
        <f t="shared" ref="CG109" si="279">IF($F$6-$D$6 &lt;&gt; 0,(EXP(LN(1+(CG72/100))/($F$6-$D$6))-1)*100,0)</f>
        <v>-3.3865346062339485</v>
      </c>
      <c r="CH109" s="25">
        <f t="shared" ref="CH109" si="280">IF(CC35&gt;0,((1+(CH35/CC35))^(1/($F$6-$D$6))-1)*100,0)</f>
        <v>1.8400282627288211</v>
      </c>
      <c r="CI109" s="25">
        <f t="shared" ref="CI109" si="281">IF($F$6-$D$6 &lt;&gt; 0,(EXP(LN(1+(CI72/100))/($F$6-$D$6))-1)*100,0)</f>
        <v>-0.61956812631358549</v>
      </c>
      <c r="CK109" s="23" t="str">
        <f>CK35</f>
        <v>All occupations</v>
      </c>
      <c r="CL109" s="25">
        <f>IF(AND(CM$6-CL$6 &lt;&gt; 0,CL35&lt;&gt;0,CM35&lt;&gt;0),(EXP(LN(CM35/CL35)/(CM$6-CL$6))-1)*100,0)</f>
        <v>-2.1833910102209475</v>
      </c>
      <c r="CM109" s="25">
        <f>IF(AND(CN$6-CM$6 &lt;&gt; 0,CM35&lt;&gt;0,CN35&lt;&gt;0),(EXP(LN(CN35/CM35)/(CN$6-CM$6))-1)*100,0)</f>
        <v>-14.758228354497739</v>
      </c>
      <c r="CN109" s="25">
        <f>IF(AND(CO$6-CN$6 &lt;&gt; 0,CN35&lt;&gt;0,CO35&lt;&gt;0),(EXP(LN(CO35/CN35)/(CO$6-CN$6))-1)*100,0)</f>
        <v>-3.5810522571729897</v>
      </c>
      <c r="CO109" s="25">
        <f>IF(AND(CP$6-CO$6 &lt;&gt; 0,CO35&lt;&gt;0,CP35&lt;&gt;0),(EXP(LN(CP35/CO35)/(CP$6-CO$6))-1)*100,0)</f>
        <v>-2.5174227686020845</v>
      </c>
      <c r="CP109" s="25">
        <f>IF(AND(CP$6-CM$6 &lt;&gt; 0,CM35&lt;&gt;0,CP35&lt;&gt;0),(EXP(LN(CP35/CM35)/(CP$6-CM$6))-1)*100,0)</f>
        <v>-3.6623824588946752</v>
      </c>
      <c r="CR109" s="25">
        <f t="shared" ref="CR109" si="282">IF($F$6-$D$6 &lt;&gt; 0,(EXP(LN(1+(CR72/100))/($F$6-$D$6))-1)*100,0)</f>
        <v>-2.8732632750427256</v>
      </c>
      <c r="CS109" s="25">
        <f t="shared" ref="CS109" si="283">IF(CN35&gt;0,((1+(CS35/CN35))^(1/($F$6-$D$6))-1)*100,0)</f>
        <v>1.5026552308859742</v>
      </c>
      <c r="CT109" s="25">
        <f t="shared" ref="CT109" si="284">IF($F$6-$D$6 &lt;&gt; 0,(EXP(LN(1+(CT72/100))/($F$6-$D$6))-1)*100,0)</f>
        <v>-0.72574222658839949</v>
      </c>
    </row>
    <row r="112" spans="1:98" ht="47.25" customHeight="1" x14ac:dyDescent="0.3">
      <c r="A112" s="379" t="str">
        <f>CONCATENATE(A$1," (Continued)")</f>
        <v>Basic Table 2  Employment Change by Occupation and Replacement Demand, RQF8 Doctorate, 2015-2035, United Kingdom (Continued)</v>
      </c>
      <c r="B112" s="379"/>
      <c r="C112" s="379"/>
      <c r="D112" s="379"/>
      <c r="E112" s="379"/>
      <c r="F112" s="379"/>
      <c r="G112" s="379"/>
      <c r="H112" s="379"/>
      <c r="I112" s="379"/>
      <c r="J112" s="379"/>
      <c r="L112" s="379" t="str">
        <f>CONCATENATE(L$1," (Continued)")</f>
        <v>Basic Table 2.1  Employment Change by Occupation and Replacement Demand, RQF7 Other higher degree, 2015-2035, United Kingdom (Continued)</v>
      </c>
      <c r="M112" s="379"/>
      <c r="N112" s="379"/>
      <c r="O112" s="379"/>
      <c r="P112" s="379"/>
      <c r="Q112" s="379"/>
      <c r="R112" s="379"/>
      <c r="S112" s="379"/>
      <c r="T112" s="379"/>
      <c r="U112" s="379"/>
      <c r="W112" s="379" t="str">
        <f>CONCATENATE(W$1," (Continued)")</f>
        <v>Basic Table 2.2  Employment Change by Occupation and Replacement Demand, RQF6 First degree, 2015-2035, United Kingdom (Continued)</v>
      </c>
      <c r="X112" s="379"/>
      <c r="Y112" s="379"/>
      <c r="Z112" s="379"/>
      <c r="AA112" s="379"/>
      <c r="AB112" s="379"/>
      <c r="AC112" s="379"/>
      <c r="AD112" s="379"/>
      <c r="AE112" s="379"/>
      <c r="AF112" s="379"/>
      <c r="AH112" s="379" t="str">
        <f>CONCATENATE(AH$1," (Continued)")</f>
        <v>Basic Table 2.3  Employment Change by Occupation and Replacement Demand, RQF5 Foundation degree;Nursing;Teaching, 2015-2035, United Kingdom (Continued)</v>
      </c>
      <c r="AI112" s="379"/>
      <c r="AJ112" s="379"/>
      <c r="AK112" s="379"/>
      <c r="AL112" s="379"/>
      <c r="AM112" s="379"/>
      <c r="AN112" s="379"/>
      <c r="AO112" s="379"/>
      <c r="AP112" s="379"/>
      <c r="AQ112" s="379"/>
      <c r="AS112" s="379" t="str">
        <f>CONCATENATE(AS$1," (Continued)")</f>
        <v>Basic Table 2.4  Employment Change by Occupation and Replacement Demand, RQF4 HE below degree level, 2015-2035, United Kingdom (Continued)</v>
      </c>
      <c r="AT112" s="379"/>
      <c r="AU112" s="379"/>
      <c r="AV112" s="379"/>
      <c r="AW112" s="379"/>
      <c r="AX112" s="379"/>
      <c r="AY112" s="379"/>
      <c r="AZ112" s="379"/>
      <c r="BA112" s="379"/>
      <c r="BB112" s="379"/>
      <c r="BD112" s="379" t="str">
        <f>CONCATENATE(BD$1," (Continued)")</f>
        <v>Basic Table 2.5  Employment Change by Occupation and Replacement Demand, RQF3 A level &amp; equivalent, 2015-2035, United Kingdom (Continued)</v>
      </c>
      <c r="BE112" s="379"/>
      <c r="BF112" s="379"/>
      <c r="BG112" s="379"/>
      <c r="BH112" s="379"/>
      <c r="BI112" s="379"/>
      <c r="BJ112" s="379"/>
      <c r="BK112" s="379"/>
      <c r="BL112" s="379"/>
      <c r="BM112" s="379"/>
      <c r="BO112" s="379" t="str">
        <f>CONCATENATE(BO$1," (Continued)")</f>
        <v>Basic Table 2.6  Employment Change by Occupation and Replacement Demand, RQF2 GCSE(A-C) &amp; equivalent, 2015-2035, United Kingdom (Continued)</v>
      </c>
      <c r="BP112" s="379"/>
      <c r="BQ112" s="379"/>
      <c r="BR112" s="379"/>
      <c r="BS112" s="379"/>
      <c r="BT112" s="379"/>
      <c r="BU112" s="379"/>
      <c r="BV112" s="379"/>
      <c r="BW112" s="379"/>
      <c r="BX112" s="379"/>
      <c r="BZ112" s="379" t="str">
        <f>CONCATENATE(BZ$1," (Continued)")</f>
        <v>Basic Table 2.7  Employment Change by Occupation and Replacement Demand, RQF1 GCSE(below grade C) &amp; equivalent, 2015-2035, United Kingdom (Continued)</v>
      </c>
      <c r="CA112" s="379"/>
      <c r="CB112" s="379"/>
      <c r="CC112" s="379"/>
      <c r="CD112" s="379"/>
      <c r="CE112" s="379"/>
      <c r="CF112" s="379"/>
      <c r="CG112" s="379"/>
      <c r="CH112" s="379"/>
      <c r="CI112" s="379"/>
      <c r="CK112" s="379" t="str">
        <f>CONCATENATE(CK$1," (Continued)")</f>
        <v>Basic Table 2.8  Employment Change by Occupation and Replacement Demand, No Qualification, 2015-2035, United Kingdom (Continued)</v>
      </c>
      <c r="CL112" s="379"/>
      <c r="CM112" s="379"/>
      <c r="CN112" s="379"/>
      <c r="CO112" s="379"/>
      <c r="CP112" s="379"/>
      <c r="CQ112" s="379"/>
      <c r="CR112" s="379"/>
      <c r="CS112" s="379"/>
      <c r="CT112" s="379"/>
    </row>
    <row r="114" spans="1:94" x14ac:dyDescent="0.3">
      <c r="F114" s="15" t="s">
        <v>35</v>
      </c>
      <c r="Q114" s="15" t="s">
        <v>35</v>
      </c>
      <c r="AB114" s="15" t="s">
        <v>35</v>
      </c>
      <c r="AM114" s="15" t="s">
        <v>35</v>
      </c>
      <c r="AX114" s="15" t="s">
        <v>35</v>
      </c>
      <c r="BI114" s="15" t="s">
        <v>35</v>
      </c>
      <c r="BT114" s="15" t="s">
        <v>35</v>
      </c>
      <c r="CE114" s="15" t="s">
        <v>35</v>
      </c>
      <c r="CP114" s="15" t="s">
        <v>35</v>
      </c>
    </row>
    <row r="115" spans="1:94" x14ac:dyDescent="0.3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  <c r="AH115" s="35"/>
      <c r="AI115" s="35"/>
      <c r="AJ115" s="35"/>
      <c r="AK115" s="35"/>
      <c r="AL115" s="35"/>
      <c r="AM115" s="35"/>
      <c r="AS115" s="35"/>
      <c r="AT115" s="35"/>
      <c r="AU115" s="35"/>
      <c r="AV115" s="35"/>
      <c r="AW115" s="35"/>
      <c r="AX115" s="35"/>
      <c r="BD115" s="35"/>
      <c r="BE115" s="35"/>
      <c r="BF115" s="35"/>
      <c r="BG115" s="35"/>
      <c r="BH115" s="35"/>
      <c r="BI115" s="35"/>
      <c r="BO115" s="35"/>
      <c r="BP115" s="35"/>
      <c r="BQ115" s="35"/>
      <c r="BR115" s="35"/>
      <c r="BS115" s="35"/>
      <c r="BT115" s="35"/>
      <c r="BZ115" s="35"/>
      <c r="CA115" s="35"/>
      <c r="CB115" s="35"/>
      <c r="CC115" s="35"/>
      <c r="CD115" s="35"/>
      <c r="CE115" s="35"/>
      <c r="CK115" s="35"/>
      <c r="CL115" s="35"/>
      <c r="CM115" s="35"/>
      <c r="CN115" s="35"/>
      <c r="CO115" s="35"/>
      <c r="CP115" s="35"/>
    </row>
    <row r="117" spans="1:94" x14ac:dyDescent="0.3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  <c r="AH117" s="40" t="s">
        <v>15</v>
      </c>
      <c r="AI117" s="63" t="str">
        <f>CONCATENATE(AI$6,"-",AJ$6)</f>
        <v>2015-2019</v>
      </c>
      <c r="AJ117" s="63" t="str">
        <f>CONCATENATE(AJ$6,"-",AK$6)</f>
        <v>2019-2020</v>
      </c>
      <c r="AK117" s="63" t="str">
        <f>CONCATENATE(AK$6,"-",AL$6)</f>
        <v>2020-2025</v>
      </c>
      <c r="AL117" s="63" t="str">
        <f>CONCATENATE(AL$6,"-",AM$6)</f>
        <v>2025-2035</v>
      </c>
      <c r="AM117" s="63" t="str">
        <f>CONCATENATE(AK$6,"-",AM$6)</f>
        <v>2020-2035</v>
      </c>
      <c r="AS117" s="40" t="s">
        <v>15</v>
      </c>
      <c r="AT117" s="63" t="str">
        <f>CONCATENATE(AT$6,"-",AU$6)</f>
        <v>2015-2019</v>
      </c>
      <c r="AU117" s="63" t="str">
        <f>CONCATENATE(AU$6,"-",AV$6)</f>
        <v>2019-2020</v>
      </c>
      <c r="AV117" s="63" t="str">
        <f>CONCATENATE(AV$6,"-",AW$6)</f>
        <v>2020-2025</v>
      </c>
      <c r="AW117" s="63" t="str">
        <f>CONCATENATE(AW$6,"-",AX$6)</f>
        <v>2025-2035</v>
      </c>
      <c r="AX117" s="63" t="str">
        <f>CONCATENATE(AV$6,"-",AX$6)</f>
        <v>2020-2035</v>
      </c>
      <c r="BD117" s="40" t="s">
        <v>15</v>
      </c>
      <c r="BE117" s="63" t="str">
        <f>CONCATENATE(BE$6,"-",BF$6)</f>
        <v>2015-2019</v>
      </c>
      <c r="BF117" s="63" t="str">
        <f>CONCATENATE(BF$6,"-",BG$6)</f>
        <v>2019-2020</v>
      </c>
      <c r="BG117" s="63" t="str">
        <f>CONCATENATE(BG$6,"-",BH$6)</f>
        <v>2020-2025</v>
      </c>
      <c r="BH117" s="63" t="str">
        <f>CONCATENATE(BH$6,"-",BI$6)</f>
        <v>2025-2035</v>
      </c>
      <c r="BI117" s="63" t="str">
        <f>CONCATENATE(BG$6,"-",BI$6)</f>
        <v>2020-2035</v>
      </c>
      <c r="BO117" s="40" t="s">
        <v>15</v>
      </c>
      <c r="BP117" s="63" t="str">
        <f>CONCATENATE(BP$6,"-",BQ$6)</f>
        <v>2015-2019</v>
      </c>
      <c r="BQ117" s="63" t="str">
        <f>CONCATENATE(BQ$6,"-",BR$6)</f>
        <v>2019-2020</v>
      </c>
      <c r="BR117" s="63" t="str">
        <f>CONCATENATE(BR$6,"-",BS$6)</f>
        <v>2020-2025</v>
      </c>
      <c r="BS117" s="63" t="str">
        <f>CONCATENATE(BS$6,"-",BT$6)</f>
        <v>2025-2035</v>
      </c>
      <c r="BT117" s="63" t="str">
        <f>CONCATENATE(BR$6,"-",BT$6)</f>
        <v>2020-2035</v>
      </c>
      <c r="BZ117" s="40" t="s">
        <v>15</v>
      </c>
      <c r="CA117" s="63" t="str">
        <f>CONCATENATE(CA$6,"-",CB$6)</f>
        <v>2015-2019</v>
      </c>
      <c r="CB117" s="63" t="str">
        <f>CONCATENATE(CB$6,"-",CC$6)</f>
        <v>2019-2020</v>
      </c>
      <c r="CC117" s="63" t="str">
        <f>CONCATENATE(CC$6,"-",CD$6)</f>
        <v>2020-2025</v>
      </c>
      <c r="CD117" s="63" t="str">
        <f>CONCATENATE(CD$6,"-",CE$6)</f>
        <v>2025-2035</v>
      </c>
      <c r="CE117" s="63" t="str">
        <f>CONCATENATE(CC$6,"-",CE$6)</f>
        <v>2020-2035</v>
      </c>
      <c r="CK117" s="40" t="s">
        <v>15</v>
      </c>
      <c r="CL117" s="63" t="str">
        <f>CONCATENATE(CL$6,"-",CM$6)</f>
        <v>2015-2019</v>
      </c>
      <c r="CM117" s="63" t="str">
        <f>CONCATENATE(CM$6,"-",CN$6)</f>
        <v>2019-2020</v>
      </c>
      <c r="CN117" s="63" t="str">
        <f>CONCATENATE(CN$6,"-",CO$6)</f>
        <v>2020-2025</v>
      </c>
      <c r="CO117" s="63" t="str">
        <f>CONCATENATE(CO$6,"-",CP$6)</f>
        <v>2025-2035</v>
      </c>
      <c r="CP117" s="63" t="str">
        <f>CONCATENATE(CN$6,"-",CP$6)</f>
        <v>2020-2035</v>
      </c>
    </row>
    <row r="118" spans="1:94" x14ac:dyDescent="0.3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3">
      <c r="A119" t="str">
        <f t="shared" ref="A119:A144" si="285">A8</f>
        <v>11 Corporate managers and directors</v>
      </c>
      <c r="B119" s="26">
        <f t="shared" ref="B119:E144" si="286">C8-B8</f>
        <v>11.532072552651396</v>
      </c>
      <c r="C119" s="26">
        <f t="shared" si="286"/>
        <v>2.2477317907959034</v>
      </c>
      <c r="D119" s="26">
        <f t="shared" si="286"/>
        <v>8.6291538294547294</v>
      </c>
      <c r="E119" s="26">
        <f t="shared" si="286"/>
        <v>24.400618754912237</v>
      </c>
      <c r="F119" s="26">
        <f t="shared" ref="F119:F144" si="287">F8-D8</f>
        <v>33.029772584366967</v>
      </c>
      <c r="L119" t="str">
        <f>A119</f>
        <v>11 Corporate managers and directors</v>
      </c>
      <c r="M119" s="26">
        <f t="shared" ref="M119:P144" si="288">N8-M8</f>
        <v>104.4042615510653</v>
      </c>
      <c r="N119" s="26">
        <f t="shared" si="288"/>
        <v>16.14494076083804</v>
      </c>
      <c r="O119" s="26">
        <f t="shared" si="288"/>
        <v>60.410053978335554</v>
      </c>
      <c r="P119" s="26">
        <f t="shared" si="288"/>
        <v>189.77672386554644</v>
      </c>
      <c r="Q119" s="26">
        <f t="shared" ref="Q119:Q144" si="289">Q8-O8</f>
        <v>250.186777843882</v>
      </c>
      <c r="W119" t="str">
        <f>A119</f>
        <v>11 Corporate managers and directors</v>
      </c>
      <c r="X119" s="26">
        <f t="shared" ref="X119:AA144" si="290">Y8-X8</f>
        <v>124.31982159061852</v>
      </c>
      <c r="Y119" s="26">
        <f t="shared" si="290"/>
        <v>18.01410506671516</v>
      </c>
      <c r="Z119" s="26">
        <f t="shared" si="290"/>
        <v>-28.027937418988472</v>
      </c>
      <c r="AA119" s="26">
        <f t="shared" si="290"/>
        <v>98.374836356663536</v>
      </c>
      <c r="AB119" s="26">
        <f t="shared" ref="AB119:AB144" si="291">AB8-Z8</f>
        <v>70.346898937675064</v>
      </c>
      <c r="AH119" t="str">
        <f>L119</f>
        <v>11 Corporate managers and directors</v>
      </c>
      <c r="AI119" s="26">
        <f t="shared" ref="AI119:AL144" si="292">AJ8-AI8</f>
        <v>15.176847116555976</v>
      </c>
      <c r="AJ119" s="26">
        <f t="shared" si="292"/>
        <v>9.4853800927592147</v>
      </c>
      <c r="AK119" s="26">
        <f t="shared" si="292"/>
        <v>-12.04519980850435</v>
      </c>
      <c r="AL119" s="26">
        <f t="shared" si="292"/>
        <v>11.472884245879413</v>
      </c>
      <c r="AM119" s="26">
        <f t="shared" ref="AM119:AM144" si="293">AM8-AK8</f>
        <v>-0.57231556262493655</v>
      </c>
      <c r="AS119" t="str">
        <f>W119</f>
        <v>11 Corporate managers and directors</v>
      </c>
      <c r="AT119" s="26">
        <f t="shared" ref="AT119:AW144" si="294">AU8-AT8</f>
        <v>23.538894988716692</v>
      </c>
      <c r="AU119" s="26">
        <f t="shared" si="294"/>
        <v>11.762323306328511</v>
      </c>
      <c r="AV119" s="26">
        <f t="shared" si="294"/>
        <v>-20.533348735131227</v>
      </c>
      <c r="AW119" s="26">
        <f t="shared" si="294"/>
        <v>17.245095531579182</v>
      </c>
      <c r="AX119" s="26">
        <f t="shared" ref="AX119:AX144" si="295">AX8-AV8</f>
        <v>-3.2882532035520455</v>
      </c>
      <c r="BD119" t="str">
        <f>AH119</f>
        <v>11 Corporate managers and directors</v>
      </c>
      <c r="BE119" s="26">
        <f t="shared" ref="BE119:BH144" si="296">BF8-BE8</f>
        <v>57.774410445724072</v>
      </c>
      <c r="BF119" s="26">
        <f t="shared" si="296"/>
        <v>14.48785569810434</v>
      </c>
      <c r="BG119" s="26">
        <f t="shared" si="296"/>
        <v>-66.906696847475416</v>
      </c>
      <c r="BH119" s="26">
        <f t="shared" si="296"/>
        <v>4.2780323447969408</v>
      </c>
      <c r="BI119" s="26">
        <f t="shared" ref="BI119:BI144" si="297">BI8-BG8</f>
        <v>-62.628664502678475</v>
      </c>
      <c r="BO119" t="str">
        <f>AS119</f>
        <v>11 Corporate managers and directors</v>
      </c>
      <c r="BP119" s="26">
        <f t="shared" ref="BP119:BS144" si="298">BQ8-BP8</f>
        <v>30.837894768265357</v>
      </c>
      <c r="BQ119" s="26">
        <f t="shared" si="298"/>
        <v>-7.9190744549601959</v>
      </c>
      <c r="BR119" s="26">
        <f t="shared" si="298"/>
        <v>-62.16966986149049</v>
      </c>
      <c r="BS119" s="26">
        <f t="shared" si="298"/>
        <v>-61.108896565254128</v>
      </c>
      <c r="BT119" s="26">
        <f t="shared" ref="BT119:BT144" si="299">BT8-BR8</f>
        <v>-123.27856642674462</v>
      </c>
      <c r="BZ119" t="str">
        <f>BD119</f>
        <v>11 Corporate managers and directors</v>
      </c>
      <c r="CA119" s="67">
        <f t="shared" ref="CA119:CD144" si="300">CB8-CA8</f>
        <v>21.22461348173556</v>
      </c>
      <c r="CB119" s="67">
        <f t="shared" si="300"/>
        <v>-0.3010467503398786</v>
      </c>
      <c r="CC119" s="67">
        <f t="shared" si="300"/>
        <v>-27.893246375598352</v>
      </c>
      <c r="CD119" s="67">
        <f t="shared" si="300"/>
        <v>-51.009951259529117</v>
      </c>
      <c r="CE119" s="67">
        <f t="shared" ref="CE119:CE144" si="301">CE8-CC8</f>
        <v>-78.903197635127469</v>
      </c>
      <c r="CK119" t="str">
        <f>BO119</f>
        <v>11 Corporate managers and directors</v>
      </c>
      <c r="CL119" s="67">
        <f t="shared" ref="CL119:CO144" si="302">CM8-CL8</f>
        <v>7.6271211879178935</v>
      </c>
      <c r="CM119" s="67">
        <f t="shared" si="302"/>
        <v>-4.7145134500736816</v>
      </c>
      <c r="CN119" s="67">
        <f t="shared" si="302"/>
        <v>-8.504911999778173</v>
      </c>
      <c r="CO119" s="67">
        <f t="shared" si="302"/>
        <v>1.2750310936428022</v>
      </c>
      <c r="CP119" s="67">
        <f t="shared" ref="CP119:CP144" si="303">CP8-CN8</f>
        <v>-7.2298809061353708</v>
      </c>
    </row>
    <row r="120" spans="1:94" x14ac:dyDescent="0.3">
      <c r="A120" t="str">
        <f t="shared" si="285"/>
        <v>12 Other managers and proprietors</v>
      </c>
      <c r="B120" s="26">
        <f t="shared" si="286"/>
        <v>3.9103021420085771</v>
      </c>
      <c r="C120" s="26">
        <f t="shared" si="286"/>
        <v>-0.27602135504715264</v>
      </c>
      <c r="D120" s="26">
        <f t="shared" si="286"/>
        <v>9.8661333907567439</v>
      </c>
      <c r="E120" s="26">
        <f t="shared" si="286"/>
        <v>15.560831399486656</v>
      </c>
      <c r="F120" s="26">
        <f t="shared" si="287"/>
        <v>25.4269647902434</v>
      </c>
      <c r="L120" t="str">
        <f t="shared" ref="L120:L143" si="304">A120</f>
        <v>12 Other managers and proprietors</v>
      </c>
      <c r="M120" s="26">
        <f t="shared" si="288"/>
        <v>31.805553778045876</v>
      </c>
      <c r="N120" s="26">
        <f t="shared" si="288"/>
        <v>5.5764820758598717</v>
      </c>
      <c r="O120" s="26">
        <f t="shared" si="288"/>
        <v>76.30882009805606</v>
      </c>
      <c r="P120" s="26">
        <f t="shared" si="288"/>
        <v>122.02791571394394</v>
      </c>
      <c r="Q120" s="26">
        <f t="shared" si="289"/>
        <v>198.336735812</v>
      </c>
      <c r="W120" t="str">
        <f t="shared" ref="W120:W143" si="305">A120</f>
        <v>12 Other managers and proprietors</v>
      </c>
      <c r="X120" s="26">
        <f t="shared" si="290"/>
        <v>23.386142759858075</v>
      </c>
      <c r="Y120" s="26">
        <f t="shared" si="290"/>
        <v>7.5120072509818669</v>
      </c>
      <c r="Z120" s="26">
        <f t="shared" si="290"/>
        <v>81.360747411216266</v>
      </c>
      <c r="AA120" s="26">
        <f t="shared" si="290"/>
        <v>83.524582424414916</v>
      </c>
      <c r="AB120" s="26">
        <f t="shared" si="291"/>
        <v>164.88532983563118</v>
      </c>
      <c r="AH120" t="str">
        <f t="shared" ref="AH120:AH143" si="306">L120</f>
        <v>12 Other managers and proprietors</v>
      </c>
      <c r="AI120" s="26">
        <f t="shared" si="292"/>
        <v>6.752248096706694</v>
      </c>
      <c r="AJ120" s="26">
        <f t="shared" si="292"/>
        <v>6.3404150287788497</v>
      </c>
      <c r="AK120" s="26">
        <f t="shared" si="292"/>
        <v>17.115417368622218</v>
      </c>
      <c r="AL120" s="26">
        <f t="shared" si="292"/>
        <v>23.157651070824798</v>
      </c>
      <c r="AM120" s="26">
        <f t="shared" si="293"/>
        <v>40.273068439447016</v>
      </c>
      <c r="AS120" t="str">
        <f t="shared" ref="AS120:AS143" si="307">W120</f>
        <v>12 Other managers and proprietors</v>
      </c>
      <c r="AT120" s="26">
        <f t="shared" si="294"/>
        <v>6.2266904517924928</v>
      </c>
      <c r="AU120" s="26">
        <f t="shared" si="294"/>
        <v>3.846343275749291</v>
      </c>
      <c r="AV120" s="26">
        <f t="shared" si="294"/>
        <v>22.873236650846351</v>
      </c>
      <c r="AW120" s="26">
        <f t="shared" si="294"/>
        <v>19.590544339260177</v>
      </c>
      <c r="AX120" s="26">
        <f t="shared" si="295"/>
        <v>42.463780990106528</v>
      </c>
      <c r="BD120" t="str">
        <f t="shared" ref="BD120:BD143" si="308">AH120</f>
        <v>12 Other managers and proprietors</v>
      </c>
      <c r="BE120" s="26">
        <f t="shared" si="296"/>
        <v>-3.0609565207797687</v>
      </c>
      <c r="BF120" s="26">
        <f t="shared" si="296"/>
        <v>4.2880241011130522</v>
      </c>
      <c r="BG120" s="26">
        <f t="shared" si="296"/>
        <v>21.314849504796115</v>
      </c>
      <c r="BH120" s="26">
        <f t="shared" si="296"/>
        <v>8.5476131619742546</v>
      </c>
      <c r="BI120" s="26">
        <f t="shared" si="297"/>
        <v>29.862462666770369</v>
      </c>
      <c r="BO120" t="str">
        <f t="shared" ref="BO120:BO143" si="309">AS120</f>
        <v>12 Other managers and proprietors</v>
      </c>
      <c r="BP120" s="26">
        <f t="shared" si="298"/>
        <v>5.5442988521774907</v>
      </c>
      <c r="BQ120" s="26">
        <f t="shared" si="298"/>
        <v>-4.4721679302346899</v>
      </c>
      <c r="BR120" s="26">
        <f t="shared" si="298"/>
        <v>26.59260131395618</v>
      </c>
      <c r="BS120" s="26">
        <f t="shared" si="298"/>
        <v>-20.487947721120292</v>
      </c>
      <c r="BT120" s="26">
        <f t="shared" si="299"/>
        <v>6.1046535928358878</v>
      </c>
      <c r="BZ120" t="str">
        <f t="shared" ref="BZ120:BZ143" si="310">BD120</f>
        <v>12 Other managers and proprietors</v>
      </c>
      <c r="CA120" s="67">
        <f t="shared" si="300"/>
        <v>2.7770514234629218</v>
      </c>
      <c r="CB120" s="67">
        <f t="shared" si="300"/>
        <v>-8.0861031549285514</v>
      </c>
      <c r="CC120" s="67">
        <f t="shared" si="300"/>
        <v>9.0040751115725897</v>
      </c>
      <c r="CD120" s="67">
        <f t="shared" si="300"/>
        <v>-32.744993577116176</v>
      </c>
      <c r="CE120" s="67">
        <f t="shared" si="301"/>
        <v>-23.740918465543587</v>
      </c>
      <c r="CK120" t="str">
        <f t="shared" ref="CK120:CK143" si="311">BO120</f>
        <v>12 Other managers and proprietors</v>
      </c>
      <c r="CL120" s="67">
        <f t="shared" si="302"/>
        <v>-1.4768710115493775</v>
      </c>
      <c r="CM120" s="67">
        <f t="shared" si="302"/>
        <v>-5.1030152888565325</v>
      </c>
      <c r="CN120" s="67">
        <f t="shared" si="302"/>
        <v>8.690982877514621</v>
      </c>
      <c r="CO120" s="67">
        <f t="shared" si="302"/>
        <v>1.7240366309820203</v>
      </c>
      <c r="CP120" s="67">
        <f t="shared" si="303"/>
        <v>10.415019508496641</v>
      </c>
    </row>
    <row r="121" spans="1:94" x14ac:dyDescent="0.3">
      <c r="A121" t="str">
        <f t="shared" si="285"/>
        <v>21 Science, research, engineering and technology professionals</v>
      </c>
      <c r="B121" s="26">
        <f t="shared" si="286"/>
        <v>25.931815769688868</v>
      </c>
      <c r="C121" s="26">
        <f t="shared" si="286"/>
        <v>3.3576049184470094</v>
      </c>
      <c r="D121" s="26">
        <f t="shared" si="286"/>
        <v>27.049409479072949</v>
      </c>
      <c r="E121" s="26">
        <f t="shared" si="286"/>
        <v>46.120347208382526</v>
      </c>
      <c r="F121" s="26">
        <f t="shared" si="287"/>
        <v>73.169756687455475</v>
      </c>
      <c r="L121" t="str">
        <f t="shared" si="304"/>
        <v>21 Science, research, engineering and technology professionals</v>
      </c>
      <c r="M121" s="26">
        <f t="shared" si="288"/>
        <v>121.85222697323536</v>
      </c>
      <c r="N121" s="26">
        <f t="shared" si="288"/>
        <v>30.022061841997356</v>
      </c>
      <c r="O121" s="26">
        <f t="shared" si="288"/>
        <v>142.22806859501799</v>
      </c>
      <c r="P121" s="26">
        <f t="shared" si="288"/>
        <v>243.45030097066024</v>
      </c>
      <c r="Q121" s="26">
        <f t="shared" si="289"/>
        <v>385.67836956567822</v>
      </c>
      <c r="W121" t="str">
        <f t="shared" si="305"/>
        <v>21 Science, research, engineering and technology professionals</v>
      </c>
      <c r="X121" s="26">
        <f t="shared" si="290"/>
        <v>65.003844507879649</v>
      </c>
      <c r="Y121" s="26">
        <f t="shared" si="290"/>
        <v>27.535543512072309</v>
      </c>
      <c r="Z121" s="26">
        <f t="shared" si="290"/>
        <v>21.304029670917316</v>
      </c>
      <c r="AA121" s="26">
        <f t="shared" si="290"/>
        <v>29.498369262398228</v>
      </c>
      <c r="AB121" s="26">
        <f t="shared" si="291"/>
        <v>50.802398933315544</v>
      </c>
      <c r="AH121" t="str">
        <f t="shared" si="306"/>
        <v>21 Science, research, engineering and technology professionals</v>
      </c>
      <c r="AI121" s="26">
        <f t="shared" si="292"/>
        <v>5.0150502824832586</v>
      </c>
      <c r="AJ121" s="26">
        <f t="shared" si="292"/>
        <v>7.4684033339635221</v>
      </c>
      <c r="AK121" s="26">
        <f t="shared" si="292"/>
        <v>2.933485076071662</v>
      </c>
      <c r="AL121" s="26">
        <f t="shared" si="292"/>
        <v>8.3084947947913292</v>
      </c>
      <c r="AM121" s="26">
        <f t="shared" si="293"/>
        <v>11.241979870862991</v>
      </c>
      <c r="AS121" t="str">
        <f t="shared" si="307"/>
        <v>21 Science, research, engineering and technology professionals</v>
      </c>
      <c r="AT121" s="26">
        <f t="shared" si="294"/>
        <v>11.298918189591404</v>
      </c>
      <c r="AU121" s="26">
        <f t="shared" si="294"/>
        <v>8.1175534256258857</v>
      </c>
      <c r="AV121" s="26">
        <f t="shared" si="294"/>
        <v>-10.096982028410821</v>
      </c>
      <c r="AW121" s="26">
        <f t="shared" si="294"/>
        <v>0.33142163114271739</v>
      </c>
      <c r="AX121" s="26">
        <f t="shared" si="295"/>
        <v>-9.7655603972681035</v>
      </c>
      <c r="BD121" t="str">
        <f t="shared" si="308"/>
        <v>21 Science, research, engineering and technology professionals</v>
      </c>
      <c r="BE121" s="26">
        <f t="shared" si="296"/>
        <v>18.205354261630447</v>
      </c>
      <c r="BF121" s="26">
        <f t="shared" si="296"/>
        <v>11.855836130974694</v>
      </c>
      <c r="BG121" s="26">
        <f t="shared" si="296"/>
        <v>-27.900207746882444</v>
      </c>
      <c r="BH121" s="26">
        <f t="shared" si="296"/>
        <v>-15.871112708178345</v>
      </c>
      <c r="BI121" s="26">
        <f t="shared" si="297"/>
        <v>-43.771320455060788</v>
      </c>
      <c r="BO121" t="str">
        <f t="shared" si="309"/>
        <v>21 Science, research, engineering and technology professionals</v>
      </c>
      <c r="BP121" s="26">
        <f t="shared" si="298"/>
        <v>12.400737669158076</v>
      </c>
      <c r="BQ121" s="26">
        <f t="shared" si="298"/>
        <v>3.1613385600542472</v>
      </c>
      <c r="BR121" s="26">
        <f t="shared" si="298"/>
        <v>-14.893035088587624</v>
      </c>
      <c r="BS121" s="26">
        <f t="shared" si="298"/>
        <v>-26.368619895804983</v>
      </c>
      <c r="BT121" s="26">
        <f t="shared" si="299"/>
        <v>-41.261654984392607</v>
      </c>
      <c r="BZ121" t="str">
        <f t="shared" si="310"/>
        <v>21 Science, research, engineering and technology professionals</v>
      </c>
      <c r="CA121" s="67">
        <f t="shared" si="300"/>
        <v>8.4884236460974734</v>
      </c>
      <c r="CB121" s="67">
        <f t="shared" si="300"/>
        <v>-1.0293958113271202</v>
      </c>
      <c r="CC121" s="67">
        <f t="shared" si="300"/>
        <v>-6.9430104406851569</v>
      </c>
      <c r="CD121" s="67">
        <f t="shared" si="300"/>
        <v>-32.738343478341989</v>
      </c>
      <c r="CE121" s="67">
        <f t="shared" si="301"/>
        <v>-39.681353919027146</v>
      </c>
      <c r="CK121" t="str">
        <f t="shared" si="311"/>
        <v>21 Science, research, engineering and technology professionals</v>
      </c>
      <c r="CL121" s="67">
        <f t="shared" si="302"/>
        <v>5.9627417817487931</v>
      </c>
      <c r="CM121" s="67">
        <f t="shared" si="302"/>
        <v>-0.60309387374564594</v>
      </c>
      <c r="CN121" s="67">
        <f t="shared" si="302"/>
        <v>4.5589218817085921</v>
      </c>
      <c r="CO121" s="67">
        <f t="shared" si="302"/>
        <v>3.521887553124877</v>
      </c>
      <c r="CP121" s="67">
        <f t="shared" si="303"/>
        <v>8.0808094348334691</v>
      </c>
    </row>
    <row r="122" spans="1:94" x14ac:dyDescent="0.3">
      <c r="A122" t="str">
        <f t="shared" si="285"/>
        <v>22 Health professionals</v>
      </c>
      <c r="B122" s="26">
        <f t="shared" si="286"/>
        <v>29.896976659845663</v>
      </c>
      <c r="C122" s="26">
        <f t="shared" si="286"/>
        <v>3.5976711166280779</v>
      </c>
      <c r="D122" s="26">
        <f t="shared" si="286"/>
        <v>35.26693117932281</v>
      </c>
      <c r="E122" s="26">
        <f t="shared" si="286"/>
        <v>55.184168965944224</v>
      </c>
      <c r="F122" s="26">
        <f t="shared" si="287"/>
        <v>90.451100145267034</v>
      </c>
      <c r="L122" t="str">
        <f t="shared" si="304"/>
        <v>22 Health professionals</v>
      </c>
      <c r="M122" s="26">
        <f t="shared" si="288"/>
        <v>89.317406710132701</v>
      </c>
      <c r="N122" s="26">
        <f t="shared" si="288"/>
        <v>5.229023753970182</v>
      </c>
      <c r="O122" s="26">
        <f t="shared" si="288"/>
        <v>90.080015053230795</v>
      </c>
      <c r="P122" s="26">
        <f t="shared" si="288"/>
        <v>134.81295693255169</v>
      </c>
      <c r="Q122" s="26">
        <f t="shared" si="289"/>
        <v>224.89297198578248</v>
      </c>
      <c r="W122" t="str">
        <f t="shared" si="305"/>
        <v>22 Health professionals</v>
      </c>
      <c r="X122" s="26">
        <f t="shared" si="290"/>
        <v>87.623657685581179</v>
      </c>
      <c r="Y122" s="26">
        <f t="shared" si="290"/>
        <v>15.732317319004778</v>
      </c>
      <c r="Z122" s="26">
        <f t="shared" si="290"/>
        <v>73.967666533245392</v>
      </c>
      <c r="AA122" s="26">
        <f t="shared" si="290"/>
        <v>84.144110658249019</v>
      </c>
      <c r="AB122" s="26">
        <f t="shared" si="291"/>
        <v>158.11177719149441</v>
      </c>
      <c r="AH122" t="str">
        <f t="shared" si="306"/>
        <v>22 Health professionals</v>
      </c>
      <c r="AI122" s="26">
        <f t="shared" si="292"/>
        <v>-58.111995640218396</v>
      </c>
      <c r="AJ122" s="26">
        <f t="shared" si="292"/>
        <v>-15.321513591921928</v>
      </c>
      <c r="AK122" s="26">
        <f t="shared" si="292"/>
        <v>-80.005286838499345</v>
      </c>
      <c r="AL122" s="26">
        <f t="shared" si="292"/>
        <v>-76.521219921742642</v>
      </c>
      <c r="AM122" s="26">
        <f t="shared" si="293"/>
        <v>-156.526506760242</v>
      </c>
      <c r="AS122" t="str">
        <f t="shared" si="307"/>
        <v>22 Health professionals</v>
      </c>
      <c r="AT122" s="26">
        <f t="shared" si="294"/>
        <v>5.1826486845390178</v>
      </c>
      <c r="AU122" s="26">
        <f t="shared" si="294"/>
        <v>5.2054226829475638</v>
      </c>
      <c r="AV122" s="26">
        <f t="shared" si="294"/>
        <v>3.0109726730650763</v>
      </c>
      <c r="AW122" s="26">
        <f t="shared" si="294"/>
        <v>5.8745210353847455</v>
      </c>
      <c r="AX122" s="26">
        <f t="shared" si="295"/>
        <v>8.8854937084498218</v>
      </c>
      <c r="BD122" t="str">
        <f t="shared" si="308"/>
        <v>22 Health professionals</v>
      </c>
      <c r="BE122" s="26">
        <f t="shared" si="296"/>
        <v>32.154425405498387</v>
      </c>
      <c r="BF122" s="26">
        <f t="shared" si="296"/>
        <v>2.806810518656107</v>
      </c>
      <c r="BG122" s="26">
        <f t="shared" si="296"/>
        <v>15.843788566852368</v>
      </c>
      <c r="BH122" s="26">
        <f t="shared" si="296"/>
        <v>10.945282144407457</v>
      </c>
      <c r="BI122" s="26">
        <f t="shared" si="297"/>
        <v>26.789070711259825</v>
      </c>
      <c r="BO122" t="str">
        <f t="shared" si="309"/>
        <v>22 Health professionals</v>
      </c>
      <c r="BP122" s="26">
        <f t="shared" si="298"/>
        <v>15.365680673542855</v>
      </c>
      <c r="BQ122" s="26">
        <f t="shared" si="298"/>
        <v>-1.9663113037714197</v>
      </c>
      <c r="BR122" s="26">
        <f t="shared" si="298"/>
        <v>-1.4610567678070083</v>
      </c>
      <c r="BS122" s="26">
        <f t="shared" si="298"/>
        <v>-24.09570313510163</v>
      </c>
      <c r="BT122" s="26">
        <f t="shared" si="299"/>
        <v>-25.556759902908638</v>
      </c>
      <c r="BZ122" t="str">
        <f t="shared" si="310"/>
        <v>22 Health professionals</v>
      </c>
      <c r="CA122" s="67">
        <f t="shared" si="300"/>
        <v>9.7317919092021015</v>
      </c>
      <c r="CB122" s="67">
        <f t="shared" si="300"/>
        <v>-8.1417839126615164</v>
      </c>
      <c r="CC122" s="67">
        <f t="shared" si="300"/>
        <v>-1.9269605070534865</v>
      </c>
      <c r="CD122" s="67">
        <f t="shared" si="300"/>
        <v>-22.487931622160914</v>
      </c>
      <c r="CE122" s="67">
        <f t="shared" si="301"/>
        <v>-24.414892129214401</v>
      </c>
      <c r="CK122" t="str">
        <f t="shared" si="311"/>
        <v>22 Health professionals</v>
      </c>
      <c r="CL122" s="67">
        <f t="shared" si="302"/>
        <v>2.6573678165913384</v>
      </c>
      <c r="CM122" s="67">
        <f t="shared" si="302"/>
        <v>2.5137462486183537E-2</v>
      </c>
      <c r="CN122" s="67">
        <f t="shared" si="302"/>
        <v>2.7478322747950141</v>
      </c>
      <c r="CO122" s="67">
        <f t="shared" si="302"/>
        <v>4.7084027982793248</v>
      </c>
      <c r="CP122" s="67">
        <f t="shared" si="303"/>
        <v>7.456235073074339</v>
      </c>
    </row>
    <row r="123" spans="1:94" x14ac:dyDescent="0.3">
      <c r="A123" t="str">
        <f t="shared" si="285"/>
        <v>23 Teaching and other educational professionals</v>
      </c>
      <c r="B123" s="26">
        <f t="shared" si="286"/>
        <v>22.221842872424133</v>
      </c>
      <c r="C123" s="26">
        <f t="shared" si="286"/>
        <v>5.9730023723133741</v>
      </c>
      <c r="D123" s="26">
        <f t="shared" si="286"/>
        <v>27.759036679673926</v>
      </c>
      <c r="E123" s="26">
        <f t="shared" si="286"/>
        <v>41.339976160783948</v>
      </c>
      <c r="F123" s="26">
        <f t="shared" si="287"/>
        <v>69.099012840457874</v>
      </c>
      <c r="L123" t="str">
        <f t="shared" si="304"/>
        <v>23 Teaching and other educational professionals</v>
      </c>
      <c r="M123" s="26">
        <f t="shared" si="288"/>
        <v>146.49814107832674</v>
      </c>
      <c r="N123" s="26">
        <f t="shared" si="288"/>
        <v>31.507369722309477</v>
      </c>
      <c r="O123" s="26">
        <f t="shared" si="288"/>
        <v>147.74946963534057</v>
      </c>
      <c r="P123" s="26">
        <f t="shared" si="288"/>
        <v>207.03016852576002</v>
      </c>
      <c r="Q123" s="26">
        <f t="shared" si="289"/>
        <v>354.77963816110059</v>
      </c>
      <c r="W123" t="str">
        <f t="shared" si="305"/>
        <v>23 Teaching and other educational professionals</v>
      </c>
      <c r="X123" s="26">
        <f t="shared" si="290"/>
        <v>-51.8907603434875</v>
      </c>
      <c r="Y123" s="26">
        <f t="shared" si="290"/>
        <v>26.815250415425055</v>
      </c>
      <c r="Z123" s="26">
        <f t="shared" si="290"/>
        <v>-65.329137415387493</v>
      </c>
      <c r="AA123" s="26">
        <f t="shared" si="290"/>
        <v>-68.962717473046212</v>
      </c>
      <c r="AB123" s="26">
        <f t="shared" si="291"/>
        <v>-134.2918548884337</v>
      </c>
      <c r="AH123" t="str">
        <f t="shared" si="306"/>
        <v>23 Teaching and other educational professionals</v>
      </c>
      <c r="AI123" s="26">
        <f t="shared" si="292"/>
        <v>-28.68957818838804</v>
      </c>
      <c r="AJ123" s="26">
        <f t="shared" si="292"/>
        <v>-2.2800762529251699</v>
      </c>
      <c r="AK123" s="26">
        <f t="shared" si="292"/>
        <v>-11.116048257492565</v>
      </c>
      <c r="AL123" s="26">
        <f t="shared" si="292"/>
        <v>1.3981667066734076</v>
      </c>
      <c r="AM123" s="26">
        <f t="shared" si="293"/>
        <v>-9.7178815508191576</v>
      </c>
      <c r="AS123" t="str">
        <f t="shared" si="307"/>
        <v>23 Teaching and other educational professionals</v>
      </c>
      <c r="AT123" s="26">
        <f t="shared" si="294"/>
        <v>0.15670939886701873</v>
      </c>
      <c r="AU123" s="26">
        <f t="shared" si="294"/>
        <v>1.2910799064958951</v>
      </c>
      <c r="AV123" s="26">
        <f t="shared" si="294"/>
        <v>-2.2332038339481102</v>
      </c>
      <c r="AW123" s="26">
        <f t="shared" si="294"/>
        <v>-1.0105393136159968</v>
      </c>
      <c r="AX123" s="26">
        <f t="shared" si="295"/>
        <v>-3.243743147564107</v>
      </c>
      <c r="BD123" t="str">
        <f t="shared" si="308"/>
        <v>23 Teaching and other educational professionals</v>
      </c>
      <c r="BE123" s="26">
        <f t="shared" si="296"/>
        <v>2.3624872080774679</v>
      </c>
      <c r="BF123" s="26">
        <f t="shared" si="296"/>
        <v>7.2932746940068824</v>
      </c>
      <c r="BG123" s="26">
        <f t="shared" si="296"/>
        <v>1.4356777942325607</v>
      </c>
      <c r="BH123" s="26">
        <f t="shared" si="296"/>
        <v>7.2659616534618152</v>
      </c>
      <c r="BI123" s="26">
        <f t="shared" si="297"/>
        <v>8.7016394476943759</v>
      </c>
      <c r="BO123" t="str">
        <f t="shared" si="309"/>
        <v>23 Teaching and other educational professionals</v>
      </c>
      <c r="BP123" s="26">
        <f t="shared" si="298"/>
        <v>0.75511030190757111</v>
      </c>
      <c r="BQ123" s="26">
        <f t="shared" si="298"/>
        <v>0.97696463862772021</v>
      </c>
      <c r="BR123" s="26">
        <f t="shared" si="298"/>
        <v>-3.0175094200537274</v>
      </c>
      <c r="BS123" s="26">
        <f t="shared" si="298"/>
        <v>-6.7578517247279137</v>
      </c>
      <c r="BT123" s="26">
        <f t="shared" si="299"/>
        <v>-9.7753611447816411</v>
      </c>
      <c r="BZ123" t="str">
        <f t="shared" si="310"/>
        <v>23 Teaching and other educational professionals</v>
      </c>
      <c r="CA123" s="67">
        <f t="shared" si="300"/>
        <v>0.85116869619693603</v>
      </c>
      <c r="CB123" s="67">
        <f t="shared" si="300"/>
        <v>0.8789736583983796</v>
      </c>
      <c r="CC123" s="67">
        <f t="shared" si="300"/>
        <v>-1.4227834836386393</v>
      </c>
      <c r="CD123" s="67">
        <f t="shared" si="300"/>
        <v>-8.2192772954449289</v>
      </c>
      <c r="CE123" s="67">
        <f t="shared" si="301"/>
        <v>-9.6420607790835682</v>
      </c>
      <c r="CK123" t="str">
        <f t="shared" si="311"/>
        <v>23 Teaching and other educational professionals</v>
      </c>
      <c r="CL123" s="67">
        <f t="shared" si="302"/>
        <v>1.4835394127820214</v>
      </c>
      <c r="CM123" s="67">
        <f t="shared" si="302"/>
        <v>1.2118022933441317</v>
      </c>
      <c r="CN123" s="67">
        <f t="shared" si="302"/>
        <v>1.5515242908415274</v>
      </c>
      <c r="CO123" s="67">
        <f t="shared" si="302"/>
        <v>0.16957288340437948</v>
      </c>
      <c r="CP123" s="67">
        <f t="shared" si="303"/>
        <v>1.7210971742459069</v>
      </c>
    </row>
    <row r="124" spans="1:94" x14ac:dyDescent="0.3">
      <c r="A124" t="str">
        <f t="shared" si="285"/>
        <v>24 Business, media and public service professionals</v>
      </c>
      <c r="B124" s="26">
        <f t="shared" si="286"/>
        <v>13.646179715534522</v>
      </c>
      <c r="C124" s="26">
        <f t="shared" si="286"/>
        <v>4.0323956330025226</v>
      </c>
      <c r="D124" s="26">
        <f t="shared" si="286"/>
        <v>22.113002528818619</v>
      </c>
      <c r="E124" s="26">
        <f t="shared" si="286"/>
        <v>36.373909259301385</v>
      </c>
      <c r="F124" s="26">
        <f t="shared" si="287"/>
        <v>58.486911788120004</v>
      </c>
      <c r="L124" t="str">
        <f t="shared" si="304"/>
        <v>24 Business, media and public service professionals</v>
      </c>
      <c r="M124" s="26">
        <f t="shared" si="288"/>
        <v>172.29858931312259</v>
      </c>
      <c r="N124" s="26">
        <f t="shared" si="288"/>
        <v>45.224776224304946</v>
      </c>
      <c r="O124" s="26">
        <f t="shared" si="288"/>
        <v>214.89747834520097</v>
      </c>
      <c r="P124" s="26">
        <f t="shared" si="288"/>
        <v>322.93653859913684</v>
      </c>
      <c r="Q124" s="26">
        <f t="shared" si="289"/>
        <v>537.8340169443378</v>
      </c>
      <c r="W124" t="str">
        <f t="shared" si="305"/>
        <v>24 Business, media and public service professionals</v>
      </c>
      <c r="X124" s="26">
        <f t="shared" si="290"/>
        <v>107.0019016956179</v>
      </c>
      <c r="Y124" s="26">
        <f t="shared" si="290"/>
        <v>81.395234451927422</v>
      </c>
      <c r="Z124" s="26">
        <f t="shared" si="290"/>
        <v>75.761530434733913</v>
      </c>
      <c r="AA124" s="26">
        <f t="shared" si="290"/>
        <v>50.437156333687881</v>
      </c>
      <c r="AB124" s="26">
        <f t="shared" si="291"/>
        <v>126.19868676842179</v>
      </c>
      <c r="AH124" t="str">
        <f t="shared" si="306"/>
        <v>24 Business, media and public service professionals</v>
      </c>
      <c r="AI124" s="26">
        <f t="shared" si="292"/>
        <v>-2.346137420876147</v>
      </c>
      <c r="AJ124" s="26">
        <f t="shared" si="292"/>
        <v>9.872394971821322</v>
      </c>
      <c r="AK124" s="26">
        <f t="shared" si="292"/>
        <v>-2.8869523718015699</v>
      </c>
      <c r="AL124" s="26">
        <f t="shared" si="292"/>
        <v>3.9207260297237809</v>
      </c>
      <c r="AM124" s="26">
        <f t="shared" si="293"/>
        <v>1.033773657922211</v>
      </c>
      <c r="AS124" t="str">
        <f t="shared" si="307"/>
        <v>24 Business, media and public service professionals</v>
      </c>
      <c r="AT124" s="26">
        <f t="shared" si="294"/>
        <v>12.906557165814007</v>
      </c>
      <c r="AU124" s="26">
        <f t="shared" si="294"/>
        <v>15.269482791506334</v>
      </c>
      <c r="AV124" s="26">
        <f t="shared" si="294"/>
        <v>10.794914501090091</v>
      </c>
      <c r="AW124" s="26">
        <f t="shared" si="294"/>
        <v>12.936388852226258</v>
      </c>
      <c r="AX124" s="26">
        <f t="shared" si="295"/>
        <v>23.731303353316349</v>
      </c>
      <c r="BD124" t="str">
        <f t="shared" si="308"/>
        <v>24 Business, media and public service professionals</v>
      </c>
      <c r="BE124" s="26">
        <f t="shared" si="296"/>
        <v>33.815437471307519</v>
      </c>
      <c r="BF124" s="26">
        <f t="shared" si="296"/>
        <v>26.808566853166781</v>
      </c>
      <c r="BG124" s="26">
        <f t="shared" si="296"/>
        <v>9.7231111274043656</v>
      </c>
      <c r="BH124" s="26">
        <f t="shared" si="296"/>
        <v>1.0093095106590226</v>
      </c>
      <c r="BI124" s="26">
        <f t="shared" si="297"/>
        <v>10.732420638063388</v>
      </c>
      <c r="BO124" t="str">
        <f t="shared" si="309"/>
        <v>24 Business, media and public service professionals</v>
      </c>
      <c r="BP124" s="26">
        <f t="shared" si="298"/>
        <v>14.67088520181656</v>
      </c>
      <c r="BQ124" s="26">
        <f t="shared" si="298"/>
        <v>6.8674615024475258</v>
      </c>
      <c r="BR124" s="26">
        <f t="shared" si="298"/>
        <v>-8.4730905813226229</v>
      </c>
      <c r="BS124" s="26">
        <f t="shared" si="298"/>
        <v>-36.93985825155815</v>
      </c>
      <c r="BT124" s="26">
        <f t="shared" si="299"/>
        <v>-45.412948832880772</v>
      </c>
      <c r="BZ124" t="str">
        <f t="shared" si="310"/>
        <v>24 Business, media and public service professionals</v>
      </c>
      <c r="CA124" s="67">
        <f t="shared" si="300"/>
        <v>11.380853342706729</v>
      </c>
      <c r="CB124" s="67">
        <f t="shared" si="300"/>
        <v>3.6115081648531628</v>
      </c>
      <c r="CC124" s="67">
        <f t="shared" si="300"/>
        <v>-5.9215699846080838</v>
      </c>
      <c r="CD124" s="67">
        <f t="shared" si="300"/>
        <v>-39.934085103648599</v>
      </c>
      <c r="CE124" s="67">
        <f t="shared" si="301"/>
        <v>-45.855655088256682</v>
      </c>
      <c r="CK124" t="str">
        <f t="shared" si="311"/>
        <v>24 Business, media and public service professionals</v>
      </c>
      <c r="CL124" s="67">
        <f t="shared" si="302"/>
        <v>5.8521530412194238</v>
      </c>
      <c r="CM124" s="67">
        <f t="shared" si="302"/>
        <v>-0.656376406948187</v>
      </c>
      <c r="CN124" s="67">
        <f t="shared" si="302"/>
        <v>1.7649349593326278</v>
      </c>
      <c r="CO124" s="67">
        <f t="shared" si="302"/>
        <v>1.5115251928697333</v>
      </c>
      <c r="CP124" s="67">
        <f t="shared" si="303"/>
        <v>3.2764601522023611</v>
      </c>
    </row>
    <row r="125" spans="1:94" x14ac:dyDescent="0.3">
      <c r="A125" t="str">
        <f t="shared" si="285"/>
        <v>31 Science, engineering and technology associate professionals</v>
      </c>
      <c r="B125" s="26">
        <f t="shared" si="286"/>
        <v>4.4629416014085699</v>
      </c>
      <c r="C125" s="26">
        <f t="shared" si="286"/>
        <v>1.4013786463582285</v>
      </c>
      <c r="D125" s="26">
        <f t="shared" si="286"/>
        <v>2.8160582907457368</v>
      </c>
      <c r="E125" s="26">
        <f t="shared" si="286"/>
        <v>9.8503447479951838</v>
      </c>
      <c r="F125" s="26">
        <f t="shared" si="287"/>
        <v>12.666403038740921</v>
      </c>
      <c r="L125" t="str">
        <f t="shared" si="304"/>
        <v>31 Science, engineering and technology associate professionals</v>
      </c>
      <c r="M125" s="26">
        <f t="shared" si="288"/>
        <v>22.712236492967413</v>
      </c>
      <c r="N125" s="26">
        <f t="shared" si="288"/>
        <v>8.3013124473794448</v>
      </c>
      <c r="O125" s="26">
        <f t="shared" si="288"/>
        <v>7.1098505790062632</v>
      </c>
      <c r="P125" s="26">
        <f t="shared" si="288"/>
        <v>37.319036090265399</v>
      </c>
      <c r="Q125" s="26">
        <f t="shared" si="289"/>
        <v>44.428886669271662</v>
      </c>
      <c r="W125" t="str">
        <f t="shared" si="305"/>
        <v>31 Science, engineering and technology associate professionals</v>
      </c>
      <c r="X125" s="26">
        <f t="shared" si="290"/>
        <v>29.397107625297139</v>
      </c>
      <c r="Y125" s="26">
        <f t="shared" si="290"/>
        <v>13.26062322452114</v>
      </c>
      <c r="Z125" s="26">
        <f t="shared" si="290"/>
        <v>-14.999145186513175</v>
      </c>
      <c r="AA125" s="26">
        <f t="shared" si="290"/>
        <v>17.316291923261645</v>
      </c>
      <c r="AB125" s="26">
        <f t="shared" si="291"/>
        <v>2.3171467367484695</v>
      </c>
      <c r="AH125" t="str">
        <f t="shared" si="306"/>
        <v>31 Science, engineering and technology associate professionals</v>
      </c>
      <c r="AI125" s="26">
        <f t="shared" si="292"/>
        <v>5.5148203897331634</v>
      </c>
      <c r="AJ125" s="26">
        <f t="shared" si="292"/>
        <v>3.714198566015348</v>
      </c>
      <c r="AK125" s="26">
        <f t="shared" si="292"/>
        <v>0.70636097367690098</v>
      </c>
      <c r="AL125" s="26">
        <f t="shared" si="292"/>
        <v>10.192208679579174</v>
      </c>
      <c r="AM125" s="26">
        <f t="shared" si="293"/>
        <v>10.898569653256075</v>
      </c>
      <c r="AS125" t="str">
        <f t="shared" si="307"/>
        <v>31 Science, engineering and technology associate professionals</v>
      </c>
      <c r="AT125" s="26">
        <f t="shared" si="294"/>
        <v>5.2266250439143249</v>
      </c>
      <c r="AU125" s="26">
        <f t="shared" si="294"/>
        <v>4.8819557348111999</v>
      </c>
      <c r="AV125" s="26">
        <f t="shared" si="294"/>
        <v>-12.820649927374959</v>
      </c>
      <c r="AW125" s="26">
        <f t="shared" si="294"/>
        <v>-0.4552717841861309</v>
      </c>
      <c r="AX125" s="26">
        <f t="shared" si="295"/>
        <v>-13.275921711561089</v>
      </c>
      <c r="BD125" t="str">
        <f t="shared" si="308"/>
        <v>31 Science, engineering and technology associate professionals</v>
      </c>
      <c r="BE125" s="26">
        <f t="shared" si="296"/>
        <v>6.5001824074465873</v>
      </c>
      <c r="BF125" s="26">
        <f t="shared" si="296"/>
        <v>10.406541077662467</v>
      </c>
      <c r="BG125" s="26">
        <f t="shared" si="296"/>
        <v>-31.161553117834515</v>
      </c>
      <c r="BH125" s="26">
        <f t="shared" si="296"/>
        <v>-16.832625782758655</v>
      </c>
      <c r="BI125" s="26">
        <f t="shared" si="297"/>
        <v>-47.99417890059317</v>
      </c>
      <c r="BO125" t="str">
        <f t="shared" si="309"/>
        <v>31 Science, engineering and technology associate professionals</v>
      </c>
      <c r="BP125" s="26">
        <f t="shared" si="298"/>
        <v>9.7329279123052288</v>
      </c>
      <c r="BQ125" s="26">
        <f t="shared" si="298"/>
        <v>5.6774137060879042</v>
      </c>
      <c r="BR125" s="26">
        <f t="shared" si="298"/>
        <v>-17.975963663517462</v>
      </c>
      <c r="BS125" s="26">
        <f t="shared" si="298"/>
        <v>-7.3111969894751567</v>
      </c>
      <c r="BT125" s="26">
        <f t="shared" si="299"/>
        <v>-25.287160652992618</v>
      </c>
      <c r="BZ125" t="str">
        <f t="shared" si="310"/>
        <v>31 Science, engineering and technology associate professionals</v>
      </c>
      <c r="CA125" s="67">
        <f t="shared" si="300"/>
        <v>9.1897617078292697</v>
      </c>
      <c r="CB125" s="67">
        <f t="shared" si="300"/>
        <v>4.8055527938441429</v>
      </c>
      <c r="CC125" s="67">
        <f t="shared" si="300"/>
        <v>-13.385359576234642</v>
      </c>
      <c r="CD125" s="67">
        <f t="shared" si="300"/>
        <v>-12.002532351909124</v>
      </c>
      <c r="CE125" s="67">
        <f t="shared" si="301"/>
        <v>-25.387891928143766</v>
      </c>
      <c r="CK125" t="str">
        <f t="shared" si="311"/>
        <v>31 Science, engineering and technology associate professionals</v>
      </c>
      <c r="CL125" s="67">
        <f t="shared" si="302"/>
        <v>4.0991302859287764</v>
      </c>
      <c r="CM125" s="67">
        <f t="shared" si="302"/>
        <v>1.7414032433388229</v>
      </c>
      <c r="CN125" s="67">
        <f t="shared" si="302"/>
        <v>1.0400517189163452</v>
      </c>
      <c r="CO125" s="67">
        <f t="shared" si="302"/>
        <v>6.5885880930343532</v>
      </c>
      <c r="CP125" s="67">
        <f t="shared" si="303"/>
        <v>7.6286398119506984</v>
      </c>
    </row>
    <row r="126" spans="1:94" x14ac:dyDescent="0.3">
      <c r="A126" t="str">
        <f t="shared" si="285"/>
        <v>32 Health and social care associate professionals</v>
      </c>
      <c r="B126" s="26">
        <f t="shared" si="286"/>
        <v>0.9851907481227471</v>
      </c>
      <c r="C126" s="26">
        <f t="shared" si="286"/>
        <v>-0.20081979092258173</v>
      </c>
      <c r="D126" s="26">
        <f t="shared" si="286"/>
        <v>1.2585493903898586</v>
      </c>
      <c r="E126" s="26">
        <f t="shared" si="286"/>
        <v>2.7807028412376988</v>
      </c>
      <c r="F126" s="26">
        <f t="shared" si="287"/>
        <v>4.0392522316275574</v>
      </c>
      <c r="L126" t="str">
        <f t="shared" si="304"/>
        <v>32 Health and social care associate professionals</v>
      </c>
      <c r="M126" s="26">
        <f t="shared" si="288"/>
        <v>22.158713934660739</v>
      </c>
      <c r="N126" s="26">
        <f t="shared" si="288"/>
        <v>3.1559096202736185</v>
      </c>
      <c r="O126" s="26">
        <f t="shared" si="288"/>
        <v>23.067226327347683</v>
      </c>
      <c r="P126" s="26">
        <f t="shared" si="288"/>
        <v>52.998604268062337</v>
      </c>
      <c r="Q126" s="26">
        <f t="shared" si="289"/>
        <v>76.06583059541002</v>
      </c>
      <c r="W126" t="str">
        <f t="shared" si="305"/>
        <v>32 Health and social care associate professionals</v>
      </c>
      <c r="X126" s="26">
        <f t="shared" si="290"/>
        <v>31.146112556557711</v>
      </c>
      <c r="Y126" s="26">
        <f t="shared" si="290"/>
        <v>10.780027803483677</v>
      </c>
      <c r="Z126" s="26">
        <f t="shared" si="290"/>
        <v>23.888239898333353</v>
      </c>
      <c r="AA126" s="26">
        <f t="shared" si="290"/>
        <v>50.868692765921111</v>
      </c>
      <c r="AB126" s="26">
        <f t="shared" si="291"/>
        <v>74.756932664254464</v>
      </c>
      <c r="AH126" t="str">
        <f t="shared" si="306"/>
        <v>32 Health and social care associate professionals</v>
      </c>
      <c r="AI126" s="26">
        <f t="shared" si="292"/>
        <v>-16.628996869432456</v>
      </c>
      <c r="AJ126" s="26">
        <f t="shared" si="292"/>
        <v>-0.39020701122905166</v>
      </c>
      <c r="AK126" s="26">
        <f t="shared" si="292"/>
        <v>-27.528089521584306</v>
      </c>
      <c r="AL126" s="26">
        <f t="shared" si="292"/>
        <v>-33.468333440739777</v>
      </c>
      <c r="AM126" s="26">
        <f t="shared" si="293"/>
        <v>-60.996422962324083</v>
      </c>
      <c r="AS126" t="str">
        <f t="shared" si="307"/>
        <v>32 Health and social care associate professionals</v>
      </c>
      <c r="AT126" s="26">
        <f t="shared" si="294"/>
        <v>3.3991230452716756</v>
      </c>
      <c r="AU126" s="26">
        <f t="shared" si="294"/>
        <v>4.0533503349902702</v>
      </c>
      <c r="AV126" s="26">
        <f t="shared" si="294"/>
        <v>-0.95047486211743859</v>
      </c>
      <c r="AW126" s="26">
        <f t="shared" si="294"/>
        <v>3.9145457875541041</v>
      </c>
      <c r="AX126" s="26">
        <f t="shared" si="295"/>
        <v>2.9640709254366655</v>
      </c>
      <c r="BD126" t="str">
        <f t="shared" si="308"/>
        <v>32 Health and social care associate professionals</v>
      </c>
      <c r="BE126" s="26">
        <f t="shared" si="296"/>
        <v>21.324144113604078</v>
      </c>
      <c r="BF126" s="26">
        <f t="shared" si="296"/>
        <v>5.7478237441443412</v>
      </c>
      <c r="BG126" s="26">
        <f t="shared" si="296"/>
        <v>2.9647570007179525</v>
      </c>
      <c r="BH126" s="26">
        <f t="shared" si="296"/>
        <v>15.593148519360639</v>
      </c>
      <c r="BI126" s="26">
        <f t="shared" si="297"/>
        <v>18.557905520078592</v>
      </c>
      <c r="BO126" t="str">
        <f t="shared" si="309"/>
        <v>32 Health and social care associate professionals</v>
      </c>
      <c r="BP126" s="26">
        <f t="shared" si="298"/>
        <v>8.8375079161312016</v>
      </c>
      <c r="BQ126" s="26">
        <f t="shared" si="298"/>
        <v>-1.1292259855597422</v>
      </c>
      <c r="BR126" s="26">
        <f t="shared" si="298"/>
        <v>-6.8198606320682558</v>
      </c>
      <c r="BS126" s="26">
        <f t="shared" si="298"/>
        <v>-16.539111541017405</v>
      </c>
      <c r="BT126" s="26">
        <f t="shared" si="299"/>
        <v>-23.358972173085661</v>
      </c>
      <c r="BZ126" t="str">
        <f t="shared" si="310"/>
        <v>32 Health and social care associate professionals</v>
      </c>
      <c r="CA126" s="67">
        <f t="shared" si="300"/>
        <v>-1.7646499161633926</v>
      </c>
      <c r="CB126" s="67">
        <f t="shared" si="300"/>
        <v>-2.8392504581241766</v>
      </c>
      <c r="CC126" s="67">
        <f t="shared" si="300"/>
        <v>-4.2652651535652204</v>
      </c>
      <c r="CD126" s="67">
        <f t="shared" si="300"/>
        <v>-8.8486317690916927</v>
      </c>
      <c r="CE126" s="67">
        <f t="shared" si="301"/>
        <v>-13.113896922656913</v>
      </c>
      <c r="CK126" t="str">
        <f t="shared" si="311"/>
        <v>32 Health and social care associate professionals</v>
      </c>
      <c r="CL126" s="67">
        <f t="shared" si="302"/>
        <v>0.75490292289467398</v>
      </c>
      <c r="CM126" s="67">
        <f t="shared" si="302"/>
        <v>8.5021911918872206E-3</v>
      </c>
      <c r="CN126" s="67">
        <f t="shared" si="302"/>
        <v>0.60362707021298068</v>
      </c>
      <c r="CO126" s="67">
        <f t="shared" si="302"/>
        <v>2.1585885440321402</v>
      </c>
      <c r="CP126" s="67">
        <f t="shared" si="303"/>
        <v>2.7622156142451209</v>
      </c>
    </row>
    <row r="127" spans="1:94" x14ac:dyDescent="0.3">
      <c r="A127" t="str">
        <f t="shared" si="285"/>
        <v>33 Protective service occupations</v>
      </c>
      <c r="B127" s="26">
        <f t="shared" si="286"/>
        <v>0.24843493928978244</v>
      </c>
      <c r="C127" s="26">
        <f t="shared" si="286"/>
        <v>0.10477353452760152</v>
      </c>
      <c r="D127" s="26">
        <f t="shared" si="286"/>
        <v>0.99971400786989895</v>
      </c>
      <c r="E127" s="26">
        <f t="shared" si="286"/>
        <v>1.8179451044801729</v>
      </c>
      <c r="F127" s="26">
        <f t="shared" si="287"/>
        <v>2.8176591123500718</v>
      </c>
      <c r="L127" t="str">
        <f t="shared" si="304"/>
        <v>33 Protective service occupations</v>
      </c>
      <c r="M127" s="26">
        <f t="shared" si="288"/>
        <v>5.3300106954639048</v>
      </c>
      <c r="N127" s="26">
        <f t="shared" si="288"/>
        <v>2.8997448842315023</v>
      </c>
      <c r="O127" s="26">
        <f t="shared" si="288"/>
        <v>15.570117253250881</v>
      </c>
      <c r="P127" s="26">
        <f t="shared" si="288"/>
        <v>31.797020791908565</v>
      </c>
      <c r="Q127" s="26">
        <f t="shared" si="289"/>
        <v>47.36713804515945</v>
      </c>
      <c r="W127" t="str">
        <f t="shared" si="305"/>
        <v>33 Protective service occupations</v>
      </c>
      <c r="X127" s="26">
        <f t="shared" si="290"/>
        <v>11.237233777677304</v>
      </c>
      <c r="Y127" s="26">
        <f t="shared" si="290"/>
        <v>11.715528594691335</v>
      </c>
      <c r="Z127" s="26">
        <f t="shared" si="290"/>
        <v>34.122550199688519</v>
      </c>
      <c r="AA127" s="26">
        <f t="shared" si="290"/>
        <v>56.568145179174508</v>
      </c>
      <c r="AB127" s="26">
        <f t="shared" si="291"/>
        <v>90.690695378863026</v>
      </c>
      <c r="AH127" t="str">
        <f t="shared" si="306"/>
        <v>33 Protective service occupations</v>
      </c>
      <c r="AI127" s="26">
        <f t="shared" si="292"/>
        <v>2.2471416438392424</v>
      </c>
      <c r="AJ127" s="26">
        <f t="shared" si="292"/>
        <v>3.4360206186213773</v>
      </c>
      <c r="AK127" s="26">
        <f t="shared" si="292"/>
        <v>8.3736573745059921</v>
      </c>
      <c r="AL127" s="26">
        <f t="shared" si="292"/>
        <v>13.802641060117494</v>
      </c>
      <c r="AM127" s="26">
        <f t="shared" si="293"/>
        <v>22.176298434623487</v>
      </c>
      <c r="AS127" t="str">
        <f t="shared" si="307"/>
        <v>33 Protective service occupations</v>
      </c>
      <c r="AT127" s="26">
        <f t="shared" si="294"/>
        <v>-1.4409369616592755</v>
      </c>
      <c r="AU127" s="26">
        <f t="shared" si="294"/>
        <v>1.9915989536486265</v>
      </c>
      <c r="AV127" s="26">
        <f t="shared" si="294"/>
        <v>2.2522515402402767</v>
      </c>
      <c r="AW127" s="26">
        <f t="shared" si="294"/>
        <v>3.2463981374094892</v>
      </c>
      <c r="AX127" s="26">
        <f t="shared" si="295"/>
        <v>5.498649677649766</v>
      </c>
      <c r="BD127" t="str">
        <f t="shared" si="308"/>
        <v>33 Protective service occupations</v>
      </c>
      <c r="BE127" s="26">
        <f t="shared" si="296"/>
        <v>-3.8391566608521117</v>
      </c>
      <c r="BF127" s="26">
        <f t="shared" si="296"/>
        <v>3.0502781163518762</v>
      </c>
      <c r="BG127" s="26">
        <f t="shared" si="296"/>
        <v>5.1116527390514221</v>
      </c>
      <c r="BH127" s="26">
        <f t="shared" si="296"/>
        <v>-7.0071687928154205</v>
      </c>
      <c r="BI127" s="26">
        <f t="shared" si="297"/>
        <v>-1.8955160537639983</v>
      </c>
      <c r="BO127" t="str">
        <f t="shared" si="309"/>
        <v>33 Protective service occupations</v>
      </c>
      <c r="BP127" s="26">
        <f t="shared" si="298"/>
        <v>-0.14243177840093324</v>
      </c>
      <c r="BQ127" s="26">
        <f t="shared" si="298"/>
        <v>-0.47995695702840635</v>
      </c>
      <c r="BR127" s="26">
        <f t="shared" si="298"/>
        <v>4.8963667279783465</v>
      </c>
      <c r="BS127" s="26">
        <f t="shared" si="298"/>
        <v>-18.413478606636033</v>
      </c>
      <c r="BT127" s="26">
        <f t="shared" si="299"/>
        <v>-13.517111878657687</v>
      </c>
      <c r="BZ127" t="str">
        <f t="shared" si="310"/>
        <v>33 Protective service occupations</v>
      </c>
      <c r="CA127" s="67">
        <f t="shared" si="300"/>
        <v>-1.3198404018783876</v>
      </c>
      <c r="CB127" s="67">
        <f t="shared" si="300"/>
        <v>0.21242134230960374</v>
      </c>
      <c r="CC127" s="67">
        <f t="shared" si="300"/>
        <v>3.9721104968039285</v>
      </c>
      <c r="CD127" s="67">
        <f t="shared" si="300"/>
        <v>-11.741352118676083</v>
      </c>
      <c r="CE127" s="67">
        <f t="shared" si="301"/>
        <v>-7.7692416218721547</v>
      </c>
      <c r="CK127" t="str">
        <f t="shared" si="311"/>
        <v>33 Protective service occupations</v>
      </c>
      <c r="CL127" s="67">
        <f t="shared" si="302"/>
        <v>-1.2170201358563286</v>
      </c>
      <c r="CM127" s="67">
        <f t="shared" si="302"/>
        <v>-0.42817007798133666</v>
      </c>
      <c r="CN127" s="67">
        <f t="shared" si="302"/>
        <v>-1.0784131223866282</v>
      </c>
      <c r="CO127" s="67">
        <f t="shared" si="302"/>
        <v>-0.50179081850600493</v>
      </c>
      <c r="CP127" s="67">
        <f t="shared" si="303"/>
        <v>-1.5802039408926332</v>
      </c>
    </row>
    <row r="128" spans="1:94" x14ac:dyDescent="0.3">
      <c r="A128" t="str">
        <f t="shared" si="285"/>
        <v>34 Culture, media and sports occupations</v>
      </c>
      <c r="B128" s="26">
        <f t="shared" si="286"/>
        <v>2.7231728501549766</v>
      </c>
      <c r="C128" s="26">
        <f t="shared" si="286"/>
        <v>0.50782487405967913</v>
      </c>
      <c r="D128" s="26">
        <f t="shared" si="286"/>
        <v>2.0232586194461195</v>
      </c>
      <c r="E128" s="26">
        <f t="shared" si="286"/>
        <v>4.5908809101341941</v>
      </c>
      <c r="F128" s="26">
        <f t="shared" si="287"/>
        <v>6.6141395295803136</v>
      </c>
      <c r="L128" t="str">
        <f t="shared" si="304"/>
        <v>34 Culture, media and sports occupations</v>
      </c>
      <c r="M128" s="26">
        <f t="shared" si="288"/>
        <v>26.212513129685775</v>
      </c>
      <c r="N128" s="26">
        <f t="shared" si="288"/>
        <v>21.925382202722972</v>
      </c>
      <c r="O128" s="26">
        <f t="shared" si="288"/>
        <v>38.371997916202986</v>
      </c>
      <c r="P128" s="26">
        <f t="shared" si="288"/>
        <v>83.527060857925477</v>
      </c>
      <c r="Q128" s="26">
        <f t="shared" si="289"/>
        <v>121.89905877412846</v>
      </c>
      <c r="W128" t="str">
        <f t="shared" si="305"/>
        <v>34 Culture, media and sports occupations</v>
      </c>
      <c r="X128" s="26">
        <f t="shared" si="290"/>
        <v>1.0490396009097935</v>
      </c>
      <c r="Y128" s="26">
        <f t="shared" si="290"/>
        <v>19.494660149491608</v>
      </c>
      <c r="Z128" s="26">
        <f t="shared" si="290"/>
        <v>-7.6967847911279819</v>
      </c>
      <c r="AA128" s="26">
        <f t="shared" si="290"/>
        <v>15.081417333620152</v>
      </c>
      <c r="AB128" s="26">
        <f t="shared" si="291"/>
        <v>7.3846325424921702</v>
      </c>
      <c r="AH128" t="str">
        <f t="shared" si="306"/>
        <v>34 Culture, media and sports occupations</v>
      </c>
      <c r="AI128" s="26">
        <f t="shared" si="292"/>
        <v>0.19949687756440682</v>
      </c>
      <c r="AJ128" s="26">
        <f t="shared" si="292"/>
        <v>6.1310620880525306</v>
      </c>
      <c r="AK128" s="26">
        <f t="shared" si="292"/>
        <v>-0.91945146904829045</v>
      </c>
      <c r="AL128" s="26">
        <f t="shared" si="292"/>
        <v>8.8225420860237662</v>
      </c>
      <c r="AM128" s="26">
        <f t="shared" si="293"/>
        <v>7.9030906169754758</v>
      </c>
      <c r="AS128" t="str">
        <f t="shared" si="307"/>
        <v>34 Culture, media and sports occupations</v>
      </c>
      <c r="AT128" s="26">
        <f t="shared" si="294"/>
        <v>-2.3305527317661614</v>
      </c>
      <c r="AU128" s="26">
        <f t="shared" si="294"/>
        <v>2.4088355316708814</v>
      </c>
      <c r="AV128" s="26">
        <f t="shared" si="294"/>
        <v>-4.3910871804715867</v>
      </c>
      <c r="AW128" s="26">
        <f t="shared" si="294"/>
        <v>-0.21036065314036989</v>
      </c>
      <c r="AX128" s="26">
        <f t="shared" si="295"/>
        <v>-4.6014478336119566</v>
      </c>
      <c r="BD128" t="str">
        <f t="shared" si="308"/>
        <v>34 Culture, media and sports occupations</v>
      </c>
      <c r="BE128" s="26">
        <f t="shared" si="296"/>
        <v>-4.637459659207579</v>
      </c>
      <c r="BF128" s="26">
        <f t="shared" si="296"/>
        <v>3.3286442493165538</v>
      </c>
      <c r="BG128" s="26">
        <f t="shared" si="296"/>
        <v>-13.011288070292096</v>
      </c>
      <c r="BH128" s="26">
        <f t="shared" si="296"/>
        <v>-3.3815877884393188</v>
      </c>
      <c r="BI128" s="26">
        <f t="shared" si="297"/>
        <v>-16.392875858731415</v>
      </c>
      <c r="BO128" t="str">
        <f t="shared" si="309"/>
        <v>34 Culture, media and sports occupations</v>
      </c>
      <c r="BP128" s="26">
        <f t="shared" si="298"/>
        <v>-6.8959545267323605</v>
      </c>
      <c r="BQ128" s="26">
        <f t="shared" si="298"/>
        <v>-3.4782948924601982</v>
      </c>
      <c r="BR128" s="26">
        <f t="shared" si="298"/>
        <v>-11.063315093988997</v>
      </c>
      <c r="BS128" s="26">
        <f t="shared" si="298"/>
        <v>-13.603847829771546</v>
      </c>
      <c r="BT128" s="26">
        <f t="shared" si="299"/>
        <v>-24.667162923760543</v>
      </c>
      <c r="BZ128" t="str">
        <f t="shared" si="310"/>
        <v>34 Culture, media and sports occupations</v>
      </c>
      <c r="CA128" s="67">
        <f t="shared" si="300"/>
        <v>-3.1153946558256607</v>
      </c>
      <c r="CB128" s="67">
        <f t="shared" si="300"/>
        <v>-2.2841319360137575</v>
      </c>
      <c r="CC128" s="67">
        <f t="shared" si="300"/>
        <v>-7.3487656191559019</v>
      </c>
      <c r="CD128" s="67">
        <f t="shared" si="300"/>
        <v>-11.231164966702785</v>
      </c>
      <c r="CE128" s="67">
        <f t="shared" si="301"/>
        <v>-18.579930585858687</v>
      </c>
      <c r="CK128" t="str">
        <f t="shared" si="311"/>
        <v>34 Culture, media and sports occupations</v>
      </c>
      <c r="CL128" s="67">
        <f t="shared" si="302"/>
        <v>2.0888852643315463</v>
      </c>
      <c r="CM128" s="67">
        <f t="shared" si="302"/>
        <v>-1.6246893364565409</v>
      </c>
      <c r="CN128" s="67">
        <f t="shared" si="302"/>
        <v>-0.59983538031963413</v>
      </c>
      <c r="CO128" s="67">
        <f t="shared" si="302"/>
        <v>-0.41902783409575228</v>
      </c>
      <c r="CP128" s="67">
        <f t="shared" si="303"/>
        <v>-1.0188632144153864</v>
      </c>
    </row>
    <row r="129" spans="1:94" x14ac:dyDescent="0.3">
      <c r="A129" t="str">
        <f t="shared" si="285"/>
        <v>35 Business and public service associate professionals</v>
      </c>
      <c r="B129" s="26">
        <f t="shared" si="286"/>
        <v>7.6907171503054315</v>
      </c>
      <c r="C129" s="26">
        <f t="shared" si="286"/>
        <v>1.5962471543416754</v>
      </c>
      <c r="D129" s="26">
        <f t="shared" si="286"/>
        <v>9.6069003888300983</v>
      </c>
      <c r="E129" s="26">
        <f t="shared" si="286"/>
        <v>21.867261818026819</v>
      </c>
      <c r="F129" s="26">
        <f t="shared" si="287"/>
        <v>31.474162206856917</v>
      </c>
      <c r="L129" t="str">
        <f t="shared" si="304"/>
        <v>35 Business and public service associate professionals</v>
      </c>
      <c r="M129" s="26">
        <f t="shared" si="288"/>
        <v>81.137277282119499</v>
      </c>
      <c r="N129" s="26">
        <f t="shared" si="288"/>
        <v>15.659078036627932</v>
      </c>
      <c r="O129" s="26">
        <f t="shared" si="288"/>
        <v>79.936011406301418</v>
      </c>
      <c r="P129" s="26">
        <f t="shared" si="288"/>
        <v>166.1302442131597</v>
      </c>
      <c r="Q129" s="26">
        <f t="shared" si="289"/>
        <v>246.06625561946112</v>
      </c>
      <c r="W129" t="str">
        <f t="shared" si="305"/>
        <v>35 Business and public service associate professionals</v>
      </c>
      <c r="X129" s="26">
        <f t="shared" si="290"/>
        <v>38.36759018991529</v>
      </c>
      <c r="Y129" s="26">
        <f t="shared" si="290"/>
        <v>22.026050618447357</v>
      </c>
      <c r="Z129" s="26">
        <f t="shared" si="290"/>
        <v>-20.295396460803772</v>
      </c>
      <c r="AA129" s="26">
        <f t="shared" si="290"/>
        <v>19.164718780099406</v>
      </c>
      <c r="AB129" s="26">
        <f t="shared" si="291"/>
        <v>-1.1306776807043661</v>
      </c>
      <c r="AH129" t="str">
        <f t="shared" si="306"/>
        <v>35 Business and public service associate professionals</v>
      </c>
      <c r="AI129" s="26">
        <f t="shared" si="292"/>
        <v>9.0410105039322843</v>
      </c>
      <c r="AJ129" s="26">
        <f t="shared" si="292"/>
        <v>15.952417256565155</v>
      </c>
      <c r="AK129" s="26">
        <f t="shared" si="292"/>
        <v>-4.3303352261154657</v>
      </c>
      <c r="AL129" s="26">
        <f t="shared" si="292"/>
        <v>14.901454968032795</v>
      </c>
      <c r="AM129" s="26">
        <f t="shared" si="293"/>
        <v>10.571119741917329</v>
      </c>
      <c r="AS129" t="str">
        <f t="shared" si="307"/>
        <v>35 Business and public service associate professionals</v>
      </c>
      <c r="AT129" s="26">
        <f t="shared" si="294"/>
        <v>5.9500708399770303</v>
      </c>
      <c r="AU129" s="26">
        <f t="shared" si="294"/>
        <v>10.092800006615846</v>
      </c>
      <c r="AV129" s="26">
        <f t="shared" si="294"/>
        <v>-6.8123637810053879</v>
      </c>
      <c r="AW129" s="26">
        <f t="shared" si="294"/>
        <v>9.629962887724389</v>
      </c>
      <c r="AX129" s="26">
        <f t="shared" si="295"/>
        <v>2.8175991067190012</v>
      </c>
      <c r="BD129" t="str">
        <f t="shared" si="308"/>
        <v>35 Business and public service associate professionals</v>
      </c>
      <c r="BE129" s="26">
        <f t="shared" si="296"/>
        <v>12.296475865678246</v>
      </c>
      <c r="BF129" s="26">
        <f t="shared" si="296"/>
        <v>17.490799973952676</v>
      </c>
      <c r="BG129" s="26">
        <f t="shared" si="296"/>
        <v>-46.118959944979849</v>
      </c>
      <c r="BH129" s="26">
        <f t="shared" si="296"/>
        <v>-24.06424207574247</v>
      </c>
      <c r="BI129" s="26">
        <f t="shared" si="297"/>
        <v>-70.18320202072232</v>
      </c>
      <c r="BO129" t="str">
        <f t="shared" si="309"/>
        <v>35 Business and public service associate professionals</v>
      </c>
      <c r="BP129" s="26">
        <f t="shared" si="298"/>
        <v>2.3533636746050774</v>
      </c>
      <c r="BQ129" s="26">
        <f t="shared" si="298"/>
        <v>-3.1822360580652003</v>
      </c>
      <c r="BR129" s="26">
        <f t="shared" si="298"/>
        <v>-47.394930134041829</v>
      </c>
      <c r="BS129" s="26">
        <f t="shared" si="298"/>
        <v>-56.457222027322274</v>
      </c>
      <c r="BT129" s="26">
        <f t="shared" si="299"/>
        <v>-103.8521521613641</v>
      </c>
      <c r="BZ129" t="str">
        <f t="shared" si="310"/>
        <v>35 Business and public service associate professionals</v>
      </c>
      <c r="CA129" s="67">
        <f t="shared" si="300"/>
        <v>-1.7074192441903051</v>
      </c>
      <c r="CB129" s="67">
        <f t="shared" si="300"/>
        <v>-7.5389670491744312</v>
      </c>
      <c r="CC129" s="67">
        <f t="shared" si="300"/>
        <v>-33.473693503204629</v>
      </c>
      <c r="CD129" s="67">
        <f t="shared" si="300"/>
        <v>-54.711703954676267</v>
      </c>
      <c r="CE129" s="67">
        <f t="shared" si="301"/>
        <v>-88.185397457880896</v>
      </c>
      <c r="CK129" t="str">
        <f t="shared" si="311"/>
        <v>35 Business and public service associate professionals</v>
      </c>
      <c r="CL129" s="67">
        <f t="shared" si="302"/>
        <v>2.7806052435852777</v>
      </c>
      <c r="CM129" s="67">
        <f t="shared" si="302"/>
        <v>-3.2854122346051611</v>
      </c>
      <c r="CN129" s="67">
        <f t="shared" si="302"/>
        <v>-5.7502201548007434</v>
      </c>
      <c r="CO129" s="67">
        <f t="shared" si="302"/>
        <v>4.5651457767778183</v>
      </c>
      <c r="CP129" s="67">
        <f t="shared" si="303"/>
        <v>-1.1850743780229251</v>
      </c>
    </row>
    <row r="130" spans="1:94" x14ac:dyDescent="0.3">
      <c r="A130" t="str">
        <f t="shared" si="285"/>
        <v>41 Administrative occupations</v>
      </c>
      <c r="B130" s="26">
        <f t="shared" si="286"/>
        <v>3.4249435874167435</v>
      </c>
      <c r="C130" s="26">
        <f t="shared" si="286"/>
        <v>1.5622920474893434</v>
      </c>
      <c r="D130" s="26">
        <f t="shared" si="286"/>
        <v>5.3245616641234008</v>
      </c>
      <c r="E130" s="26">
        <f t="shared" si="286"/>
        <v>13.32418338970971</v>
      </c>
      <c r="F130" s="26">
        <f t="shared" si="287"/>
        <v>18.64874505383311</v>
      </c>
      <c r="L130" t="str">
        <f t="shared" si="304"/>
        <v>41 Administrative occupations</v>
      </c>
      <c r="M130" s="26">
        <f t="shared" si="288"/>
        <v>42.198322618939784</v>
      </c>
      <c r="N130" s="26">
        <f t="shared" si="288"/>
        <v>17.183776304498309</v>
      </c>
      <c r="O130" s="26">
        <f t="shared" si="288"/>
        <v>53.945227282183311</v>
      </c>
      <c r="P130" s="26">
        <f t="shared" si="288"/>
        <v>120.20193441263433</v>
      </c>
      <c r="Q130" s="26">
        <f t="shared" si="289"/>
        <v>174.14716169481764</v>
      </c>
      <c r="W130" t="str">
        <f t="shared" si="305"/>
        <v>41 Administrative occupations</v>
      </c>
      <c r="X130" s="26">
        <f t="shared" si="290"/>
        <v>21.482852876009474</v>
      </c>
      <c r="Y130" s="26">
        <f t="shared" si="290"/>
        <v>57.034805830702794</v>
      </c>
      <c r="Z130" s="26">
        <f t="shared" si="290"/>
        <v>24.158922374281133</v>
      </c>
      <c r="AA130" s="26">
        <f t="shared" si="290"/>
        <v>98.471353598660585</v>
      </c>
      <c r="AB130" s="26">
        <f t="shared" si="291"/>
        <v>122.63027597294172</v>
      </c>
      <c r="AH130" t="str">
        <f t="shared" si="306"/>
        <v>41 Administrative occupations</v>
      </c>
      <c r="AI130" s="26">
        <f t="shared" si="292"/>
        <v>9.9708004448552856</v>
      </c>
      <c r="AJ130" s="26">
        <f t="shared" si="292"/>
        <v>21.248054856097497</v>
      </c>
      <c r="AK130" s="26">
        <f t="shared" si="292"/>
        <v>2.2216695190857081</v>
      </c>
      <c r="AL130" s="26">
        <f t="shared" si="292"/>
        <v>29.262626607914655</v>
      </c>
      <c r="AM130" s="26">
        <f t="shared" si="293"/>
        <v>31.484296127000363</v>
      </c>
      <c r="AS130" t="str">
        <f t="shared" si="307"/>
        <v>41 Administrative occupations</v>
      </c>
      <c r="AT130" s="26">
        <f t="shared" si="294"/>
        <v>5.4191194966154512</v>
      </c>
      <c r="AU130" s="26">
        <f t="shared" si="294"/>
        <v>20.538379419129228</v>
      </c>
      <c r="AV130" s="26">
        <f t="shared" si="294"/>
        <v>-4.0032522419134295</v>
      </c>
      <c r="AW130" s="26">
        <f t="shared" si="294"/>
        <v>27.489161960283582</v>
      </c>
      <c r="AX130" s="26">
        <f t="shared" si="295"/>
        <v>23.485909718370152</v>
      </c>
      <c r="BD130" t="str">
        <f t="shared" si="308"/>
        <v>41 Administrative occupations</v>
      </c>
      <c r="BE130" s="26">
        <f t="shared" si="296"/>
        <v>-11.820505942763361</v>
      </c>
      <c r="BF130" s="26">
        <f t="shared" si="296"/>
        <v>32.305323152002757</v>
      </c>
      <c r="BG130" s="26">
        <f t="shared" si="296"/>
        <v>-79.44355750622492</v>
      </c>
      <c r="BH130" s="26">
        <f t="shared" si="296"/>
        <v>-101.66664105231519</v>
      </c>
      <c r="BI130" s="26">
        <f t="shared" si="297"/>
        <v>-181.11019855854011</v>
      </c>
      <c r="BO130" t="str">
        <f t="shared" si="309"/>
        <v>41 Administrative occupations</v>
      </c>
      <c r="BP130" s="26">
        <f t="shared" si="298"/>
        <v>-53.734716228511502</v>
      </c>
      <c r="BQ130" s="26">
        <f t="shared" si="298"/>
        <v>4.3274595357540875</v>
      </c>
      <c r="BR130" s="26">
        <f t="shared" si="298"/>
        <v>-120.29350219148682</v>
      </c>
      <c r="BS130" s="26">
        <f t="shared" si="298"/>
        <v>-182.75200525037786</v>
      </c>
      <c r="BT130" s="26">
        <f t="shared" si="299"/>
        <v>-303.04550744186469</v>
      </c>
      <c r="BZ130" t="str">
        <f t="shared" si="310"/>
        <v>41 Administrative occupations</v>
      </c>
      <c r="CA130" s="67">
        <f t="shared" si="300"/>
        <v>-53.970708211593319</v>
      </c>
      <c r="CB130" s="67">
        <f t="shared" si="300"/>
        <v>-20.501379060829777</v>
      </c>
      <c r="CC130" s="67">
        <f t="shared" si="300"/>
        <v>-103.19371065521233</v>
      </c>
      <c r="CD130" s="67">
        <f t="shared" si="300"/>
        <v>-134.39694720864335</v>
      </c>
      <c r="CE130" s="67">
        <f t="shared" si="301"/>
        <v>-237.59065786385568</v>
      </c>
      <c r="CK130" t="str">
        <f t="shared" si="311"/>
        <v>41 Administrative occupations</v>
      </c>
      <c r="CL130" s="67">
        <f t="shared" si="302"/>
        <v>-10.111379324656355</v>
      </c>
      <c r="CM130" s="67">
        <f t="shared" si="302"/>
        <v>-4.0099260309223013</v>
      </c>
      <c r="CN130" s="67">
        <f t="shared" si="302"/>
        <v>-18.280965290201124</v>
      </c>
      <c r="CO130" s="67">
        <f t="shared" si="302"/>
        <v>-11.705910435276479</v>
      </c>
      <c r="CP130" s="67">
        <f t="shared" si="303"/>
        <v>-29.986875725477603</v>
      </c>
    </row>
    <row r="131" spans="1:94" x14ac:dyDescent="0.3">
      <c r="A131" t="str">
        <f t="shared" si="285"/>
        <v>42 Secretarial and related occupations</v>
      </c>
      <c r="B131" s="26">
        <f t="shared" si="286"/>
        <v>0.42495793187244213</v>
      </c>
      <c r="C131" s="26">
        <f t="shared" si="286"/>
        <v>-3.9110383139809191E-2</v>
      </c>
      <c r="D131" s="26">
        <f t="shared" si="286"/>
        <v>1.1460831364810891</v>
      </c>
      <c r="E131" s="26">
        <f t="shared" si="286"/>
        <v>2.6405822516109798</v>
      </c>
      <c r="F131" s="26">
        <f t="shared" si="287"/>
        <v>3.7866653880920689</v>
      </c>
      <c r="L131" t="str">
        <f t="shared" si="304"/>
        <v>42 Secretarial and related occupations</v>
      </c>
      <c r="M131" s="26">
        <f t="shared" si="288"/>
        <v>5.2320262803014685</v>
      </c>
      <c r="N131" s="26">
        <f t="shared" si="288"/>
        <v>1.1270273250376732</v>
      </c>
      <c r="O131" s="26">
        <f t="shared" si="288"/>
        <v>21.795324343699384</v>
      </c>
      <c r="P131" s="26">
        <f t="shared" si="288"/>
        <v>19.916542897685318</v>
      </c>
      <c r="Q131" s="26">
        <f t="shared" si="289"/>
        <v>41.711867241384702</v>
      </c>
      <c r="W131" t="str">
        <f t="shared" si="305"/>
        <v>42 Secretarial and related occupations</v>
      </c>
      <c r="X131" s="26">
        <f t="shared" si="290"/>
        <v>1.3892721899624121</v>
      </c>
      <c r="Y131" s="26">
        <f t="shared" si="290"/>
        <v>4.8790315664261641</v>
      </c>
      <c r="Z131" s="26">
        <f t="shared" si="290"/>
        <v>49.378599679392281</v>
      </c>
      <c r="AA131" s="26">
        <f t="shared" si="290"/>
        <v>60.9268718281742</v>
      </c>
      <c r="AB131" s="26">
        <f t="shared" si="291"/>
        <v>110.30547150756648</v>
      </c>
      <c r="AH131" t="str">
        <f t="shared" si="306"/>
        <v>42 Secretarial and related occupations</v>
      </c>
      <c r="AI131" s="26">
        <f t="shared" si="292"/>
        <v>-0.75158498771724425</v>
      </c>
      <c r="AJ131" s="26">
        <f t="shared" si="292"/>
        <v>4.5974582942501527</v>
      </c>
      <c r="AK131" s="26">
        <f t="shared" si="292"/>
        <v>16.936030160656564</v>
      </c>
      <c r="AL131" s="26">
        <f t="shared" si="292"/>
        <v>8.260466844427313</v>
      </c>
      <c r="AM131" s="26">
        <f t="shared" si="293"/>
        <v>25.196497005083877</v>
      </c>
      <c r="AS131" t="str">
        <f t="shared" si="307"/>
        <v>42 Secretarial and related occupations</v>
      </c>
      <c r="AT131" s="26">
        <f t="shared" si="294"/>
        <v>-2.394390377871126</v>
      </c>
      <c r="AU131" s="26">
        <f t="shared" si="294"/>
        <v>2.8396326956178939</v>
      </c>
      <c r="AV131" s="26">
        <f t="shared" si="294"/>
        <v>8.8220805740474404</v>
      </c>
      <c r="AW131" s="26">
        <f t="shared" si="294"/>
        <v>-0.98883409151144974</v>
      </c>
      <c r="AX131" s="26">
        <f t="shared" si="295"/>
        <v>7.8332464825359907</v>
      </c>
      <c r="BD131" t="str">
        <f t="shared" si="308"/>
        <v>42 Secretarial and related occupations</v>
      </c>
      <c r="BE131" s="26">
        <f t="shared" si="296"/>
        <v>-11.905968034291718</v>
      </c>
      <c r="BF131" s="26">
        <f t="shared" si="296"/>
        <v>-0.55086151605448208</v>
      </c>
      <c r="BG131" s="26">
        <f t="shared" si="296"/>
        <v>9.6444754096380478</v>
      </c>
      <c r="BH131" s="26">
        <f t="shared" si="296"/>
        <v>-83.078137723487373</v>
      </c>
      <c r="BI131" s="26">
        <f t="shared" si="297"/>
        <v>-73.433662313849311</v>
      </c>
      <c r="BO131" t="str">
        <f t="shared" si="309"/>
        <v>42 Secretarial and related occupations</v>
      </c>
      <c r="BP131" s="26">
        <f t="shared" si="298"/>
        <v>-34.848413672866002</v>
      </c>
      <c r="BQ131" s="26">
        <f t="shared" si="298"/>
        <v>-10.440680188299581</v>
      </c>
      <c r="BR131" s="26">
        <f t="shared" si="298"/>
        <v>-27.284179067319656</v>
      </c>
      <c r="BS131" s="26">
        <f t="shared" si="298"/>
        <v>-83.108344728127022</v>
      </c>
      <c r="BT131" s="26">
        <f t="shared" si="299"/>
        <v>-110.39252379544668</v>
      </c>
      <c r="BZ131" t="str">
        <f t="shared" si="310"/>
        <v>42 Secretarial and related occupations</v>
      </c>
      <c r="CA131" s="67">
        <f t="shared" si="300"/>
        <v>-18.252998174311415</v>
      </c>
      <c r="CB131" s="67">
        <f t="shared" si="300"/>
        <v>-15.486463216355915</v>
      </c>
      <c r="CC131" s="67">
        <f t="shared" si="300"/>
        <v>-51.464614689643369</v>
      </c>
      <c r="CD131" s="67">
        <f t="shared" si="300"/>
        <v>-58.230660377795736</v>
      </c>
      <c r="CE131" s="67">
        <f t="shared" si="301"/>
        <v>-109.6952750674391</v>
      </c>
      <c r="CK131" t="str">
        <f t="shared" si="311"/>
        <v>42 Secretarial and related occupations</v>
      </c>
      <c r="CL131" s="67">
        <f t="shared" si="302"/>
        <v>0.16034773062816043</v>
      </c>
      <c r="CM131" s="67">
        <f t="shared" si="302"/>
        <v>-2.3960918493178553</v>
      </c>
      <c r="CN131" s="67">
        <f t="shared" si="302"/>
        <v>2.5297123482108717</v>
      </c>
      <c r="CO131" s="67">
        <f t="shared" si="302"/>
        <v>-3.2856198086207584</v>
      </c>
      <c r="CP131" s="67">
        <f t="shared" si="303"/>
        <v>-0.75590746040988677</v>
      </c>
    </row>
    <row r="132" spans="1:94" x14ac:dyDescent="0.3">
      <c r="A132" t="str">
        <f t="shared" si="285"/>
        <v>51 Skilled agricultural and related trades</v>
      </c>
      <c r="B132" s="26">
        <f t="shared" si="286"/>
        <v>0.32181916005733802</v>
      </c>
      <c r="C132" s="26">
        <f t="shared" si="286"/>
        <v>0.25177743897234128</v>
      </c>
      <c r="D132" s="26">
        <f t="shared" si="286"/>
        <v>0.41395202449630908</v>
      </c>
      <c r="E132" s="26">
        <f t="shared" si="286"/>
        <v>1.1254407542533085</v>
      </c>
      <c r="F132" s="26">
        <f t="shared" si="287"/>
        <v>1.5393927787496176</v>
      </c>
      <c r="L132" t="str">
        <f t="shared" si="304"/>
        <v>51 Skilled agricultural and related trades</v>
      </c>
      <c r="M132" s="26">
        <f t="shared" si="288"/>
        <v>1.1159994951314651</v>
      </c>
      <c r="N132" s="26">
        <f t="shared" si="288"/>
        <v>-0.6278087683477942</v>
      </c>
      <c r="O132" s="26">
        <f t="shared" si="288"/>
        <v>1.3256082577829273</v>
      </c>
      <c r="P132" s="26">
        <f t="shared" si="288"/>
        <v>4.2534982374783308</v>
      </c>
      <c r="Q132" s="26">
        <f t="shared" si="289"/>
        <v>5.5791064952612581</v>
      </c>
      <c r="W132" t="str">
        <f t="shared" si="305"/>
        <v>51 Skilled agricultural and related trades</v>
      </c>
      <c r="X132" s="26">
        <f t="shared" si="290"/>
        <v>2.7924544079824258</v>
      </c>
      <c r="Y132" s="26">
        <f t="shared" si="290"/>
        <v>3.6893577902076231</v>
      </c>
      <c r="Z132" s="26">
        <f t="shared" si="290"/>
        <v>9.7343688452842585</v>
      </c>
      <c r="AA132" s="26">
        <f t="shared" si="290"/>
        <v>27.350407408673291</v>
      </c>
      <c r="AB132" s="26">
        <f t="shared" si="291"/>
        <v>37.08477625395755</v>
      </c>
      <c r="AH132" t="str">
        <f t="shared" si="306"/>
        <v>51 Skilled agricultural and related trades</v>
      </c>
      <c r="AI132" s="26">
        <f t="shared" si="292"/>
        <v>2.668338046479608</v>
      </c>
      <c r="AJ132" s="26">
        <f t="shared" si="292"/>
        <v>-1.1240428538982599</v>
      </c>
      <c r="AK132" s="26">
        <f t="shared" si="292"/>
        <v>4.5610400095182477</v>
      </c>
      <c r="AL132" s="26">
        <f t="shared" si="292"/>
        <v>10.310305614679329</v>
      </c>
      <c r="AM132" s="26">
        <f t="shared" si="293"/>
        <v>14.871345624197577</v>
      </c>
      <c r="AS132" t="str">
        <f t="shared" si="307"/>
        <v>51 Skilled agricultural and related trades</v>
      </c>
      <c r="AT132" s="26">
        <f t="shared" si="294"/>
        <v>2.8587987235173387</v>
      </c>
      <c r="AU132" s="26">
        <f t="shared" si="294"/>
        <v>-1.3135309241590463</v>
      </c>
      <c r="AV132" s="26">
        <f t="shared" si="294"/>
        <v>4.8966913910767644</v>
      </c>
      <c r="AW132" s="26">
        <f t="shared" si="294"/>
        <v>15.679212122410306</v>
      </c>
      <c r="AX132" s="26">
        <f t="shared" si="295"/>
        <v>20.57590351348707</v>
      </c>
      <c r="BD132" t="str">
        <f t="shared" si="308"/>
        <v>51 Skilled agricultural and related trades</v>
      </c>
      <c r="BE132" s="26">
        <f t="shared" si="296"/>
        <v>-1.6744702273122414E-2</v>
      </c>
      <c r="BF132" s="26">
        <f t="shared" si="296"/>
        <v>-6.6095032391158881</v>
      </c>
      <c r="BG132" s="26">
        <f t="shared" si="296"/>
        <v>-2.0019636552997468</v>
      </c>
      <c r="BH132" s="26">
        <f t="shared" si="296"/>
        <v>-0.61784223391283888</v>
      </c>
      <c r="BI132" s="26">
        <f t="shared" si="297"/>
        <v>-2.6198058892125857</v>
      </c>
      <c r="BO132" t="str">
        <f t="shared" si="309"/>
        <v>51 Skilled agricultural and related trades</v>
      </c>
      <c r="BP132" s="26">
        <f t="shared" si="298"/>
        <v>0.14784822113881546</v>
      </c>
      <c r="BQ132" s="26">
        <f t="shared" si="298"/>
        <v>-11.541286277240388</v>
      </c>
      <c r="BR132" s="26">
        <f t="shared" si="298"/>
        <v>-3.2800018702896807</v>
      </c>
      <c r="BS132" s="26">
        <f t="shared" si="298"/>
        <v>-3.4212133073245212</v>
      </c>
      <c r="BT132" s="26">
        <f t="shared" si="299"/>
        <v>-6.7012151776142019</v>
      </c>
      <c r="BZ132" t="str">
        <f t="shared" si="310"/>
        <v>51 Skilled agricultural and related trades</v>
      </c>
      <c r="CA132" s="67">
        <f t="shared" si="300"/>
        <v>-4.8633600158695316</v>
      </c>
      <c r="CB132" s="67">
        <f t="shared" si="300"/>
        <v>-5.8803929874467116</v>
      </c>
      <c r="CC132" s="67">
        <f t="shared" si="300"/>
        <v>-3.2572668260890083</v>
      </c>
      <c r="CD132" s="67">
        <f t="shared" si="300"/>
        <v>3.8193586117668303</v>
      </c>
      <c r="CE132" s="67">
        <f t="shared" si="301"/>
        <v>0.56209178567782203</v>
      </c>
      <c r="CK132" t="str">
        <f t="shared" si="311"/>
        <v>51 Skilled agricultural and related trades</v>
      </c>
      <c r="CL132" s="67">
        <f t="shared" si="302"/>
        <v>-1.315101267205165</v>
      </c>
      <c r="CM132" s="67">
        <f t="shared" si="302"/>
        <v>-8.8398355607158905</v>
      </c>
      <c r="CN132" s="67">
        <f t="shared" si="302"/>
        <v>-2.6396438107957962</v>
      </c>
      <c r="CO132" s="67">
        <f t="shared" si="302"/>
        <v>-21.229590764533366</v>
      </c>
      <c r="CP132" s="67">
        <f t="shared" si="303"/>
        <v>-23.869234575329163</v>
      </c>
    </row>
    <row r="133" spans="1:94" x14ac:dyDescent="0.3">
      <c r="A133" t="str">
        <f t="shared" si="285"/>
        <v>52 Skilled metal, electrical and electronic trades</v>
      </c>
      <c r="B133" s="26">
        <f t="shared" si="286"/>
        <v>0.29270872288664784</v>
      </c>
      <c r="C133" s="26">
        <f t="shared" si="286"/>
        <v>6.545294563877313E-2</v>
      </c>
      <c r="D133" s="26">
        <f t="shared" si="286"/>
        <v>0.45487614321541714</v>
      </c>
      <c r="E133" s="26">
        <f t="shared" si="286"/>
        <v>1.2433423675388386</v>
      </c>
      <c r="F133" s="26">
        <f t="shared" si="287"/>
        <v>1.6982185107542558</v>
      </c>
      <c r="L133" t="str">
        <f t="shared" si="304"/>
        <v>52 Skilled metal, electrical and electronic trades</v>
      </c>
      <c r="M133" s="26">
        <f t="shared" si="288"/>
        <v>7.1968395862490198</v>
      </c>
      <c r="N133" s="26">
        <f t="shared" si="288"/>
        <v>-3.9363124469637363</v>
      </c>
      <c r="O133" s="26">
        <f t="shared" si="288"/>
        <v>15.089485615127277</v>
      </c>
      <c r="P133" s="26">
        <f t="shared" si="288"/>
        <v>27.036300727957652</v>
      </c>
      <c r="Q133" s="26">
        <f t="shared" si="289"/>
        <v>42.125786343084926</v>
      </c>
      <c r="W133" t="str">
        <f t="shared" si="305"/>
        <v>52 Skilled metal, electrical and electronic trades</v>
      </c>
      <c r="X133" s="26">
        <f t="shared" si="290"/>
        <v>5.7079510317491895</v>
      </c>
      <c r="Y133" s="26">
        <f t="shared" si="290"/>
        <v>-10.638786817428041</v>
      </c>
      <c r="Z133" s="26">
        <f t="shared" si="290"/>
        <v>16.021660586934686</v>
      </c>
      <c r="AA133" s="26">
        <f t="shared" si="290"/>
        <v>22.870201855189734</v>
      </c>
      <c r="AB133" s="26">
        <f t="shared" si="291"/>
        <v>38.89186244212442</v>
      </c>
      <c r="AH133" t="str">
        <f t="shared" si="306"/>
        <v>52 Skilled metal, electrical and electronic trades</v>
      </c>
      <c r="AI133" s="26">
        <f t="shared" si="292"/>
        <v>1.2542015676295151</v>
      </c>
      <c r="AJ133" s="26">
        <f t="shared" si="292"/>
        <v>-2.173396738503115</v>
      </c>
      <c r="AK133" s="26">
        <f t="shared" si="292"/>
        <v>2.6552462634299978</v>
      </c>
      <c r="AL133" s="26">
        <f t="shared" si="292"/>
        <v>7.7459150736061062</v>
      </c>
      <c r="AM133" s="26">
        <f t="shared" si="293"/>
        <v>10.401161337036104</v>
      </c>
      <c r="AS133" t="str">
        <f t="shared" si="307"/>
        <v>52 Skilled metal, electrical and electronic trades</v>
      </c>
      <c r="AT133" s="26">
        <f t="shared" si="294"/>
        <v>1.8846954389245809</v>
      </c>
      <c r="AU133" s="26">
        <f t="shared" si="294"/>
        <v>-8.968289431346264</v>
      </c>
      <c r="AV133" s="26">
        <f t="shared" si="294"/>
        <v>8.5641522681390256</v>
      </c>
      <c r="AW133" s="26">
        <f t="shared" si="294"/>
        <v>22.884077850345946</v>
      </c>
      <c r="AX133" s="26">
        <f t="shared" si="295"/>
        <v>31.448230118484972</v>
      </c>
      <c r="BD133" t="str">
        <f t="shared" si="308"/>
        <v>52 Skilled metal, electrical and electronic trades</v>
      </c>
      <c r="BE133" s="26">
        <f t="shared" si="296"/>
        <v>10.667382178650087</v>
      </c>
      <c r="BF133" s="26">
        <f t="shared" si="296"/>
        <v>-59.554790472518619</v>
      </c>
      <c r="BG133" s="26">
        <f t="shared" si="296"/>
        <v>-16.308962667403478</v>
      </c>
      <c r="BH133" s="26">
        <f t="shared" si="296"/>
        <v>-37.430798808794464</v>
      </c>
      <c r="BI133" s="26">
        <f t="shared" si="297"/>
        <v>-53.739761476197941</v>
      </c>
      <c r="BO133" t="str">
        <f t="shared" si="309"/>
        <v>52 Skilled metal, electrical and electronic trades</v>
      </c>
      <c r="BP133" s="26">
        <f t="shared" si="298"/>
        <v>-0.51896391839051148</v>
      </c>
      <c r="BQ133" s="26">
        <f t="shared" si="298"/>
        <v>-38.563499990690673</v>
      </c>
      <c r="BR133" s="26">
        <f t="shared" si="298"/>
        <v>-24.057152130042539</v>
      </c>
      <c r="BS133" s="26">
        <f t="shared" si="298"/>
        <v>-44.292792003075647</v>
      </c>
      <c r="BT133" s="26">
        <f t="shared" si="299"/>
        <v>-68.349944133118186</v>
      </c>
      <c r="BZ133" t="str">
        <f t="shared" si="310"/>
        <v>52 Skilled metal, electrical and electronic trades</v>
      </c>
      <c r="CA133" s="67">
        <f t="shared" si="300"/>
        <v>-8.5322730487431215</v>
      </c>
      <c r="CB133" s="67">
        <f t="shared" si="300"/>
        <v>-23.159118442827051</v>
      </c>
      <c r="CC133" s="67">
        <f t="shared" si="300"/>
        <v>-9.4269032391015202</v>
      </c>
      <c r="CD133" s="67">
        <f t="shared" si="300"/>
        <v>-47.577923107583587</v>
      </c>
      <c r="CE133" s="67">
        <f t="shared" si="301"/>
        <v>-57.004826346685107</v>
      </c>
      <c r="CK133" t="str">
        <f t="shared" si="311"/>
        <v>52 Skilled metal, electrical and electronic trades</v>
      </c>
      <c r="CL133" s="67">
        <f t="shared" si="302"/>
        <v>1.3864688989923906</v>
      </c>
      <c r="CM133" s="67">
        <f t="shared" si="302"/>
        <v>-13.436668565872793</v>
      </c>
      <c r="CN133" s="67">
        <f t="shared" si="302"/>
        <v>-3.9391822860558037</v>
      </c>
      <c r="CO133" s="67">
        <f t="shared" si="302"/>
        <v>-13.346508577525974</v>
      </c>
      <c r="CP133" s="67">
        <f t="shared" si="303"/>
        <v>-17.285690863581777</v>
      </c>
    </row>
    <row r="134" spans="1:94" x14ac:dyDescent="0.3">
      <c r="A134" t="str">
        <f t="shared" si="285"/>
        <v>53 Skilled construction and building trades</v>
      </c>
      <c r="B134" s="26">
        <f t="shared" si="286"/>
        <v>-0.12330976190177945</v>
      </c>
      <c r="C134" s="26">
        <f t="shared" si="286"/>
        <v>-0.13113142300075087</v>
      </c>
      <c r="D134" s="26">
        <f t="shared" si="286"/>
        <v>0.29052439635570626</v>
      </c>
      <c r="E134" s="26">
        <f t="shared" si="286"/>
        <v>0.19716141255757214</v>
      </c>
      <c r="F134" s="26">
        <f t="shared" si="287"/>
        <v>0.4876858089132784</v>
      </c>
      <c r="L134" t="str">
        <f t="shared" si="304"/>
        <v>53 Skilled construction and building trades</v>
      </c>
      <c r="M134" s="26">
        <f t="shared" si="288"/>
        <v>2.2276956083417954</v>
      </c>
      <c r="N134" s="26">
        <f t="shared" si="288"/>
        <v>-2.2699222937233827</v>
      </c>
      <c r="O134" s="26">
        <f t="shared" si="288"/>
        <v>5.7006748854789215</v>
      </c>
      <c r="P134" s="26">
        <f t="shared" si="288"/>
        <v>10.27813832028054</v>
      </c>
      <c r="Q134" s="26">
        <f t="shared" si="289"/>
        <v>15.978813205759462</v>
      </c>
      <c r="W134" t="str">
        <f t="shared" si="305"/>
        <v>53 Skilled construction and building trades</v>
      </c>
      <c r="X134" s="26">
        <f t="shared" si="290"/>
        <v>-0.93705234456122355</v>
      </c>
      <c r="Y134" s="26">
        <f t="shared" si="290"/>
        <v>-5.2658563135864895</v>
      </c>
      <c r="Z134" s="26">
        <f t="shared" si="290"/>
        <v>9.4435242569783355</v>
      </c>
      <c r="AA134" s="26">
        <f t="shared" si="290"/>
        <v>8.9854690493470173</v>
      </c>
      <c r="AB134" s="26">
        <f t="shared" si="291"/>
        <v>18.428993306325353</v>
      </c>
      <c r="AH134" t="str">
        <f t="shared" si="306"/>
        <v>53 Skilled construction and building trades</v>
      </c>
      <c r="AI134" s="26">
        <f t="shared" si="292"/>
        <v>2.3295071866504138</v>
      </c>
      <c r="AJ134" s="26">
        <f t="shared" si="292"/>
        <v>-3.4153249817107678</v>
      </c>
      <c r="AK134" s="26">
        <f t="shared" si="292"/>
        <v>5.6378576137137557</v>
      </c>
      <c r="AL134" s="26">
        <f t="shared" si="292"/>
        <v>6.8875118444924652</v>
      </c>
      <c r="AM134" s="26">
        <f t="shared" si="293"/>
        <v>12.525369458206221</v>
      </c>
      <c r="AS134" t="str">
        <f t="shared" si="307"/>
        <v>53 Skilled construction and building trades</v>
      </c>
      <c r="AT134" s="26">
        <f t="shared" si="294"/>
        <v>-0.53573744808911528</v>
      </c>
      <c r="AU134" s="26">
        <f t="shared" si="294"/>
        <v>-3.969918871929714</v>
      </c>
      <c r="AV134" s="26">
        <f t="shared" si="294"/>
        <v>9.8068253232650306</v>
      </c>
      <c r="AW134" s="26">
        <f t="shared" si="294"/>
        <v>7.61124161570919</v>
      </c>
      <c r="AX134" s="26">
        <f t="shared" si="295"/>
        <v>17.418066938974221</v>
      </c>
      <c r="BD134" t="str">
        <f t="shared" si="308"/>
        <v>53 Skilled construction and building trades</v>
      </c>
      <c r="BE134" s="26">
        <f t="shared" si="296"/>
        <v>-15.205727340789849</v>
      </c>
      <c r="BF134" s="26">
        <f t="shared" si="296"/>
        <v>-52.292717858772903</v>
      </c>
      <c r="BG134" s="26">
        <f t="shared" si="296"/>
        <v>-0.29222722680327706</v>
      </c>
      <c r="BH134" s="26">
        <f t="shared" si="296"/>
        <v>-36.999438532854754</v>
      </c>
      <c r="BI134" s="26">
        <f t="shared" si="297"/>
        <v>-37.291665759658031</v>
      </c>
      <c r="BO134" t="str">
        <f t="shared" si="309"/>
        <v>53 Skilled construction and building trades</v>
      </c>
      <c r="BP134" s="26">
        <f t="shared" si="298"/>
        <v>18.242340423992857</v>
      </c>
      <c r="BQ134" s="26">
        <f t="shared" si="298"/>
        <v>-52.302377360122989</v>
      </c>
      <c r="BR134" s="26">
        <f t="shared" si="298"/>
        <v>24.095610922225944</v>
      </c>
      <c r="BS134" s="26">
        <f t="shared" si="298"/>
        <v>-5.7632200915353451</v>
      </c>
      <c r="BT134" s="26">
        <f t="shared" si="299"/>
        <v>18.332390830690599</v>
      </c>
      <c r="BZ134" t="str">
        <f t="shared" si="310"/>
        <v>53 Skilled construction and building trades</v>
      </c>
      <c r="CA134" s="67">
        <f t="shared" si="300"/>
        <v>-8.4840806438473919</v>
      </c>
      <c r="CB134" s="67">
        <f t="shared" si="300"/>
        <v>-28.673549212414571</v>
      </c>
      <c r="CC134" s="67">
        <f t="shared" si="300"/>
        <v>5.6174666158463538</v>
      </c>
      <c r="CD134" s="67">
        <f t="shared" si="300"/>
        <v>-12.459943891866004</v>
      </c>
      <c r="CE134" s="67">
        <f t="shared" si="301"/>
        <v>-6.8424772760196504</v>
      </c>
      <c r="CK134" t="str">
        <f t="shared" si="311"/>
        <v>53 Skilled construction and building trades</v>
      </c>
      <c r="CL134" s="67">
        <f t="shared" si="302"/>
        <v>-8.9948197413648217</v>
      </c>
      <c r="CM134" s="67">
        <f t="shared" si="302"/>
        <v>-23.392297248219549</v>
      </c>
      <c r="CN134" s="67">
        <f t="shared" si="302"/>
        <v>-16.253813788490525</v>
      </c>
      <c r="CO134" s="67">
        <f t="shared" si="302"/>
        <v>-36.600826686128002</v>
      </c>
      <c r="CP134" s="67">
        <f t="shared" si="303"/>
        <v>-52.85464047461852</v>
      </c>
    </row>
    <row r="135" spans="1:94" x14ac:dyDescent="0.3">
      <c r="A135" t="str">
        <f t="shared" si="285"/>
        <v>54 Textiles, printing and other skilled trades</v>
      </c>
      <c r="B135" s="26">
        <f t="shared" si="286"/>
        <v>0.18041847885821438</v>
      </c>
      <c r="C135" s="26">
        <f t="shared" si="286"/>
        <v>-1.4253503586790561E-2</v>
      </c>
      <c r="D135" s="26">
        <f t="shared" si="286"/>
        <v>1.0100002734079436</v>
      </c>
      <c r="E135" s="26">
        <f t="shared" si="286"/>
        <v>1.8089131033909505</v>
      </c>
      <c r="F135" s="26">
        <f t="shared" si="287"/>
        <v>2.8189133767988941</v>
      </c>
      <c r="L135" t="str">
        <f t="shared" si="304"/>
        <v>54 Textiles, printing and other skilled trades</v>
      </c>
      <c r="M135" s="26">
        <f t="shared" si="288"/>
        <v>4.7578625892762609</v>
      </c>
      <c r="N135" s="26">
        <f t="shared" si="288"/>
        <v>0.78908116244629056</v>
      </c>
      <c r="O135" s="26">
        <f t="shared" si="288"/>
        <v>10.923818442036819</v>
      </c>
      <c r="P135" s="26">
        <f t="shared" si="288"/>
        <v>25.618382301672732</v>
      </c>
      <c r="Q135" s="26">
        <f t="shared" si="289"/>
        <v>36.54220074370955</v>
      </c>
      <c r="W135" t="str">
        <f t="shared" si="305"/>
        <v>54 Textiles, printing and other skilled trades</v>
      </c>
      <c r="X135" s="26">
        <f t="shared" si="290"/>
        <v>0.2348060083609127</v>
      </c>
      <c r="Y135" s="26">
        <f t="shared" si="290"/>
        <v>-1.211770989342682</v>
      </c>
      <c r="Z135" s="26">
        <f t="shared" si="290"/>
        <v>13.73168583538471</v>
      </c>
      <c r="AA135" s="26">
        <f t="shared" si="290"/>
        <v>22.267818394273093</v>
      </c>
      <c r="AB135" s="26">
        <f t="shared" si="291"/>
        <v>35.999504229657802</v>
      </c>
      <c r="AH135" t="str">
        <f t="shared" si="306"/>
        <v>54 Textiles, printing and other skilled trades</v>
      </c>
      <c r="AI135" s="26">
        <f t="shared" si="292"/>
        <v>-1.1477219287415359</v>
      </c>
      <c r="AJ135" s="26">
        <f t="shared" si="292"/>
        <v>1.1344520969700369</v>
      </c>
      <c r="AK135" s="26">
        <f t="shared" si="292"/>
        <v>1.7412873773699147</v>
      </c>
      <c r="AL135" s="26">
        <f t="shared" si="292"/>
        <v>6.0125211238300338</v>
      </c>
      <c r="AM135" s="26">
        <f t="shared" si="293"/>
        <v>7.7538085011999485</v>
      </c>
      <c r="AS135" t="str">
        <f t="shared" si="307"/>
        <v>54 Textiles, printing and other skilled trades</v>
      </c>
      <c r="AT135" s="26">
        <f t="shared" si="294"/>
        <v>-1.245551472651016</v>
      </c>
      <c r="AU135" s="26">
        <f t="shared" si="294"/>
        <v>0.18836567501202239</v>
      </c>
      <c r="AV135" s="26">
        <f t="shared" si="294"/>
        <v>4.4673976204602361</v>
      </c>
      <c r="AW135" s="26">
        <f t="shared" si="294"/>
        <v>7.0579919678289542</v>
      </c>
      <c r="AX135" s="26">
        <f t="shared" si="295"/>
        <v>11.52538958828919</v>
      </c>
      <c r="BD135" t="str">
        <f t="shared" si="308"/>
        <v>54 Textiles, printing and other skilled trades</v>
      </c>
      <c r="BE135" s="26">
        <f t="shared" si="296"/>
        <v>-9.9660658933074728</v>
      </c>
      <c r="BF135" s="26">
        <f t="shared" si="296"/>
        <v>-12.048539052714546</v>
      </c>
      <c r="BG135" s="26">
        <f t="shared" si="296"/>
        <v>8.0812758116042005</v>
      </c>
      <c r="BH135" s="26">
        <f t="shared" si="296"/>
        <v>7.4371001906172296E-2</v>
      </c>
      <c r="BI135" s="26">
        <f t="shared" si="297"/>
        <v>8.1556468135103728</v>
      </c>
      <c r="BO135" t="str">
        <f t="shared" si="309"/>
        <v>54 Textiles, printing and other skilled trades</v>
      </c>
      <c r="BP135" s="26">
        <f t="shared" si="298"/>
        <v>-29.79958765273534</v>
      </c>
      <c r="BQ135" s="26">
        <f t="shared" si="298"/>
        <v>-9.0429388511199136</v>
      </c>
      <c r="BR135" s="26">
        <f t="shared" si="298"/>
        <v>-21.417389524533775</v>
      </c>
      <c r="BS135" s="26">
        <f t="shared" si="298"/>
        <v>-20.658185083851464</v>
      </c>
      <c r="BT135" s="26">
        <f t="shared" si="299"/>
        <v>-42.075574608385239</v>
      </c>
      <c r="BZ135" t="str">
        <f t="shared" si="310"/>
        <v>54 Textiles, printing and other skilled trades</v>
      </c>
      <c r="CA135" s="67">
        <f t="shared" si="300"/>
        <v>-18.222134325185806</v>
      </c>
      <c r="CB135" s="67">
        <f t="shared" si="300"/>
        <v>-11.62927211240148</v>
      </c>
      <c r="CC135" s="67">
        <f t="shared" si="300"/>
        <v>-4.1183128951958565</v>
      </c>
      <c r="CD135" s="67">
        <f t="shared" si="300"/>
        <v>-28.836722281039016</v>
      </c>
      <c r="CE135" s="67">
        <f t="shared" si="301"/>
        <v>-32.955035176234873</v>
      </c>
      <c r="CK135" t="str">
        <f t="shared" si="311"/>
        <v>54 Textiles, printing and other skilled trades</v>
      </c>
      <c r="CL135" s="67">
        <f t="shared" si="302"/>
        <v>-10.992330766181425</v>
      </c>
      <c r="CM135" s="67">
        <f t="shared" si="302"/>
        <v>-9.6196294111649863</v>
      </c>
      <c r="CN135" s="67">
        <f t="shared" si="302"/>
        <v>-16.020894000382619</v>
      </c>
      <c r="CO135" s="67">
        <f t="shared" si="302"/>
        <v>-12.009303007669018</v>
      </c>
      <c r="CP135" s="67">
        <f t="shared" si="303"/>
        <v>-28.030197008051637</v>
      </c>
    </row>
    <row r="136" spans="1:94" x14ac:dyDescent="0.3">
      <c r="A136" t="str">
        <f t="shared" si="285"/>
        <v>61 Caring personal service occupations</v>
      </c>
      <c r="B136" s="26">
        <f t="shared" si="286"/>
        <v>0.39410972447343839</v>
      </c>
      <c r="C136" s="26">
        <f t="shared" si="286"/>
        <v>-3.1693187280059654E-3</v>
      </c>
      <c r="D136" s="26">
        <f t="shared" si="286"/>
        <v>1.1326856592529406</v>
      </c>
      <c r="E136" s="26">
        <f t="shared" si="286"/>
        <v>2.1817816304895414</v>
      </c>
      <c r="F136" s="26">
        <f t="shared" si="287"/>
        <v>3.3144672897424821</v>
      </c>
      <c r="L136" t="str">
        <f t="shared" si="304"/>
        <v>61 Caring personal service occupations</v>
      </c>
      <c r="M136" s="26">
        <f t="shared" si="288"/>
        <v>29.561773152588287</v>
      </c>
      <c r="N136" s="26">
        <f t="shared" si="288"/>
        <v>-0.2656308552204365</v>
      </c>
      <c r="O136" s="26">
        <f t="shared" si="288"/>
        <v>49.609961632033674</v>
      </c>
      <c r="P136" s="26">
        <f t="shared" si="288"/>
        <v>98.275483083846041</v>
      </c>
      <c r="Q136" s="26">
        <f t="shared" si="289"/>
        <v>147.88544471587971</v>
      </c>
      <c r="W136" t="str">
        <f t="shared" si="305"/>
        <v>61 Caring personal service occupations</v>
      </c>
      <c r="X136" s="26">
        <f t="shared" si="290"/>
        <v>32.060391941082457</v>
      </c>
      <c r="Y136" s="26">
        <f t="shared" si="290"/>
        <v>6.3806155151433472</v>
      </c>
      <c r="Z136" s="26">
        <f t="shared" si="290"/>
        <v>61.932503535146282</v>
      </c>
      <c r="AA136" s="26">
        <f t="shared" si="290"/>
        <v>93.902747802477961</v>
      </c>
      <c r="AB136" s="26">
        <f t="shared" si="291"/>
        <v>155.83525133762424</v>
      </c>
      <c r="AH136" t="str">
        <f t="shared" si="306"/>
        <v>61 Caring personal service occupations</v>
      </c>
      <c r="AI136" s="26">
        <f t="shared" si="292"/>
        <v>-3.9528232933362517</v>
      </c>
      <c r="AJ136" s="26">
        <f t="shared" si="292"/>
        <v>5.4347926881728483</v>
      </c>
      <c r="AK136" s="26">
        <f t="shared" si="292"/>
        <v>16.12581270697342</v>
      </c>
      <c r="AL136" s="26">
        <f t="shared" si="292"/>
        <v>18.53588957911245</v>
      </c>
      <c r="AM136" s="26">
        <f t="shared" si="293"/>
        <v>34.66170228608587</v>
      </c>
      <c r="AS136" t="str">
        <f t="shared" si="307"/>
        <v>61 Caring personal service occupations</v>
      </c>
      <c r="AT136" s="26">
        <f t="shared" si="294"/>
        <v>10.11332539362428</v>
      </c>
      <c r="AU136" s="26">
        <f t="shared" si="294"/>
        <v>4.5650661005961979</v>
      </c>
      <c r="AV136" s="26">
        <f t="shared" si="294"/>
        <v>13.648775004954729</v>
      </c>
      <c r="AW136" s="26">
        <f t="shared" si="294"/>
        <v>22.540034489572832</v>
      </c>
      <c r="AX136" s="26">
        <f t="shared" si="295"/>
        <v>36.188809494527561</v>
      </c>
      <c r="BD136" t="str">
        <f t="shared" si="308"/>
        <v>61 Caring personal service occupations</v>
      </c>
      <c r="BE136" s="26">
        <f t="shared" si="296"/>
        <v>82.200502663043721</v>
      </c>
      <c r="BF136" s="26">
        <f t="shared" si="296"/>
        <v>-9.3695868642929554</v>
      </c>
      <c r="BG136" s="26">
        <f t="shared" si="296"/>
        <v>98.777474998892785</v>
      </c>
      <c r="BH136" s="26">
        <f t="shared" si="296"/>
        <v>138.23727637639581</v>
      </c>
      <c r="BI136" s="26">
        <f t="shared" si="297"/>
        <v>237.0147513752886</v>
      </c>
      <c r="BO136" t="str">
        <f t="shared" si="309"/>
        <v>61 Caring personal service occupations</v>
      </c>
      <c r="BP136" s="26">
        <f t="shared" si="298"/>
        <v>-20.979176464909756</v>
      </c>
      <c r="BQ136" s="26">
        <f t="shared" si="298"/>
        <v>-47.771894493629588</v>
      </c>
      <c r="BR136" s="26">
        <f t="shared" si="298"/>
        <v>-2.5008813202065312</v>
      </c>
      <c r="BS136" s="26">
        <f t="shared" si="298"/>
        <v>-114.53556475506593</v>
      </c>
      <c r="BT136" s="26">
        <f t="shared" si="299"/>
        <v>-117.03644607527247</v>
      </c>
      <c r="BZ136" t="str">
        <f t="shared" si="310"/>
        <v>61 Caring personal service occupations</v>
      </c>
      <c r="CA136" s="67">
        <f t="shared" si="300"/>
        <v>-77.616236215961237</v>
      </c>
      <c r="CB136" s="67">
        <f t="shared" si="300"/>
        <v>-15.928563783487107</v>
      </c>
      <c r="CC136" s="67">
        <f t="shared" si="300"/>
        <v>-23.48772002325741</v>
      </c>
      <c r="CD136" s="67">
        <f t="shared" si="300"/>
        <v>-11.761233182573214</v>
      </c>
      <c r="CE136" s="67">
        <f t="shared" si="301"/>
        <v>-35.248953205830624</v>
      </c>
      <c r="CK136" t="str">
        <f t="shared" si="311"/>
        <v>61 Caring personal service occupations</v>
      </c>
      <c r="CL136" s="67">
        <f t="shared" si="302"/>
        <v>-4.3402217167843773</v>
      </c>
      <c r="CM136" s="67">
        <f t="shared" si="302"/>
        <v>-2.8952619067217</v>
      </c>
      <c r="CN136" s="67">
        <f t="shared" si="302"/>
        <v>2.3787252969650226</v>
      </c>
      <c r="CO136" s="67">
        <f t="shared" si="302"/>
        <v>0.75403872114148029</v>
      </c>
      <c r="CP136" s="67">
        <f t="shared" si="303"/>
        <v>3.1327640181065028</v>
      </c>
    </row>
    <row r="137" spans="1:94" x14ac:dyDescent="0.3">
      <c r="A137" t="str">
        <f t="shared" si="285"/>
        <v>62 Leisure, travel and related personal service occupations</v>
      </c>
      <c r="B137" s="26">
        <f t="shared" si="286"/>
        <v>0.37763983847474991</v>
      </c>
      <c r="C137" s="26">
        <f t="shared" si="286"/>
        <v>5.7080918153584737E-2</v>
      </c>
      <c r="D137" s="26">
        <f t="shared" si="286"/>
        <v>0.51717045737231881</v>
      </c>
      <c r="E137" s="26">
        <f t="shared" si="286"/>
        <v>1.1264753444869173</v>
      </c>
      <c r="F137" s="26">
        <f t="shared" si="287"/>
        <v>1.6436458018592361</v>
      </c>
      <c r="L137" t="str">
        <f t="shared" si="304"/>
        <v>62 Leisure, travel and related personal service occupations</v>
      </c>
      <c r="M137" s="26">
        <f t="shared" si="288"/>
        <v>5.2697025055710718</v>
      </c>
      <c r="N137" s="26">
        <f t="shared" si="288"/>
        <v>-2.0374762148362535</v>
      </c>
      <c r="O137" s="26">
        <f t="shared" si="288"/>
        <v>6.8645919879376009</v>
      </c>
      <c r="P137" s="26">
        <f t="shared" si="288"/>
        <v>15.444591438542641</v>
      </c>
      <c r="Q137" s="26">
        <f t="shared" si="289"/>
        <v>22.309183426480242</v>
      </c>
      <c r="W137" t="str">
        <f t="shared" si="305"/>
        <v>62 Leisure, travel and related personal service occupations</v>
      </c>
      <c r="X137" s="26">
        <f t="shared" si="290"/>
        <v>16.234392549534036</v>
      </c>
      <c r="Y137" s="26">
        <f t="shared" si="290"/>
        <v>-4.4830324644951389</v>
      </c>
      <c r="Z137" s="26">
        <f t="shared" si="290"/>
        <v>19.550799665842845</v>
      </c>
      <c r="AA137" s="26">
        <f t="shared" si="290"/>
        <v>38.212696136547876</v>
      </c>
      <c r="AB137" s="26">
        <f t="shared" si="291"/>
        <v>57.763495802390722</v>
      </c>
      <c r="AH137" t="str">
        <f t="shared" si="306"/>
        <v>62 Leisure, travel and related personal service occupations</v>
      </c>
      <c r="AI137" s="26">
        <f t="shared" si="292"/>
        <v>10.160541539278334</v>
      </c>
      <c r="AJ137" s="26">
        <f t="shared" si="292"/>
        <v>-1.8983976987000801</v>
      </c>
      <c r="AK137" s="26">
        <f t="shared" si="292"/>
        <v>7.7959855549757222</v>
      </c>
      <c r="AL137" s="26">
        <f t="shared" si="292"/>
        <v>20.884815631975499</v>
      </c>
      <c r="AM137" s="26">
        <f t="shared" si="293"/>
        <v>28.680801186951221</v>
      </c>
      <c r="AS137" t="str">
        <f t="shared" si="307"/>
        <v>62 Leisure, travel and related personal service occupations</v>
      </c>
      <c r="AT137" s="26">
        <f t="shared" si="294"/>
        <v>12.928166367995466</v>
      </c>
      <c r="AU137" s="26">
        <f t="shared" si="294"/>
        <v>2.8562877776190447</v>
      </c>
      <c r="AV137" s="26">
        <f t="shared" si="294"/>
        <v>12.720373715290435</v>
      </c>
      <c r="AW137" s="26">
        <f t="shared" si="294"/>
        <v>32.801288503904658</v>
      </c>
      <c r="AX137" s="26">
        <f t="shared" si="295"/>
        <v>45.521662219195093</v>
      </c>
      <c r="BD137" t="str">
        <f t="shared" si="308"/>
        <v>62 Leisure, travel and related personal service occupations</v>
      </c>
      <c r="BE137" s="26">
        <f t="shared" si="296"/>
        <v>8.871341563430974</v>
      </c>
      <c r="BF137" s="26">
        <f t="shared" si="296"/>
        <v>-15.643537608838869</v>
      </c>
      <c r="BG137" s="26">
        <f t="shared" si="296"/>
        <v>-5.4486464684294447</v>
      </c>
      <c r="BH137" s="26">
        <f t="shared" si="296"/>
        <v>-12.615011027877784</v>
      </c>
      <c r="BI137" s="26">
        <f t="shared" si="297"/>
        <v>-18.063657496307229</v>
      </c>
      <c r="BO137" t="str">
        <f t="shared" si="309"/>
        <v>62 Leisure, travel and related personal service occupations</v>
      </c>
      <c r="BP137" s="26">
        <f t="shared" si="298"/>
        <v>2.3386604729078897</v>
      </c>
      <c r="BQ137" s="26">
        <f t="shared" si="298"/>
        <v>-21.639126862237475</v>
      </c>
      <c r="BR137" s="26">
        <f t="shared" si="298"/>
        <v>-17.016592127045811</v>
      </c>
      <c r="BS137" s="26">
        <f t="shared" si="298"/>
        <v>-35.026478515963518</v>
      </c>
      <c r="BT137" s="26">
        <f t="shared" si="299"/>
        <v>-52.04307064300933</v>
      </c>
      <c r="BZ137" t="str">
        <f t="shared" si="310"/>
        <v>62 Leisure, travel and related personal service occupations</v>
      </c>
      <c r="CA137" s="67">
        <f t="shared" si="300"/>
        <v>7.1601200703073431</v>
      </c>
      <c r="CB137" s="67">
        <f t="shared" si="300"/>
        <v>-15.205540515585284</v>
      </c>
      <c r="CC137" s="67">
        <f t="shared" si="300"/>
        <v>-3.5310322036252444</v>
      </c>
      <c r="CD137" s="67">
        <f t="shared" si="300"/>
        <v>-25.544583659080331</v>
      </c>
      <c r="CE137" s="67">
        <f t="shared" si="301"/>
        <v>-29.075615862705575</v>
      </c>
      <c r="CK137" t="str">
        <f t="shared" si="311"/>
        <v>62 Leisure, travel and related personal service occupations</v>
      </c>
      <c r="CL137" s="67">
        <f t="shared" si="302"/>
        <v>-3.5389032209324682</v>
      </c>
      <c r="CM137" s="67">
        <f t="shared" si="302"/>
        <v>-7.7364897261150389</v>
      </c>
      <c r="CN137" s="67">
        <f t="shared" si="302"/>
        <v>-7.2233143250581477</v>
      </c>
      <c r="CO137" s="67">
        <f t="shared" si="302"/>
        <v>-8.6944177666166453</v>
      </c>
      <c r="CP137" s="67">
        <f t="shared" si="303"/>
        <v>-15.917732091674793</v>
      </c>
    </row>
    <row r="138" spans="1:94" x14ac:dyDescent="0.3">
      <c r="A138" t="str">
        <f t="shared" si="285"/>
        <v>63 Community and civil enforcement occupations</v>
      </c>
      <c r="B138" s="26">
        <f t="shared" si="286"/>
        <v>9.573476083045887E-3</v>
      </c>
      <c r="C138" s="26">
        <f t="shared" si="286"/>
        <v>9.8854494023988271E-3</v>
      </c>
      <c r="D138" s="26">
        <f t="shared" si="286"/>
        <v>2.6977053896002481E-2</v>
      </c>
      <c r="E138" s="26">
        <f t="shared" si="286"/>
        <v>7.4140240900299775E-2</v>
      </c>
      <c r="F138" s="26">
        <f t="shared" si="287"/>
        <v>0.10111729479630226</v>
      </c>
      <c r="L138" t="str">
        <f t="shared" si="304"/>
        <v>63 Community and civil enforcement occupations</v>
      </c>
      <c r="M138" s="26">
        <f t="shared" si="288"/>
        <v>6.1782521471593466E-2</v>
      </c>
      <c r="N138" s="26">
        <f t="shared" si="288"/>
        <v>0.50174380714285549</v>
      </c>
      <c r="O138" s="26">
        <f t="shared" si="288"/>
        <v>9.2722890348049924E-2</v>
      </c>
      <c r="P138" s="26">
        <f t="shared" si="288"/>
        <v>1.3030242452497287</v>
      </c>
      <c r="Q138" s="26">
        <f t="shared" si="289"/>
        <v>1.3957471355977786</v>
      </c>
      <c r="W138" t="str">
        <f t="shared" si="305"/>
        <v>63 Community and civil enforcement occupations</v>
      </c>
      <c r="X138" s="26">
        <f t="shared" si="290"/>
        <v>0.30905503078517516</v>
      </c>
      <c r="Y138" s="26">
        <f t="shared" si="290"/>
        <v>0.81230595062696587</v>
      </c>
      <c r="Z138" s="26">
        <f t="shared" si="290"/>
        <v>0.73873468503283934</v>
      </c>
      <c r="AA138" s="26">
        <f t="shared" si="290"/>
        <v>1.8790493210348425</v>
      </c>
      <c r="AB138" s="26">
        <f t="shared" si="291"/>
        <v>2.6177840060676818</v>
      </c>
      <c r="AH138" t="str">
        <f t="shared" si="306"/>
        <v>63 Community and civil enforcement occupations</v>
      </c>
      <c r="AI138" s="26">
        <f t="shared" si="292"/>
        <v>-6.6166087384172734E-2</v>
      </c>
      <c r="AJ138" s="26">
        <f t="shared" si="292"/>
        <v>0.53234784036483251</v>
      </c>
      <c r="AK138" s="26">
        <f t="shared" si="292"/>
        <v>-0.21513653425292323</v>
      </c>
      <c r="AL138" s="26">
        <f t="shared" si="292"/>
        <v>0.45207427570273961</v>
      </c>
      <c r="AM138" s="26">
        <f t="shared" si="293"/>
        <v>0.23693774144981639</v>
      </c>
      <c r="AS138" t="str">
        <f t="shared" si="307"/>
        <v>63 Community and civil enforcement occupations</v>
      </c>
      <c r="AT138" s="26">
        <f t="shared" si="294"/>
        <v>-0.20971894605718377</v>
      </c>
      <c r="AU138" s="26">
        <f t="shared" si="294"/>
        <v>0.39382010125237743</v>
      </c>
      <c r="AV138" s="26">
        <f t="shared" si="294"/>
        <v>-0.33541212608755466</v>
      </c>
      <c r="AW138" s="26">
        <f t="shared" si="294"/>
        <v>0.11065347562130223</v>
      </c>
      <c r="AX138" s="26">
        <f t="shared" si="295"/>
        <v>-0.22475865046625243</v>
      </c>
      <c r="BD138" t="str">
        <f t="shared" si="308"/>
        <v>63 Community and civil enforcement occupations</v>
      </c>
      <c r="BE138" s="26">
        <f t="shared" si="296"/>
        <v>-1.8068417244815755</v>
      </c>
      <c r="BF138" s="26">
        <f t="shared" si="296"/>
        <v>1.8500172096172109</v>
      </c>
      <c r="BG138" s="26">
        <f t="shared" si="296"/>
        <v>-2.2309198932088035</v>
      </c>
      <c r="BH138" s="26">
        <f t="shared" si="296"/>
        <v>1.4368641262289206E-2</v>
      </c>
      <c r="BI138" s="26">
        <f t="shared" si="297"/>
        <v>-2.2165512519465143</v>
      </c>
      <c r="BO138" t="str">
        <f t="shared" si="309"/>
        <v>63 Community and civil enforcement occupations</v>
      </c>
      <c r="BP138" s="26">
        <f t="shared" si="298"/>
        <v>-1.2816443251872869</v>
      </c>
      <c r="BQ138" s="26">
        <f t="shared" si="298"/>
        <v>1.9043235322794487</v>
      </c>
      <c r="BR138" s="26">
        <f t="shared" si="298"/>
        <v>-2.4730422944621573</v>
      </c>
      <c r="BS138" s="26">
        <f t="shared" si="298"/>
        <v>-0.41651499683738535</v>
      </c>
      <c r="BT138" s="26">
        <f t="shared" si="299"/>
        <v>-2.8895572912995426</v>
      </c>
      <c r="BZ138" t="str">
        <f t="shared" si="310"/>
        <v>63 Community and civil enforcement occupations</v>
      </c>
      <c r="CA138" s="67">
        <f t="shared" si="300"/>
        <v>-0.85370684037021949</v>
      </c>
      <c r="CB138" s="67">
        <f t="shared" si="300"/>
        <v>1.4302865772876174</v>
      </c>
      <c r="CC138" s="67">
        <f t="shared" si="300"/>
        <v>-1.5538181162773421</v>
      </c>
      <c r="CD138" s="67">
        <f t="shared" si="300"/>
        <v>-0.90410222635734439</v>
      </c>
      <c r="CE138" s="67">
        <f t="shared" si="301"/>
        <v>-2.4579203426346865</v>
      </c>
      <c r="CK138" t="str">
        <f t="shared" si="311"/>
        <v>63 Community and civil enforcement occupations</v>
      </c>
      <c r="CL138" s="67">
        <f t="shared" si="302"/>
        <v>-0.83325150251111468</v>
      </c>
      <c r="CM138" s="67">
        <f t="shared" si="302"/>
        <v>0.51547665584508939</v>
      </c>
      <c r="CN138" s="67">
        <f t="shared" si="302"/>
        <v>-1.0985324139289061</v>
      </c>
      <c r="CO138" s="67">
        <f t="shared" si="302"/>
        <v>-0.27211440341797555</v>
      </c>
      <c r="CP138" s="67">
        <f t="shared" si="303"/>
        <v>-1.3706468173468815</v>
      </c>
    </row>
    <row r="139" spans="1:94" x14ac:dyDescent="0.3">
      <c r="A139" t="str">
        <f t="shared" si="285"/>
        <v>71 Sales occupations</v>
      </c>
      <c r="B139" s="26">
        <f t="shared" si="286"/>
        <v>0.84936744296196398</v>
      </c>
      <c r="C139" s="26">
        <f t="shared" si="286"/>
        <v>-0.58854350233296149</v>
      </c>
      <c r="D139" s="26">
        <f t="shared" si="286"/>
        <v>1.4414906863963139</v>
      </c>
      <c r="E139" s="26">
        <f t="shared" si="286"/>
        <v>3.2142151623489186</v>
      </c>
      <c r="F139" s="26">
        <f t="shared" si="287"/>
        <v>4.6557058487452325</v>
      </c>
      <c r="L139" t="str">
        <f t="shared" si="304"/>
        <v>71 Sales occupations</v>
      </c>
      <c r="M139" s="26">
        <f t="shared" si="288"/>
        <v>14.974369617501679</v>
      </c>
      <c r="N139" s="26">
        <f t="shared" si="288"/>
        <v>2.1373186752951909</v>
      </c>
      <c r="O139" s="26">
        <f t="shared" si="288"/>
        <v>24.883236854795626</v>
      </c>
      <c r="P139" s="26">
        <f t="shared" si="288"/>
        <v>70.834931282376331</v>
      </c>
      <c r="Q139" s="26">
        <f t="shared" si="289"/>
        <v>95.718168137171958</v>
      </c>
      <c r="W139" t="str">
        <f t="shared" si="305"/>
        <v>71 Sales occupations</v>
      </c>
      <c r="X139" s="26">
        <f t="shared" si="290"/>
        <v>12.342528715337153</v>
      </c>
      <c r="Y139" s="26">
        <f t="shared" si="290"/>
        <v>15.525084293447492</v>
      </c>
      <c r="Z139" s="26">
        <f t="shared" si="290"/>
        <v>25.371815141647517</v>
      </c>
      <c r="AA139" s="26">
        <f t="shared" si="290"/>
        <v>93.626273955737418</v>
      </c>
      <c r="AB139" s="26">
        <f t="shared" si="291"/>
        <v>118.99808909738493</v>
      </c>
      <c r="AH139" t="str">
        <f t="shared" si="306"/>
        <v>71 Sales occupations</v>
      </c>
      <c r="AI139" s="26">
        <f t="shared" si="292"/>
        <v>-0.29484140447245011</v>
      </c>
      <c r="AJ139" s="26">
        <f t="shared" si="292"/>
        <v>6.6707451685172856</v>
      </c>
      <c r="AK139" s="26">
        <f t="shared" si="292"/>
        <v>2.6863104066383841</v>
      </c>
      <c r="AL139" s="26">
        <f t="shared" si="292"/>
        <v>25.324497731150572</v>
      </c>
      <c r="AM139" s="26">
        <f t="shared" si="293"/>
        <v>28.010808137788956</v>
      </c>
      <c r="AS139" t="str">
        <f t="shared" si="307"/>
        <v>71 Sales occupations</v>
      </c>
      <c r="AT139" s="26">
        <f t="shared" si="294"/>
        <v>-2.8234466601383303</v>
      </c>
      <c r="AU139" s="26">
        <f t="shared" si="294"/>
        <v>3.1098760895004887</v>
      </c>
      <c r="AV139" s="26">
        <f t="shared" si="294"/>
        <v>-0.76884399096992695</v>
      </c>
      <c r="AW139" s="26">
        <f t="shared" si="294"/>
        <v>15.671966670821206</v>
      </c>
      <c r="AX139" s="26">
        <f t="shared" si="295"/>
        <v>14.903122679851279</v>
      </c>
      <c r="BD139" t="str">
        <f t="shared" si="308"/>
        <v>71 Sales occupations</v>
      </c>
      <c r="BE139" s="26">
        <f t="shared" si="296"/>
        <v>-8.9375079456762023</v>
      </c>
      <c r="BF139" s="26">
        <f t="shared" si="296"/>
        <v>10.705659650013899</v>
      </c>
      <c r="BG139" s="26">
        <f t="shared" si="296"/>
        <v>-27.414273451955182</v>
      </c>
      <c r="BH139" s="26">
        <f t="shared" si="296"/>
        <v>2.3920867344656926</v>
      </c>
      <c r="BI139" s="26">
        <f t="shared" si="297"/>
        <v>-25.02218671748949</v>
      </c>
      <c r="BO139" t="str">
        <f t="shared" si="309"/>
        <v>71 Sales occupations</v>
      </c>
      <c r="BP139" s="26">
        <f t="shared" si="298"/>
        <v>-63.049420224494838</v>
      </c>
      <c r="BQ139" s="26">
        <f t="shared" si="298"/>
        <v>-24.353730970291508</v>
      </c>
      <c r="BR139" s="26">
        <f t="shared" si="298"/>
        <v>-69.06911439101259</v>
      </c>
      <c r="BS139" s="26">
        <f t="shared" si="298"/>
        <v>-106.0281359920844</v>
      </c>
      <c r="BT139" s="26">
        <f t="shared" si="299"/>
        <v>-175.09725038309699</v>
      </c>
      <c r="BZ139" t="str">
        <f t="shared" si="310"/>
        <v>71 Sales occupations</v>
      </c>
      <c r="CA139" s="67">
        <f t="shared" si="300"/>
        <v>-32.629572152751791</v>
      </c>
      <c r="CB139" s="67">
        <f t="shared" si="300"/>
        <v>-32.807811776655683</v>
      </c>
      <c r="CC139" s="67">
        <f t="shared" si="300"/>
        <v>-70.098285946246335</v>
      </c>
      <c r="CD139" s="67">
        <f t="shared" si="300"/>
        <v>-170.04924991088345</v>
      </c>
      <c r="CE139" s="67">
        <f t="shared" si="301"/>
        <v>-240.14753585712978</v>
      </c>
      <c r="CK139" t="str">
        <f t="shared" si="311"/>
        <v>71 Sales occupations</v>
      </c>
      <c r="CL139" s="67">
        <f t="shared" si="302"/>
        <v>-35.15808974751917</v>
      </c>
      <c r="CM139" s="67">
        <f t="shared" si="302"/>
        <v>-25.507789231719983</v>
      </c>
      <c r="CN139" s="67">
        <f t="shared" si="302"/>
        <v>-43.258423079880828</v>
      </c>
      <c r="CO139" s="67">
        <f t="shared" si="302"/>
        <v>-34.062716840947957</v>
      </c>
      <c r="CP139" s="67">
        <f t="shared" si="303"/>
        <v>-77.321139920828784</v>
      </c>
    </row>
    <row r="140" spans="1:94" x14ac:dyDescent="0.3">
      <c r="A140" t="str">
        <f t="shared" si="285"/>
        <v>72 Customer service occupations</v>
      </c>
      <c r="B140" s="26">
        <f t="shared" si="286"/>
        <v>0.43506024302118984</v>
      </c>
      <c r="C140" s="26">
        <f t="shared" si="286"/>
        <v>0.2608956794471089</v>
      </c>
      <c r="D140" s="26">
        <f t="shared" si="286"/>
        <v>1.8761722483757843</v>
      </c>
      <c r="E140" s="26">
        <f t="shared" si="286"/>
        <v>2.8921165634401698</v>
      </c>
      <c r="F140" s="26">
        <f t="shared" si="287"/>
        <v>4.7682888118159541</v>
      </c>
      <c r="L140" t="str">
        <f t="shared" si="304"/>
        <v>72 Customer service occupations</v>
      </c>
      <c r="M140" s="26">
        <f t="shared" si="288"/>
        <v>7.1371508673603152</v>
      </c>
      <c r="N140" s="26">
        <f t="shared" si="288"/>
        <v>1.4163311058955763</v>
      </c>
      <c r="O140" s="26">
        <f t="shared" si="288"/>
        <v>20.115522674003266</v>
      </c>
      <c r="P140" s="26">
        <f t="shared" si="288"/>
        <v>30.219652979429384</v>
      </c>
      <c r="Q140" s="26">
        <f t="shared" si="289"/>
        <v>50.33517565343265</v>
      </c>
      <c r="W140" t="str">
        <f t="shared" si="305"/>
        <v>72 Customer service occupations</v>
      </c>
      <c r="X140" s="26">
        <f t="shared" si="290"/>
        <v>10.84610799179481</v>
      </c>
      <c r="Y140" s="26">
        <f t="shared" si="290"/>
        <v>8.9735953060505977</v>
      </c>
      <c r="Z140" s="26">
        <f t="shared" si="290"/>
        <v>41.64027957411956</v>
      </c>
      <c r="AA140" s="26">
        <f t="shared" si="290"/>
        <v>49.79916733397252</v>
      </c>
      <c r="AB140" s="26">
        <f t="shared" si="291"/>
        <v>91.43944690809208</v>
      </c>
      <c r="AH140" t="str">
        <f t="shared" si="306"/>
        <v>72 Customer service occupations</v>
      </c>
      <c r="AI140" s="26">
        <f t="shared" si="292"/>
        <v>4.5030503642152873</v>
      </c>
      <c r="AJ140" s="26">
        <f t="shared" si="292"/>
        <v>3.8763294900945056</v>
      </c>
      <c r="AK140" s="26">
        <f t="shared" si="292"/>
        <v>13.640250056013812</v>
      </c>
      <c r="AL140" s="26">
        <f t="shared" si="292"/>
        <v>15.999171514266877</v>
      </c>
      <c r="AM140" s="26">
        <f t="shared" si="293"/>
        <v>29.639421570280689</v>
      </c>
      <c r="AS140" t="str">
        <f t="shared" si="307"/>
        <v>72 Customer service occupations</v>
      </c>
      <c r="AT140" s="26">
        <f t="shared" si="294"/>
        <v>3.53612336993654</v>
      </c>
      <c r="AU140" s="26">
        <f t="shared" si="294"/>
        <v>2.0162467718053207</v>
      </c>
      <c r="AV140" s="26">
        <f t="shared" si="294"/>
        <v>14.639144172046947</v>
      </c>
      <c r="AW140" s="26">
        <f t="shared" si="294"/>
        <v>12.006478747374231</v>
      </c>
      <c r="AX140" s="26">
        <f t="shared" si="295"/>
        <v>26.645622919421179</v>
      </c>
      <c r="BD140" t="str">
        <f t="shared" si="308"/>
        <v>72 Customer service occupations</v>
      </c>
      <c r="BE140" s="26">
        <f t="shared" si="296"/>
        <v>9.155930602807274</v>
      </c>
      <c r="BF140" s="26">
        <f t="shared" si="296"/>
        <v>5.9226511367472199</v>
      </c>
      <c r="BG140" s="26">
        <f t="shared" si="296"/>
        <v>34.591090481679146</v>
      </c>
      <c r="BH140" s="26">
        <f t="shared" si="296"/>
        <v>18.674687238071414</v>
      </c>
      <c r="BI140" s="26">
        <f t="shared" si="297"/>
        <v>53.26577771975056</v>
      </c>
      <c r="BO140" t="str">
        <f t="shared" si="309"/>
        <v>72 Customer service occupations</v>
      </c>
      <c r="BP140" s="26">
        <f t="shared" si="298"/>
        <v>8.0059849964913212</v>
      </c>
      <c r="BQ140" s="26">
        <f t="shared" si="298"/>
        <v>-4.0769907554308986</v>
      </c>
      <c r="BR140" s="26">
        <f t="shared" si="298"/>
        <v>31.273644978516415</v>
      </c>
      <c r="BS140" s="26">
        <f t="shared" si="298"/>
        <v>-15.046783306216298</v>
      </c>
      <c r="BT140" s="26">
        <f t="shared" si="299"/>
        <v>16.226861672300117</v>
      </c>
      <c r="BZ140" t="str">
        <f t="shared" si="310"/>
        <v>72 Customer service occupations</v>
      </c>
      <c r="CA140" s="67">
        <f t="shared" si="300"/>
        <v>-3.1730096416883811</v>
      </c>
      <c r="CB140" s="67">
        <f t="shared" si="300"/>
        <v>-2.1176815314958901</v>
      </c>
      <c r="CC140" s="67">
        <f t="shared" si="300"/>
        <v>5.685445566960027</v>
      </c>
      <c r="CD140" s="67">
        <f t="shared" si="300"/>
        <v>-9.6618315776316095</v>
      </c>
      <c r="CE140" s="67">
        <f t="shared" si="301"/>
        <v>-3.9763860106715825</v>
      </c>
      <c r="CK140" t="str">
        <f t="shared" si="311"/>
        <v>72 Customer service occupations</v>
      </c>
      <c r="CL140" s="67">
        <f t="shared" si="302"/>
        <v>4.2878673073773115</v>
      </c>
      <c r="CM140" s="67">
        <f t="shared" si="302"/>
        <v>-1.343653333836361</v>
      </c>
      <c r="CN140" s="67">
        <f t="shared" si="302"/>
        <v>9.994497791781157</v>
      </c>
      <c r="CO140" s="67">
        <f t="shared" si="302"/>
        <v>6.3031179423763319</v>
      </c>
      <c r="CP140" s="67">
        <f t="shared" si="303"/>
        <v>16.297615734157489</v>
      </c>
    </row>
    <row r="141" spans="1:94" x14ac:dyDescent="0.3">
      <c r="A141" t="str">
        <f t="shared" si="285"/>
        <v>81 Process, plant and machine operatives</v>
      </c>
      <c r="B141" s="26">
        <f t="shared" si="286"/>
        <v>0.45521677155022267</v>
      </c>
      <c r="C141" s="26">
        <f t="shared" si="286"/>
        <v>-0.25297684452957725</v>
      </c>
      <c r="D141" s="26">
        <f t="shared" si="286"/>
        <v>1.2740306395280663</v>
      </c>
      <c r="E141" s="26">
        <f t="shared" si="286"/>
        <v>2.9903868680810652</v>
      </c>
      <c r="F141" s="26">
        <f t="shared" si="287"/>
        <v>4.2644175076091315</v>
      </c>
      <c r="L141" t="str">
        <f t="shared" si="304"/>
        <v>81 Process, plant and machine operatives</v>
      </c>
      <c r="M141" s="26">
        <f t="shared" si="288"/>
        <v>3.1898263673825511</v>
      </c>
      <c r="N141" s="26">
        <f t="shared" si="288"/>
        <v>-1.4403016739657932</v>
      </c>
      <c r="O141" s="26">
        <f t="shared" si="288"/>
        <v>9.3400878338221904</v>
      </c>
      <c r="P141" s="26">
        <f t="shared" si="288"/>
        <v>18.413244040876382</v>
      </c>
      <c r="Q141" s="26">
        <f t="shared" si="289"/>
        <v>27.753331874698574</v>
      </c>
      <c r="W141" t="str">
        <f t="shared" si="305"/>
        <v>81 Process, plant and machine operatives</v>
      </c>
      <c r="X141" s="26">
        <f t="shared" si="290"/>
        <v>0.61416730722881141</v>
      </c>
      <c r="Y141" s="26">
        <f t="shared" si="290"/>
        <v>-2.2888143725142598</v>
      </c>
      <c r="Z141" s="26">
        <f t="shared" si="290"/>
        <v>18.740653795426923</v>
      </c>
      <c r="AA141" s="26">
        <f t="shared" si="290"/>
        <v>34.037071308376632</v>
      </c>
      <c r="AB141" s="26">
        <f t="shared" si="291"/>
        <v>52.777725103803554</v>
      </c>
      <c r="AH141" t="str">
        <f t="shared" si="306"/>
        <v>81 Process, plant and machine operatives</v>
      </c>
      <c r="AI141" s="26">
        <f t="shared" si="292"/>
        <v>0.39519298096659838</v>
      </c>
      <c r="AJ141" s="26">
        <f t="shared" si="292"/>
        <v>-0.36510867445042017</v>
      </c>
      <c r="AK141" s="26">
        <f t="shared" si="292"/>
        <v>7.7033687155669845</v>
      </c>
      <c r="AL141" s="26">
        <f t="shared" si="292"/>
        <v>11.048738652695128</v>
      </c>
      <c r="AM141" s="26">
        <f t="shared" si="293"/>
        <v>18.752107368262113</v>
      </c>
      <c r="AS141" t="str">
        <f t="shared" si="307"/>
        <v>81 Process, plant and machine operatives</v>
      </c>
      <c r="AT141" s="26">
        <f t="shared" si="294"/>
        <v>-0.21633856624184489</v>
      </c>
      <c r="AU141" s="26">
        <f t="shared" si="294"/>
        <v>-1.5473713153892064</v>
      </c>
      <c r="AV141" s="26">
        <f t="shared" si="294"/>
        <v>14.982852545751562</v>
      </c>
      <c r="AW141" s="26">
        <f t="shared" si="294"/>
        <v>18.423330439126659</v>
      </c>
      <c r="AX141" s="26">
        <f t="shared" si="295"/>
        <v>33.406182984878221</v>
      </c>
      <c r="BD141" t="str">
        <f t="shared" si="308"/>
        <v>81 Process, plant and machine operatives</v>
      </c>
      <c r="BE141" s="26">
        <f t="shared" si="296"/>
        <v>6.0271230146934158</v>
      </c>
      <c r="BF141" s="26">
        <f t="shared" si="296"/>
        <v>-24.150909018319936</v>
      </c>
      <c r="BG141" s="26">
        <f t="shared" si="296"/>
        <v>58.92617077032881</v>
      </c>
      <c r="BH141" s="26">
        <f t="shared" si="296"/>
        <v>28.714476143619862</v>
      </c>
      <c r="BI141" s="26">
        <f t="shared" si="297"/>
        <v>87.640646913948672</v>
      </c>
      <c r="BO141" t="str">
        <f t="shared" si="309"/>
        <v>81 Process, plant and machine operatives</v>
      </c>
      <c r="BP141" s="26">
        <f t="shared" si="298"/>
        <v>-1.0921562566030047</v>
      </c>
      <c r="BQ141" s="26">
        <f t="shared" si="298"/>
        <v>-27.492330989773961</v>
      </c>
      <c r="BR141" s="26">
        <f t="shared" si="298"/>
        <v>57.629513728391714</v>
      </c>
      <c r="BS141" s="26">
        <f t="shared" si="298"/>
        <v>-7.426517439437589</v>
      </c>
      <c r="BT141" s="26">
        <f t="shared" si="299"/>
        <v>50.202996288954125</v>
      </c>
      <c r="BZ141" t="str">
        <f t="shared" si="310"/>
        <v>81 Process, plant and machine operatives</v>
      </c>
      <c r="CA141" s="67">
        <f t="shared" si="300"/>
        <v>-17.680483403382595</v>
      </c>
      <c r="CB141" s="67">
        <f t="shared" si="300"/>
        <v>-29.791250149369461</v>
      </c>
      <c r="CC141" s="67">
        <f t="shared" si="300"/>
        <v>17.190464590246449</v>
      </c>
      <c r="CD141" s="67">
        <f t="shared" si="300"/>
        <v>-96.754302669547187</v>
      </c>
      <c r="CE141" s="67">
        <f t="shared" si="301"/>
        <v>-79.563838079300737</v>
      </c>
      <c r="CK141" t="str">
        <f t="shared" si="311"/>
        <v>81 Process, plant and machine operatives</v>
      </c>
      <c r="CL141" s="67">
        <f t="shared" si="302"/>
        <v>-25.231201544640598</v>
      </c>
      <c r="CM141" s="67">
        <f t="shared" si="302"/>
        <v>-18.597005785255831</v>
      </c>
      <c r="CN141" s="67">
        <f t="shared" si="302"/>
        <v>-29.607678991900954</v>
      </c>
      <c r="CO141" s="67">
        <f t="shared" si="302"/>
        <v>-23.867486374669511</v>
      </c>
      <c r="CP141" s="67">
        <f t="shared" si="303"/>
        <v>-53.475165366570465</v>
      </c>
    </row>
    <row r="142" spans="1:94" x14ac:dyDescent="0.3">
      <c r="A142" t="str">
        <f t="shared" si="285"/>
        <v>82 Transport and mobile machine drivers and operatives</v>
      </c>
      <c r="B142" s="26">
        <f t="shared" si="286"/>
        <v>1.3509705937980967</v>
      </c>
      <c r="C142" s="26">
        <f t="shared" si="286"/>
        <v>-0.27735893930787059</v>
      </c>
      <c r="D142" s="26">
        <f t="shared" si="286"/>
        <v>2.5240156497157242</v>
      </c>
      <c r="E142" s="26">
        <f t="shared" si="286"/>
        <v>4.7014378302471149</v>
      </c>
      <c r="F142" s="26">
        <f t="shared" si="287"/>
        <v>7.2254534799628392</v>
      </c>
      <c r="L142" t="str">
        <f t="shared" si="304"/>
        <v>82 Transport and mobile machine drivers and operatives</v>
      </c>
      <c r="M142" s="26">
        <f t="shared" si="288"/>
        <v>8.0820000117275228</v>
      </c>
      <c r="N142" s="26">
        <f t="shared" si="288"/>
        <v>-0.72120050980331385</v>
      </c>
      <c r="O142" s="26">
        <f t="shared" si="288"/>
        <v>12.732159239207505</v>
      </c>
      <c r="P142" s="26">
        <f t="shared" si="288"/>
        <v>26.872841317806326</v>
      </c>
      <c r="Q142" s="26">
        <f t="shared" si="289"/>
        <v>39.605000557013831</v>
      </c>
      <c r="W142" t="str">
        <f t="shared" si="305"/>
        <v>82 Transport and mobile machine drivers and operatives</v>
      </c>
      <c r="X142" s="26">
        <f t="shared" si="290"/>
        <v>13.758562464815292</v>
      </c>
      <c r="Y142" s="26">
        <f t="shared" si="290"/>
        <v>-0.62973217536612935</v>
      </c>
      <c r="Z142" s="26">
        <f t="shared" si="290"/>
        <v>17.022809470854781</v>
      </c>
      <c r="AA142" s="26">
        <f t="shared" si="290"/>
        <v>30.421181077078884</v>
      </c>
      <c r="AB142" s="26">
        <f t="shared" si="291"/>
        <v>47.443990547933666</v>
      </c>
      <c r="AH142" t="str">
        <f t="shared" si="306"/>
        <v>82 Transport and mobile machine drivers and operatives</v>
      </c>
      <c r="AI142" s="26">
        <f t="shared" si="292"/>
        <v>6.5633203067186621</v>
      </c>
      <c r="AJ142" s="26">
        <f t="shared" si="292"/>
        <v>0.16051170767951817</v>
      </c>
      <c r="AK142" s="26">
        <f t="shared" si="292"/>
        <v>8.398415076512741</v>
      </c>
      <c r="AL142" s="26">
        <f t="shared" si="292"/>
        <v>11.902592253834356</v>
      </c>
      <c r="AM142" s="26">
        <f t="shared" si="293"/>
        <v>20.301007330347097</v>
      </c>
      <c r="AS142" t="str">
        <f t="shared" si="307"/>
        <v>82 Transport and mobile machine drivers and operatives</v>
      </c>
      <c r="AT142" s="26">
        <f t="shared" si="294"/>
        <v>7.3903738016587823</v>
      </c>
      <c r="AU142" s="26">
        <f t="shared" si="294"/>
        <v>0.60431183741010841</v>
      </c>
      <c r="AV142" s="26">
        <f t="shared" si="294"/>
        <v>11.805672306387478</v>
      </c>
      <c r="AW142" s="26">
        <f t="shared" si="294"/>
        <v>16.433993341350018</v>
      </c>
      <c r="AX142" s="26">
        <f t="shared" si="295"/>
        <v>28.239665647737496</v>
      </c>
      <c r="BD142" t="str">
        <f t="shared" si="308"/>
        <v>82 Transport and mobile machine drivers and operatives</v>
      </c>
      <c r="BE142" s="26">
        <f t="shared" si="296"/>
        <v>28.194910951088559</v>
      </c>
      <c r="BF142" s="26">
        <f t="shared" si="296"/>
        <v>-17.453821499336925</v>
      </c>
      <c r="BG142" s="26">
        <f t="shared" si="296"/>
        <v>26.921372871816914</v>
      </c>
      <c r="BH142" s="26">
        <f t="shared" si="296"/>
        <v>22.774200329154894</v>
      </c>
      <c r="BI142" s="26">
        <f t="shared" si="297"/>
        <v>49.695573200971808</v>
      </c>
      <c r="BO142" t="str">
        <f t="shared" si="309"/>
        <v>82 Transport and mobile machine drivers and operatives</v>
      </c>
      <c r="BP142" s="26">
        <f t="shared" si="298"/>
        <v>47.006637272894068</v>
      </c>
      <c r="BQ142" s="26">
        <f t="shared" si="298"/>
        <v>-50.691711157888847</v>
      </c>
      <c r="BR142" s="26">
        <f t="shared" si="298"/>
        <v>33.93380280117168</v>
      </c>
      <c r="BS142" s="26">
        <f t="shared" si="298"/>
        <v>-6.4816925663783991</v>
      </c>
      <c r="BT142" s="26">
        <f t="shared" si="299"/>
        <v>27.452110234793281</v>
      </c>
      <c r="BZ142" t="str">
        <f t="shared" si="310"/>
        <v>82 Transport and mobile machine drivers and operatives</v>
      </c>
      <c r="CA142" s="67">
        <f t="shared" si="300"/>
        <v>3.0655384738575435</v>
      </c>
      <c r="CB142" s="67">
        <f t="shared" si="300"/>
        <v>-48.321981822436555</v>
      </c>
      <c r="CC142" s="67">
        <f t="shared" si="300"/>
        <v>-8.5277620754704344</v>
      </c>
      <c r="CD142" s="67">
        <f t="shared" si="300"/>
        <v>-63.938390849514064</v>
      </c>
      <c r="CE142" s="67">
        <f t="shared" si="301"/>
        <v>-72.466152924984499</v>
      </c>
      <c r="CK142" t="str">
        <f t="shared" si="311"/>
        <v>82 Transport and mobile machine drivers and operatives</v>
      </c>
      <c r="CL142" s="67">
        <f t="shared" si="302"/>
        <v>13.928924504102326</v>
      </c>
      <c r="CM142" s="67">
        <f t="shared" si="302"/>
        <v>-28.290924396128986</v>
      </c>
      <c r="CN142" s="67">
        <f t="shared" si="302"/>
        <v>-17.802651969674727</v>
      </c>
      <c r="CO142" s="67">
        <f t="shared" si="302"/>
        <v>-49.81307857325595</v>
      </c>
      <c r="CP142" s="67">
        <f t="shared" si="303"/>
        <v>-67.615730542930677</v>
      </c>
    </row>
    <row r="143" spans="1:94" x14ac:dyDescent="0.3">
      <c r="A143" t="str">
        <f t="shared" si="285"/>
        <v>91 Elementary trades and related occupations</v>
      </c>
      <c r="B143" s="26">
        <f t="shared" si="286"/>
        <v>8.0539777248517241E-4</v>
      </c>
      <c r="C143" s="26">
        <f t="shared" si="286"/>
        <v>-2.1758426336458483E-3</v>
      </c>
      <c r="D143" s="26">
        <f t="shared" si="286"/>
        <v>2.6393061134948985E-3</v>
      </c>
      <c r="E143" s="26">
        <f t="shared" si="286"/>
        <v>2.0589864219671121E-2</v>
      </c>
      <c r="F143" s="26">
        <f t="shared" si="287"/>
        <v>2.3229170333166019E-2</v>
      </c>
      <c r="L143" t="str">
        <f t="shared" si="304"/>
        <v>91 Elementary trades and related occupations</v>
      </c>
      <c r="M143" s="26">
        <f t="shared" si="288"/>
        <v>1.3072133598717661</v>
      </c>
      <c r="N143" s="26">
        <f t="shared" si="288"/>
        <v>-1.228494566245188</v>
      </c>
      <c r="O143" s="26">
        <f t="shared" si="288"/>
        <v>1.5077975835206274</v>
      </c>
      <c r="P143" s="26">
        <f t="shared" si="288"/>
        <v>5.0040768191486622</v>
      </c>
      <c r="Q143" s="26">
        <f t="shared" si="289"/>
        <v>6.5118744026692896</v>
      </c>
      <c r="W143" t="str">
        <f t="shared" si="305"/>
        <v>91 Elementary trades and related occupations</v>
      </c>
      <c r="X143" s="26">
        <f t="shared" si="290"/>
        <v>-0.27764933037343553</v>
      </c>
      <c r="Y143" s="26">
        <f t="shared" si="290"/>
        <v>-2.2309951780498309</v>
      </c>
      <c r="Z143" s="26">
        <f t="shared" si="290"/>
        <v>-0.65480507225451845</v>
      </c>
      <c r="AA143" s="26">
        <f t="shared" si="290"/>
        <v>3.7387442963919462</v>
      </c>
      <c r="AB143" s="26">
        <f t="shared" si="291"/>
        <v>3.0839392241374277</v>
      </c>
      <c r="AH143" t="str">
        <f t="shared" si="306"/>
        <v>91 Elementary trades and related occupations</v>
      </c>
      <c r="AI143" s="26">
        <f t="shared" si="292"/>
        <v>-7.5281549424467187E-2</v>
      </c>
      <c r="AJ143" s="26">
        <f t="shared" si="292"/>
        <v>-1.2090376788271762</v>
      </c>
      <c r="AK143" s="26">
        <f t="shared" si="292"/>
        <v>4.1451594646247258E-2</v>
      </c>
      <c r="AL143" s="26">
        <f t="shared" si="292"/>
        <v>4.1751200639065846</v>
      </c>
      <c r="AM143" s="26">
        <f t="shared" si="293"/>
        <v>4.2165716585528319</v>
      </c>
      <c r="AS143" t="str">
        <f t="shared" si="307"/>
        <v>91 Elementary trades and related occupations</v>
      </c>
      <c r="AT143" s="26">
        <f t="shared" si="294"/>
        <v>-0.87588768304709319</v>
      </c>
      <c r="AU143" s="26">
        <f t="shared" si="294"/>
        <v>6.6697939874398315E-2</v>
      </c>
      <c r="AV143" s="26">
        <f t="shared" si="294"/>
        <v>-0.55305538142060584</v>
      </c>
      <c r="AW143" s="26">
        <f t="shared" si="294"/>
        <v>3.0749640446672579</v>
      </c>
      <c r="AX143" s="26">
        <f t="shared" si="295"/>
        <v>2.5219086632466521</v>
      </c>
      <c r="BD143" t="str">
        <f t="shared" si="308"/>
        <v>91 Elementary trades and related occupations</v>
      </c>
      <c r="BE143" s="26">
        <f t="shared" si="296"/>
        <v>-9.1720368045742617</v>
      </c>
      <c r="BF143" s="26">
        <f t="shared" si="296"/>
        <v>-7.4872210520695717</v>
      </c>
      <c r="BG143" s="26">
        <f t="shared" si="296"/>
        <v>-5.3438984571239132</v>
      </c>
      <c r="BH143" s="26">
        <f t="shared" si="296"/>
        <v>8.5673603426358085</v>
      </c>
      <c r="BI143" s="26">
        <f t="shared" si="297"/>
        <v>3.2234618855118953</v>
      </c>
      <c r="BO143" t="str">
        <f t="shared" si="309"/>
        <v>91 Elementary trades and related occupations</v>
      </c>
      <c r="BP143" s="26">
        <f t="shared" si="298"/>
        <v>-17.987923253473667</v>
      </c>
      <c r="BQ143" s="26">
        <f t="shared" si="298"/>
        <v>-12.396385978454774</v>
      </c>
      <c r="BR143" s="26">
        <f t="shared" si="298"/>
        <v>-20.513495270801045</v>
      </c>
      <c r="BS143" s="26">
        <f t="shared" si="298"/>
        <v>-7.0498890751919561</v>
      </c>
      <c r="BT143" s="26">
        <f t="shared" si="299"/>
        <v>-27.563384345993001</v>
      </c>
      <c r="BZ143" t="str">
        <f t="shared" si="310"/>
        <v>91 Elementary trades and related occupations</v>
      </c>
      <c r="CA143" s="67">
        <f t="shared" si="300"/>
        <v>-22.179924182401209</v>
      </c>
      <c r="CB143" s="67">
        <f t="shared" si="300"/>
        <v>-21.964610934069213</v>
      </c>
      <c r="CC143" s="67">
        <f t="shared" si="300"/>
        <v>-30.065248681653387</v>
      </c>
      <c r="CD143" s="67">
        <f t="shared" si="300"/>
        <v>-24.488944002736048</v>
      </c>
      <c r="CE143" s="67">
        <f t="shared" si="301"/>
        <v>-54.554192684389434</v>
      </c>
      <c r="CK143" t="str">
        <f t="shared" si="311"/>
        <v>91 Elementary trades and related occupations</v>
      </c>
      <c r="CL143" s="67">
        <f t="shared" si="302"/>
        <v>-13.888901245559467</v>
      </c>
      <c r="CM143" s="67">
        <f t="shared" si="302"/>
        <v>-11.91636519371356</v>
      </c>
      <c r="CN143" s="67">
        <f t="shared" si="302"/>
        <v>-19.35671210439903</v>
      </c>
      <c r="CO143" s="67">
        <f t="shared" si="302"/>
        <v>-14.661191816727467</v>
      </c>
      <c r="CP143" s="67">
        <f t="shared" si="303"/>
        <v>-34.017903921126496</v>
      </c>
    </row>
    <row r="144" spans="1:94" x14ac:dyDescent="0.3">
      <c r="A144" t="str">
        <f t="shared" si="285"/>
        <v>92 Elementary administration and service occupations</v>
      </c>
      <c r="B144" s="26">
        <f t="shared" si="286"/>
        <v>0.71707330624638166</v>
      </c>
      <c r="C144" s="26">
        <f t="shared" si="286"/>
        <v>-4.6588437761062806E-2</v>
      </c>
      <c r="D144" s="26">
        <f t="shared" si="286"/>
        <v>1.3053922616164968</v>
      </c>
      <c r="E144" s="26">
        <f t="shared" si="286"/>
        <v>2.270011974123948</v>
      </c>
      <c r="F144" s="26">
        <f t="shared" si="287"/>
        <v>3.5754042357404447</v>
      </c>
      <c r="L144" t="str">
        <f t="shared" ref="L144" si="312">A144</f>
        <v>92 Elementary administration and service occupations</v>
      </c>
      <c r="M144" s="26">
        <f t="shared" si="288"/>
        <v>25.436601511945426</v>
      </c>
      <c r="N144" s="26">
        <f t="shared" si="288"/>
        <v>2.7721968695888393</v>
      </c>
      <c r="O144" s="26">
        <f t="shared" si="288"/>
        <v>46.099827897049423</v>
      </c>
      <c r="P144" s="26">
        <f t="shared" si="288"/>
        <v>109.65538986095981</v>
      </c>
      <c r="Q144" s="26">
        <f t="shared" si="289"/>
        <v>155.75521775800922</v>
      </c>
      <c r="W144" t="str">
        <f t="shared" ref="W144" si="313">A144</f>
        <v>92 Elementary administration and service occupations</v>
      </c>
      <c r="X144" s="26">
        <f t="shared" si="290"/>
        <v>43.559711992380585</v>
      </c>
      <c r="Y144" s="26">
        <f t="shared" si="290"/>
        <v>7.1184166565499254</v>
      </c>
      <c r="Z144" s="26">
        <f t="shared" si="290"/>
        <v>59.251026095664713</v>
      </c>
      <c r="AA144" s="26">
        <f t="shared" si="290"/>
        <v>107.33652688021994</v>
      </c>
      <c r="AB144" s="26">
        <f t="shared" si="291"/>
        <v>166.58755297588465</v>
      </c>
      <c r="AH144" t="str">
        <f t="shared" ref="AH144" si="314">L144</f>
        <v>92 Elementary administration and service occupations</v>
      </c>
      <c r="AI144" s="26">
        <f t="shared" si="292"/>
        <v>20.986141098678061</v>
      </c>
      <c r="AJ144" s="26">
        <f t="shared" si="292"/>
        <v>5.9372245753250468</v>
      </c>
      <c r="AK144" s="26">
        <f t="shared" si="292"/>
        <v>26.215160300222692</v>
      </c>
      <c r="AL144" s="26">
        <f t="shared" si="292"/>
        <v>56.018394672122099</v>
      </c>
      <c r="AM144" s="26">
        <f t="shared" si="293"/>
        <v>82.233554972344791</v>
      </c>
      <c r="AS144" t="str">
        <f t="shared" ref="AS144" si="315">W144</f>
        <v>92 Elementary administration and service occupations</v>
      </c>
      <c r="AT144" s="26">
        <f t="shared" si="294"/>
        <v>11.433108595564576</v>
      </c>
      <c r="AU144" s="26">
        <f t="shared" si="294"/>
        <v>8.7392439761468381</v>
      </c>
      <c r="AV144" s="26">
        <f t="shared" si="294"/>
        <v>19.777794030803662</v>
      </c>
      <c r="AW144" s="26">
        <f t="shared" si="294"/>
        <v>45.329937085066206</v>
      </c>
      <c r="AX144" s="26">
        <f t="shared" si="295"/>
        <v>65.107731115869868</v>
      </c>
      <c r="BD144" t="str">
        <f t="shared" ref="BD144" si="316">AH144</f>
        <v>92 Elementary administration and service occupations</v>
      </c>
      <c r="BE144" s="26">
        <f t="shared" si="296"/>
        <v>-11.49691811540697</v>
      </c>
      <c r="BF144" s="26">
        <f t="shared" si="296"/>
        <v>-29.810964569800262</v>
      </c>
      <c r="BG144" s="26">
        <f t="shared" si="296"/>
        <v>-5.1117686757394267</v>
      </c>
      <c r="BH144" s="26">
        <f t="shared" si="296"/>
        <v>-16.328994755001418</v>
      </c>
      <c r="BI144" s="26">
        <f t="shared" si="297"/>
        <v>-21.440763430740844</v>
      </c>
      <c r="BO144" t="str">
        <f t="shared" ref="BO144" si="317">AS144</f>
        <v>92 Elementary administration and service occupations</v>
      </c>
      <c r="BP144" s="26">
        <f t="shared" si="298"/>
        <v>28.929339826821774</v>
      </c>
      <c r="BQ144" s="26">
        <f t="shared" si="298"/>
        <v>-98.851011199567665</v>
      </c>
      <c r="BR144" s="26">
        <f t="shared" si="298"/>
        <v>22.070148054400079</v>
      </c>
      <c r="BS144" s="26">
        <f t="shared" si="298"/>
        <v>-118.60722664836919</v>
      </c>
      <c r="BT144" s="26">
        <f t="shared" si="299"/>
        <v>-96.537078593969113</v>
      </c>
      <c r="BZ144" t="str">
        <f t="shared" ref="BZ144" si="318">BD144</f>
        <v>92 Elementary administration and service occupations</v>
      </c>
      <c r="CA144" s="67">
        <f t="shared" si="300"/>
        <v>3.1691247248808168</v>
      </c>
      <c r="CB144" s="67">
        <f t="shared" si="300"/>
        <v>-103.26110263263865</v>
      </c>
      <c r="CC144" s="67">
        <f t="shared" si="300"/>
        <v>-16.439895721992457</v>
      </c>
      <c r="CD144" s="67">
        <f t="shared" si="300"/>
        <v>-233.02166162842332</v>
      </c>
      <c r="CE144" s="67">
        <f t="shared" si="301"/>
        <v>-249.46155735041577</v>
      </c>
      <c r="CK144" t="str">
        <f t="shared" ref="CK144" si="319">BO144</f>
        <v>92 Elementary administration and service occupations</v>
      </c>
      <c r="CL144" s="67">
        <f t="shared" si="302"/>
        <v>-90.834981916546496</v>
      </c>
      <c r="CM144" s="67">
        <f t="shared" si="302"/>
        <v>-76.670355255177753</v>
      </c>
      <c r="CN144" s="67">
        <f t="shared" si="302"/>
        <v>-82.782218585699951</v>
      </c>
      <c r="CO144" s="67">
        <f t="shared" si="302"/>
        <v>-70.981135824894835</v>
      </c>
      <c r="CP144" s="67">
        <f t="shared" si="303"/>
        <v>-153.76335441059479</v>
      </c>
    </row>
    <row r="145" spans="1:94" x14ac:dyDescent="0.3">
      <c r="C145" s="26"/>
      <c r="F145" s="26"/>
      <c r="N145" s="26"/>
      <c r="Q145" s="26"/>
      <c r="Y145" s="26"/>
      <c r="AB145" s="26"/>
      <c r="AJ145" s="26"/>
      <c r="AM145" s="26"/>
      <c r="AU145" s="26"/>
      <c r="AX145" s="26"/>
      <c r="BF145" s="26"/>
      <c r="BI145" s="26"/>
      <c r="BQ145" s="26"/>
      <c r="BT145" s="26"/>
      <c r="CA145" s="68"/>
      <c r="CB145" s="67"/>
      <c r="CC145" s="68"/>
      <c r="CD145" s="68"/>
      <c r="CE145" s="67"/>
      <c r="CL145" s="68"/>
      <c r="CM145" s="67"/>
      <c r="CN145" s="68"/>
      <c r="CO145" s="68"/>
      <c r="CP145" s="67"/>
    </row>
    <row r="146" spans="1:94" x14ac:dyDescent="0.3">
      <c r="A146" s="23" t="str">
        <f t="shared" ref="A146" si="320">A35</f>
        <v>All occupations</v>
      </c>
      <c r="B146" s="28">
        <f>C35-B35</f>
        <v>132.36100191500577</v>
      </c>
      <c r="C146" s="28">
        <f>D35-C35</f>
        <v>23.193865178587316</v>
      </c>
      <c r="D146" s="28">
        <f>E35-D35</f>
        <v>166.12871938472836</v>
      </c>
      <c r="E146" s="28">
        <f>F35-E35</f>
        <v>299.69776592808398</v>
      </c>
      <c r="F146" s="28">
        <f>F35-D35</f>
        <v>465.82648531281234</v>
      </c>
      <c r="L146" s="23" t="str">
        <f t="shared" ref="L146" si="321">L35</f>
        <v>All occupations</v>
      </c>
      <c r="M146" s="28">
        <f>N35-M35</f>
        <v>981.4760970324869</v>
      </c>
      <c r="N146" s="28">
        <f t="shared" ref="N146" si="322">O35-N35</f>
        <v>199.04640949131317</v>
      </c>
      <c r="O146" s="28">
        <f>P35-O35</f>
        <v>1175.7551566063185</v>
      </c>
      <c r="P146" s="28">
        <f>Q35-P35</f>
        <v>2175.134602794863</v>
      </c>
      <c r="Q146" s="28">
        <f>Q35-O35</f>
        <v>3350.8897594011814</v>
      </c>
      <c r="W146" s="23" t="str">
        <f t="shared" ref="W146" si="323">W35</f>
        <v>All occupations</v>
      </c>
      <c r="X146" s="28">
        <f>Y35-X35</f>
        <v>626.75924447851139</v>
      </c>
      <c r="Y146" s="28">
        <f t="shared" ref="Y146" si="324">Z35-Y35</f>
        <v>331.94557300513588</v>
      </c>
      <c r="Z146" s="28">
        <f>AA35-Z35</f>
        <v>540.11894134505019</v>
      </c>
      <c r="AA146" s="28">
        <f>AB35-AA35</f>
        <v>1129.8411837906006</v>
      </c>
      <c r="AB146" s="28">
        <f>AB35-Z35</f>
        <v>1669.9601251356507</v>
      </c>
      <c r="AH146" s="23" t="str">
        <f t="shared" ref="AH146" si="325">AH35</f>
        <v>All occupations</v>
      </c>
      <c r="AI146" s="28">
        <f>AJ35-AI35</f>
        <v>-9.2874189237047631</v>
      </c>
      <c r="AJ146" s="28">
        <f t="shared" ref="AJ146" si="326">AK35-AJ35</f>
        <v>83.815103191883054</v>
      </c>
      <c r="AK146" s="28">
        <f>AL35-AK35</f>
        <v>6.4423061209022308</v>
      </c>
      <c r="AL146" s="28">
        <f>AM35-AL35</f>
        <v>218.8078577628803</v>
      </c>
      <c r="AM146" s="28">
        <f>AM35-AK35</f>
        <v>225.25016388378253</v>
      </c>
      <c r="AS146" s="23" t="str">
        <f t="shared" ref="AS146" si="327">AS35</f>
        <v>All occupations</v>
      </c>
      <c r="AT146" s="28">
        <f>AU35-AT35</f>
        <v>117.37738814879981</v>
      </c>
      <c r="AU146" s="28">
        <f t="shared" ref="AU146" si="328">AV35-AU35</f>
        <v>99.039563791529645</v>
      </c>
      <c r="AV146" s="28">
        <f>AW35-AV35</f>
        <v>99.56446022861428</v>
      </c>
      <c r="AW146" s="28">
        <f>AX35-AW35</f>
        <v>317.21820467390944</v>
      </c>
      <c r="AX146" s="28">
        <f>AX35-AV35</f>
        <v>416.78266490252372</v>
      </c>
      <c r="BD146" s="23" t="str">
        <f t="shared" ref="BD146" si="329">BD35</f>
        <v>All occupations</v>
      </c>
      <c r="BE146" s="28">
        <f>BF35-BE35</f>
        <v>237.68421880827827</v>
      </c>
      <c r="BF146" s="28">
        <f t="shared" ref="BF146" si="330">BG35-BF35</f>
        <v>-76.624346446006712</v>
      </c>
      <c r="BG146" s="28">
        <f>BH35-BG35</f>
        <v>-35.359226652635698</v>
      </c>
      <c r="BH146" s="28">
        <f>BI35-BH35</f>
        <v>-88.805427140006941</v>
      </c>
      <c r="BI146" s="28">
        <f>BI35-BG35</f>
        <v>-124.16465379264264</v>
      </c>
      <c r="BO146" s="23" t="str">
        <f t="shared" ref="BO146" si="331">BO35</f>
        <v>All occupations</v>
      </c>
      <c r="BP146" s="28">
        <f>BQ35-BP35</f>
        <v>-25.161170118147311</v>
      </c>
      <c r="BQ146" s="28">
        <f t="shared" ref="BQ146" si="332">BR35-BQ35</f>
        <v>-408.87627118157798</v>
      </c>
      <c r="BR146" s="28">
        <f>BS35-BR35</f>
        <v>-280.68209290343839</v>
      </c>
      <c r="BS146" s="28">
        <f>BT35-BS35</f>
        <v>-1038.6982980476268</v>
      </c>
      <c r="BT146" s="28">
        <f>BT35-BR35</f>
        <v>-1319.3803909510652</v>
      </c>
      <c r="BZ146" s="23" t="str">
        <f t="shared" ref="BZ146" si="333">BZ35</f>
        <v>All occupations</v>
      </c>
      <c r="CA146" s="69">
        <f>CB35-CA35</f>
        <v>-197.32734359788719</v>
      </c>
      <c r="CB146" s="69">
        <f t="shared" ref="CB146" si="334">CC35-CB35</f>
        <v>-394.01065471388938</v>
      </c>
      <c r="CC146" s="69">
        <f>CD35-CC35</f>
        <v>-386.27566333607956</v>
      </c>
      <c r="CD146" s="69">
        <f>CE35-CD35</f>
        <v>-1199.4771054592047</v>
      </c>
      <c r="CE146" s="69">
        <f>CE35-CC35</f>
        <v>-1585.7527687952843</v>
      </c>
      <c r="CK146" s="23" t="str">
        <f t="shared" ref="CK146" si="335">CK35</f>
        <v>All occupations</v>
      </c>
      <c r="CL146" s="69">
        <f>CM35-CL35</f>
        <v>-154.86301774320759</v>
      </c>
      <c r="CM146" s="69">
        <f t="shared" ref="CM146" si="336">CN35-CM35</f>
        <v>-247.56524231734329</v>
      </c>
      <c r="CN146" s="69">
        <f>CO35-CN35</f>
        <v>-238.33660079347487</v>
      </c>
      <c r="CO146" s="69">
        <f>CP35-CO35</f>
        <v>-268.17078430322033</v>
      </c>
      <c r="CP146" s="69">
        <f>CP35-CN35</f>
        <v>-506.5073850966952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9"/>
  <dimension ref="A1:AG37"/>
  <sheetViews>
    <sheetView showGridLines="0" zoomScale="85" zoomScaleNormal="85" workbookViewId="0"/>
  </sheetViews>
  <sheetFormatPr defaultColWidth="9.15234375" defaultRowHeight="12.45" x14ac:dyDescent="0.3"/>
  <cols>
    <col min="1" max="1" width="55.69140625" style="90" customWidth="1"/>
    <col min="2" max="4" width="11.69140625" style="90" customWidth="1"/>
    <col min="5" max="5" width="14.69140625" style="90" customWidth="1"/>
    <col min="6" max="8" width="11.69140625" style="90" customWidth="1"/>
    <col min="9" max="9" width="16.53515625" style="90" customWidth="1"/>
    <col min="10" max="11" width="11.69140625" style="90" customWidth="1"/>
    <col min="12" max="12" width="2.69140625" style="90" customWidth="1"/>
    <col min="13" max="22" width="11.69140625" style="90" customWidth="1"/>
    <col min="23" max="23" width="2.69140625" style="90" customWidth="1"/>
    <col min="24" max="32" width="11.69140625" style="90" customWidth="1"/>
    <col min="33" max="33" width="12.84375" style="90" customWidth="1"/>
    <col min="34" max="16384" width="9.15234375" style="90"/>
  </cols>
  <sheetData>
    <row r="1" spans="1:33" ht="15.45" x14ac:dyDescent="0.4">
      <c r="A1" s="18" t="str">
        <f>CONCATENATE("Basic Table 3  Occupation by Qualification in ",A$6,", ",Info!B5)</f>
        <v>Basic Table 3  Occupation by Qualification in 2020, United Kingdom</v>
      </c>
    </row>
    <row r="2" spans="1:33" x14ac:dyDescent="0.3">
      <c r="A2" s="181" t="s">
        <v>538</v>
      </c>
    </row>
    <row r="3" spans="1:33" x14ac:dyDescent="0.3">
      <c r="AG3" s="91"/>
    </row>
    <row r="4" spans="1:33" x14ac:dyDescent="0.3">
      <c r="A4" s="95"/>
      <c r="B4" s="94" t="s">
        <v>466</v>
      </c>
      <c r="C4" s="94"/>
      <c r="D4" s="94"/>
      <c r="E4" s="94"/>
      <c r="F4" s="94"/>
      <c r="G4" s="94"/>
      <c r="H4" s="94"/>
      <c r="I4" s="94"/>
      <c r="J4" s="94"/>
      <c r="K4" s="94"/>
      <c r="L4" s="95"/>
      <c r="M4" s="94" t="s">
        <v>464</v>
      </c>
      <c r="N4" s="94"/>
      <c r="O4" s="94"/>
      <c r="P4" s="94"/>
      <c r="Q4" s="94"/>
      <c r="R4" s="94"/>
      <c r="S4" s="94"/>
      <c r="T4" s="94"/>
      <c r="U4" s="94"/>
      <c r="V4" s="94"/>
      <c r="W4" s="95"/>
      <c r="X4" s="94" t="s">
        <v>465</v>
      </c>
      <c r="Y4" s="94"/>
      <c r="Z4" s="94"/>
      <c r="AA4" s="94"/>
      <c r="AB4" s="94"/>
      <c r="AC4" s="94"/>
      <c r="AD4" s="94"/>
      <c r="AE4" s="94"/>
      <c r="AF4" s="94"/>
    </row>
    <row r="5" spans="1:33" x14ac:dyDescent="0.3">
      <c r="B5" s="91"/>
      <c r="C5" s="91"/>
      <c r="D5" s="91"/>
      <c r="E5" s="91"/>
      <c r="F5" s="91"/>
      <c r="G5" s="91"/>
      <c r="H5" s="91"/>
      <c r="I5" s="91"/>
      <c r="J5" s="91"/>
      <c r="K5" s="91"/>
      <c r="M5" s="91"/>
      <c r="N5" s="91"/>
      <c r="O5" s="91"/>
      <c r="P5" s="91"/>
      <c r="Q5" s="91"/>
      <c r="R5" s="91"/>
      <c r="S5" s="91"/>
      <c r="T5" s="91"/>
      <c r="U5" s="91"/>
      <c r="V5" s="91"/>
      <c r="X5" s="91"/>
      <c r="Y5" s="91"/>
      <c r="Z5" s="91"/>
      <c r="AA5" s="91"/>
      <c r="AB5" s="91"/>
      <c r="AC5" s="91"/>
      <c r="AD5" s="91"/>
      <c r="AE5" s="91"/>
      <c r="AF5" s="91"/>
      <c r="AG5" s="91"/>
    </row>
    <row r="6" spans="1:33" ht="49.75" x14ac:dyDescent="0.3">
      <c r="A6" s="99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1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1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3">
      <c r="A8" s="10" t="str">
        <f>name!D4</f>
        <v>11 Corporate managers and directors</v>
      </c>
      <c r="B8" s="68">
        <f>'Basic T2'!D8</f>
        <v>44.40005408566455</v>
      </c>
      <c r="C8" s="68">
        <f>'Basic T2'!O8</f>
        <v>375.78522463827409</v>
      </c>
      <c r="D8" s="68">
        <f>'Basic T2'!Z8</f>
        <v>774.67498681637198</v>
      </c>
      <c r="E8" s="68">
        <f>'Basic T2'!AK8</f>
        <v>146.02380990628563</v>
      </c>
      <c r="F8" s="68">
        <f>'Basic T2'!AV8</f>
        <v>211.99833621270926</v>
      </c>
      <c r="G8" s="68">
        <f>'Basic T2'!BG8</f>
        <v>443.68100619806694</v>
      </c>
      <c r="H8" s="68">
        <f>'Basic T2'!BR8</f>
        <v>328.68418195709381</v>
      </c>
      <c r="I8" s="68">
        <f>'Basic T2'!CC8</f>
        <v>230.56296247997116</v>
      </c>
      <c r="J8" s="68">
        <f>'Basic T2'!CN8</f>
        <v>47.804401192343256</v>
      </c>
      <c r="K8" s="309">
        <f>SUM(B8:J8)</f>
        <v>2603.6149634867807</v>
      </c>
      <c r="L8" s="96"/>
      <c r="M8" s="96">
        <f t="shared" ref="M8:M33" si="0">B8/B$35*100</f>
        <v>7.2624394279745337</v>
      </c>
      <c r="N8" s="96">
        <f t="shared" ref="N8:N33" si="1">C8/C$35*100</f>
        <v>8.6651114853535312</v>
      </c>
      <c r="O8" s="96">
        <f t="shared" ref="O8:O33" si="2">D8/D$35*100</f>
        <v>10.243689974987626</v>
      </c>
      <c r="P8" s="96">
        <f t="shared" ref="P8:P33" si="3">E8/E$35*100</f>
        <v>7.1072505714853973</v>
      </c>
      <c r="Q8" s="96">
        <f t="shared" ref="Q8:Q33" si="4">F8/F$35*100</f>
        <v>10.298133767295134</v>
      </c>
      <c r="R8" s="96">
        <f t="shared" ref="R8:R33" si="5">G8/G$35*100</f>
        <v>6.5797206713447132</v>
      </c>
      <c r="S8" s="96">
        <f t="shared" ref="S8:S33" si="6">H8/H$35*100</f>
        <v>5.260003354965578</v>
      </c>
      <c r="T8" s="96">
        <f t="shared" ref="T8:T33" si="7">I8/I$35*100</f>
        <v>5.867659870354788</v>
      </c>
      <c r="U8" s="96">
        <f t="shared" ref="U8:U33" si="8">J8/J$35*100</f>
        <v>3.343181619880796</v>
      </c>
      <c r="V8" s="96">
        <f t="shared" ref="V8:V33" si="9">K8/K$35*100</f>
        <v>7.4442240046847017</v>
      </c>
      <c r="W8" s="96"/>
      <c r="X8" s="96">
        <f t="shared" ref="X8:X32" si="10">IF($K8&gt;0,B8/$K8*100,0)</f>
        <v>1.7053233564998285</v>
      </c>
      <c r="Y8" s="96">
        <f t="shared" ref="Y8:AG23" si="11">IF($K8&gt;0,C8/$K8*100,0)</f>
        <v>14.43321035976148</v>
      </c>
      <c r="Z8" s="96">
        <f t="shared" si="11"/>
        <v>29.753822960785314</v>
      </c>
      <c r="AA8" s="96">
        <f t="shared" si="11"/>
        <v>5.6085024842048625</v>
      </c>
      <c r="AB8" s="96">
        <f t="shared" si="11"/>
        <v>8.1424611236985474</v>
      </c>
      <c r="AC8" s="96">
        <f t="shared" si="11"/>
        <v>17.040960834081474</v>
      </c>
      <c r="AD8" s="96">
        <f t="shared" si="11"/>
        <v>12.624147063470456</v>
      </c>
      <c r="AE8" s="96">
        <f t="shared" si="11"/>
        <v>8.8554938312076494</v>
      </c>
      <c r="AF8" s="96">
        <f>IF($K8&gt;0,J8/$K8*100,0)</f>
        <v>1.8360779862903864</v>
      </c>
      <c r="AG8" s="96">
        <f t="shared" si="11"/>
        <v>100</v>
      </c>
    </row>
    <row r="9" spans="1:33" x14ac:dyDescent="0.3">
      <c r="A9" s="10" t="str">
        <f>name!D5</f>
        <v>12 Other managers and proprietors</v>
      </c>
      <c r="B9" s="68">
        <f>'Basic T2'!D9</f>
        <v>15.898703429878939</v>
      </c>
      <c r="C9" s="68">
        <f>'Basic T2'!O9</f>
        <v>139.16586964614694</v>
      </c>
      <c r="D9" s="68">
        <f>'Basic T2'!Z9</f>
        <v>273.16306357144077</v>
      </c>
      <c r="E9" s="68">
        <f>'Basic T2'!AK9</f>
        <v>79.37545616924902</v>
      </c>
      <c r="F9" s="68">
        <f>'Basic T2'!AV9</f>
        <v>87.640574351380366</v>
      </c>
      <c r="G9" s="68">
        <f>'Basic T2'!BG9</f>
        <v>191.64126303091484</v>
      </c>
      <c r="H9" s="68">
        <f>'Basic T2'!BR9</f>
        <v>190.88542933797575</v>
      </c>
      <c r="I9" s="68">
        <f>'Basic T2'!CC9</f>
        <v>123.23442880946008</v>
      </c>
      <c r="J9" s="68">
        <f>'Basic T2'!CN9</f>
        <v>41.939450221507428</v>
      </c>
      <c r="K9" s="309">
        <f>SUM(B9:J9)</f>
        <v>1142.9442385679542</v>
      </c>
      <c r="L9" s="96"/>
      <c r="M9" s="96">
        <f t="shared" si="0"/>
        <v>2.600523198013545</v>
      </c>
      <c r="N9" s="96">
        <f t="shared" si="1"/>
        <v>3.2089813445986652</v>
      </c>
      <c r="O9" s="96">
        <f t="shared" si="2"/>
        <v>3.6120925335968757</v>
      </c>
      <c r="P9" s="96">
        <f t="shared" si="3"/>
        <v>3.8633511656959283</v>
      </c>
      <c r="Q9" s="96">
        <f t="shared" si="4"/>
        <v>4.2572709495584391</v>
      </c>
      <c r="R9" s="96">
        <f t="shared" si="5"/>
        <v>2.8420102781776766</v>
      </c>
      <c r="S9" s="96">
        <f t="shared" si="6"/>
        <v>3.0547804057782924</v>
      </c>
      <c r="T9" s="96">
        <f t="shared" si="7"/>
        <v>3.1362266722877399</v>
      </c>
      <c r="U9" s="96">
        <f t="shared" si="8"/>
        <v>2.9330186265549663</v>
      </c>
      <c r="V9" s="96">
        <f t="shared" si="9"/>
        <v>3.2678921638125864</v>
      </c>
      <c r="W9" s="96"/>
      <c r="X9" s="96">
        <f t="shared" si="10"/>
        <v>1.3910305414198625</v>
      </c>
      <c r="Y9" s="96">
        <f t="shared" si="11"/>
        <v>12.176085669806085</v>
      </c>
      <c r="Z9" s="96">
        <f t="shared" si="11"/>
        <v>23.899946677512364</v>
      </c>
      <c r="AA9" s="96">
        <f t="shared" si="11"/>
        <v>6.9448231585385187</v>
      </c>
      <c r="AB9" s="96">
        <f t="shared" si="11"/>
        <v>7.6679658896735985</v>
      </c>
      <c r="AC9" s="96">
        <f t="shared" si="11"/>
        <v>16.767332697790287</v>
      </c>
      <c r="AD9" s="96">
        <f t="shared" si="11"/>
        <v>16.701202289373679</v>
      </c>
      <c r="AE9" s="96">
        <f t="shared" si="11"/>
        <v>10.782190823575609</v>
      </c>
      <c r="AF9" s="96">
        <f t="shared" si="11"/>
        <v>3.6694222523099849</v>
      </c>
      <c r="AG9" s="96">
        <f t="shared" si="11"/>
        <v>100</v>
      </c>
    </row>
    <row r="10" spans="1:33" x14ac:dyDescent="0.3">
      <c r="A10" s="10" t="str">
        <f>name!D6</f>
        <v>21 Science, research, engineering and technology professionals</v>
      </c>
      <c r="B10" s="68">
        <f>'Basic T2'!D10</f>
        <v>112.62771391731624</v>
      </c>
      <c r="C10" s="68">
        <f>'Basic T2'!O10</f>
        <v>481.12971538360688</v>
      </c>
      <c r="D10" s="68">
        <f>'Basic T2'!Z10</f>
        <v>735.45901868176668</v>
      </c>
      <c r="E10" s="68">
        <f>'Basic T2'!AK10</f>
        <v>79.841372074017443</v>
      </c>
      <c r="F10" s="68">
        <f>'Basic T2'!AV10</f>
        <v>188.96999281039101</v>
      </c>
      <c r="G10" s="68">
        <f>'Basic T2'!BG10</f>
        <v>254.7767162962684</v>
      </c>
      <c r="H10" s="68">
        <f>'Basic T2'!BR10</f>
        <v>180.79173700826033</v>
      </c>
      <c r="I10" s="68">
        <f>'Basic T2'!CC10</f>
        <v>107.48401557761045</v>
      </c>
      <c r="J10" s="68">
        <f>'Basic T2'!CN10</f>
        <v>27.409116718438028</v>
      </c>
      <c r="K10" s="309">
        <f t="shared" ref="K10:K32" si="12">SUM(B10:J10)</f>
        <v>2168.4893984676751</v>
      </c>
      <c r="L10" s="96"/>
      <c r="M10" s="96">
        <f t="shared" si="0"/>
        <v>18.422318780459452</v>
      </c>
      <c r="N10" s="96">
        <f t="shared" si="1"/>
        <v>11.094216454966885</v>
      </c>
      <c r="O10" s="96">
        <f t="shared" si="2"/>
        <v>9.7251289958978067</v>
      </c>
      <c r="P10" s="96">
        <f t="shared" si="3"/>
        <v>3.8860281598282871</v>
      </c>
      <c r="Q10" s="96">
        <f t="shared" si="4"/>
        <v>9.1794978146132333</v>
      </c>
      <c r="R10" s="96">
        <f t="shared" si="5"/>
        <v>3.7782992811811482</v>
      </c>
      <c r="S10" s="96">
        <f t="shared" si="6"/>
        <v>2.8932488857575813</v>
      </c>
      <c r="T10" s="96">
        <f t="shared" si="7"/>
        <v>2.7353900996311165</v>
      </c>
      <c r="U10" s="96">
        <f t="shared" si="8"/>
        <v>1.9168455820951951</v>
      </c>
      <c r="V10" s="96">
        <f t="shared" si="9"/>
        <v>6.2001183202445969</v>
      </c>
      <c r="W10" s="96"/>
      <c r="X10" s="96">
        <f t="shared" si="10"/>
        <v>5.193832812689914</v>
      </c>
      <c r="Y10" s="96">
        <f t="shared" si="11"/>
        <v>22.187321539297759</v>
      </c>
      <c r="Z10" s="96">
        <f t="shared" si="11"/>
        <v>33.915730425127549</v>
      </c>
      <c r="AA10" s="96">
        <f t="shared" si="11"/>
        <v>3.6818889744370411</v>
      </c>
      <c r="AB10" s="96">
        <f t="shared" si="11"/>
        <v>8.7143609253484637</v>
      </c>
      <c r="AC10" s="96">
        <f t="shared" si="11"/>
        <v>11.749041359220012</v>
      </c>
      <c r="AD10" s="96">
        <f t="shared" si="11"/>
        <v>8.3372202389374657</v>
      </c>
      <c r="AE10" s="96">
        <f t="shared" si="11"/>
        <v>4.9566308995359698</v>
      </c>
      <c r="AF10" s="96">
        <f t="shared" si="11"/>
        <v>1.2639728254058422</v>
      </c>
      <c r="AG10" s="96">
        <f t="shared" si="11"/>
        <v>100</v>
      </c>
    </row>
    <row r="11" spans="1:33" x14ac:dyDescent="0.3">
      <c r="A11" s="10" t="str">
        <f>name!D7</f>
        <v>22 Health professionals</v>
      </c>
      <c r="B11" s="68">
        <f>'Basic T2'!D11</f>
        <v>111.57959940232023</v>
      </c>
      <c r="C11" s="68">
        <f>'Basic T2'!O11</f>
        <v>327.69546625784898</v>
      </c>
      <c r="D11" s="68">
        <f>'Basic T2'!Z11</f>
        <v>625.28238298149176</v>
      </c>
      <c r="E11" s="68">
        <f>'Basic T2'!AK11</f>
        <v>203.77516065505532</v>
      </c>
      <c r="F11" s="68">
        <f>'Basic T2'!AV11</f>
        <v>45.957141866235567</v>
      </c>
      <c r="G11" s="68">
        <f>'Basic T2'!BG11</f>
        <v>159.81336498863058</v>
      </c>
      <c r="H11" s="68">
        <f>'Basic T2'!BR11</f>
        <v>109.87875362127042</v>
      </c>
      <c r="I11" s="68">
        <f>'Basic T2'!CC11</f>
        <v>58.433703801385057</v>
      </c>
      <c r="J11" s="68">
        <f>'Basic T2'!CN11</f>
        <v>10.273910629174058</v>
      </c>
      <c r="K11" s="309">
        <f t="shared" si="12"/>
        <v>1652.6894842034119</v>
      </c>
      <c r="L11" s="96"/>
      <c r="M11" s="96">
        <f t="shared" si="0"/>
        <v>18.250880516802088</v>
      </c>
      <c r="N11" s="96">
        <f t="shared" si="1"/>
        <v>7.5562251046523992</v>
      </c>
      <c r="O11" s="96">
        <f t="shared" si="2"/>
        <v>8.2682402131077986</v>
      </c>
      <c r="P11" s="96">
        <f t="shared" si="3"/>
        <v>9.9181162849376463</v>
      </c>
      <c r="Q11" s="96">
        <f t="shared" si="4"/>
        <v>2.2324363622655676</v>
      </c>
      <c r="R11" s="96">
        <f t="shared" si="5"/>
        <v>2.3700074749276734</v>
      </c>
      <c r="S11" s="96">
        <f t="shared" si="6"/>
        <v>1.758413225869097</v>
      </c>
      <c r="T11" s="96">
        <f t="shared" si="7"/>
        <v>1.4870953043959518</v>
      </c>
      <c r="U11" s="96">
        <f t="shared" si="8"/>
        <v>0.71850181830651272</v>
      </c>
      <c r="V11" s="96">
        <f t="shared" si="9"/>
        <v>4.7253495248470845</v>
      </c>
      <c r="W11" s="96"/>
      <c r="X11" s="96">
        <f t="shared" si="10"/>
        <v>6.7513952541484841</v>
      </c>
      <c r="Y11" s="96">
        <f t="shared" si="11"/>
        <v>19.828011818916881</v>
      </c>
      <c r="Z11" s="96">
        <f t="shared" si="11"/>
        <v>37.834232562015409</v>
      </c>
      <c r="AA11" s="96">
        <f t="shared" si="11"/>
        <v>12.329912097993043</v>
      </c>
      <c r="AB11" s="96">
        <f t="shared" si="11"/>
        <v>2.7807487314162151</v>
      </c>
      <c r="AC11" s="96">
        <f t="shared" si="11"/>
        <v>9.6698966452043376</v>
      </c>
      <c r="AD11" s="96">
        <f t="shared" si="11"/>
        <v>6.6484814401921017</v>
      </c>
      <c r="AE11" s="96">
        <f t="shared" si="11"/>
        <v>3.5356734801002148</v>
      </c>
      <c r="AF11" s="96">
        <f t="shared" si="11"/>
        <v>0.62164797001331629</v>
      </c>
      <c r="AG11" s="96">
        <f t="shared" si="11"/>
        <v>100</v>
      </c>
    </row>
    <row r="12" spans="1:33" x14ac:dyDescent="0.3">
      <c r="A12" s="10" t="str">
        <f>name!D8</f>
        <v>23 Teaching and other educational professionals</v>
      </c>
      <c r="B12" s="68">
        <f>'Basic T2'!D12</f>
        <v>161.6155427826894</v>
      </c>
      <c r="C12" s="68">
        <f>'Basic T2'!O12</f>
        <v>918.95121416254005</v>
      </c>
      <c r="D12" s="68">
        <f>'Basic T2'!Z12</f>
        <v>495.33354268650936</v>
      </c>
      <c r="E12" s="68">
        <f>'Basic T2'!AK12</f>
        <v>39.246094641017578</v>
      </c>
      <c r="F12" s="68">
        <f>'Basic T2'!AV12</f>
        <v>21.041277502438806</v>
      </c>
      <c r="G12" s="68">
        <f>'Basic T2'!BG12</f>
        <v>76.208042156895388</v>
      </c>
      <c r="H12" s="68">
        <f>'Basic T2'!BR12</f>
        <v>53.391490821091018</v>
      </c>
      <c r="I12" s="68">
        <f>'Basic T2'!CC12</f>
        <v>38.380498402110035</v>
      </c>
      <c r="J12" s="68">
        <f>'Basic T2'!CN12</f>
        <v>10.227288487539926</v>
      </c>
      <c r="K12" s="309">
        <f t="shared" si="12"/>
        <v>1814.3949916428317</v>
      </c>
      <c r="L12" s="96"/>
      <c r="M12" s="96">
        <f t="shared" si="0"/>
        <v>26.435172529608892</v>
      </c>
      <c r="N12" s="96">
        <f t="shared" si="1"/>
        <v>21.189802574021634</v>
      </c>
      <c r="O12" s="96">
        <f t="shared" si="2"/>
        <v>6.5498994182648707</v>
      </c>
      <c r="P12" s="96">
        <f t="shared" si="3"/>
        <v>1.9101804612888376</v>
      </c>
      <c r="Q12" s="96">
        <f t="shared" si="4"/>
        <v>1.0221112779747477</v>
      </c>
      <c r="R12" s="96">
        <f t="shared" si="5"/>
        <v>1.1301534735489396</v>
      </c>
      <c r="S12" s="96">
        <f t="shared" si="6"/>
        <v>0.8544354619481298</v>
      </c>
      <c r="T12" s="96">
        <f t="shared" si="7"/>
        <v>0.97675579744444152</v>
      </c>
      <c r="U12" s="96">
        <f t="shared" si="8"/>
        <v>0.715241317534553</v>
      </c>
      <c r="V12" s="96">
        <f t="shared" si="9"/>
        <v>5.187695930537636</v>
      </c>
      <c r="W12" s="96"/>
      <c r="X12" s="96">
        <f t="shared" si="10"/>
        <v>8.9074067954936158</v>
      </c>
      <c r="Y12" s="96">
        <f t="shared" si="11"/>
        <v>50.647803724947558</v>
      </c>
      <c r="Z12" s="96">
        <f t="shared" si="11"/>
        <v>27.300204474110291</v>
      </c>
      <c r="AA12" s="96">
        <f t="shared" si="11"/>
        <v>2.1630402873567496</v>
      </c>
      <c r="AB12" s="96">
        <f t="shared" si="11"/>
        <v>1.1596856031545328</v>
      </c>
      <c r="AC12" s="96">
        <f t="shared" si="11"/>
        <v>4.2001902842497012</v>
      </c>
      <c r="AD12" s="96">
        <f t="shared" si="11"/>
        <v>2.9426608355410009</v>
      </c>
      <c r="AE12" s="96">
        <f t="shared" si="11"/>
        <v>2.1153331319195647</v>
      </c>
      <c r="AF12" s="96">
        <f t="shared" si="11"/>
        <v>0.56367486322698113</v>
      </c>
      <c r="AG12" s="96">
        <f t="shared" si="11"/>
        <v>100</v>
      </c>
    </row>
    <row r="13" spans="1:33" x14ac:dyDescent="0.3">
      <c r="A13" s="10" t="str">
        <f>name!D9</f>
        <v>24 Business, media and public service professionals</v>
      </c>
      <c r="B13" s="68">
        <f>'Basic T2'!D13</f>
        <v>52.668050464785047</v>
      </c>
      <c r="C13" s="68">
        <f>'Basic T2'!O13</f>
        <v>655.17047617734863</v>
      </c>
      <c r="D13" s="68">
        <f>'Basic T2'!Z13</f>
        <v>979.11705471202504</v>
      </c>
      <c r="E13" s="68">
        <f>'Basic T2'!AK13</f>
        <v>88.003313247754008</v>
      </c>
      <c r="F13" s="68">
        <f>'Basic T2'!AV13</f>
        <v>149.19842394789072</v>
      </c>
      <c r="G13" s="68">
        <f>'Basic T2'!BG13</f>
        <v>296.36346384786555</v>
      </c>
      <c r="H13" s="68">
        <f>'Basic T2'!BR13</f>
        <v>192.88112889641317</v>
      </c>
      <c r="I13" s="68">
        <f>'Basic T2'!CC13</f>
        <v>120.20194174560416</v>
      </c>
      <c r="J13" s="68">
        <f>'Basic T2'!CN13</f>
        <v>30.401982846778346</v>
      </c>
      <c r="K13" s="309">
        <f t="shared" si="12"/>
        <v>2564.0058358864644</v>
      </c>
      <c r="L13" s="96"/>
      <c r="M13" s="96">
        <f t="shared" si="0"/>
        <v>8.6148211790918676</v>
      </c>
      <c r="N13" s="96">
        <f t="shared" si="1"/>
        <v>15.10736677700304</v>
      </c>
      <c r="O13" s="96">
        <f t="shared" si="2"/>
        <v>12.947070356449276</v>
      </c>
      <c r="P13" s="96">
        <f t="shared" si="3"/>
        <v>4.2832850257373334</v>
      </c>
      <c r="Q13" s="96">
        <f t="shared" si="4"/>
        <v>7.2475348398176616</v>
      </c>
      <c r="R13" s="96">
        <f t="shared" si="5"/>
        <v>4.3950243126716444</v>
      </c>
      <c r="S13" s="96">
        <f t="shared" si="6"/>
        <v>3.0867180132116019</v>
      </c>
      <c r="T13" s="96">
        <f t="shared" si="7"/>
        <v>3.0590520798876129</v>
      </c>
      <c r="U13" s="96">
        <f t="shared" si="8"/>
        <v>2.1261504741442088</v>
      </c>
      <c r="V13" s="96">
        <f t="shared" si="9"/>
        <v>7.3309740723321788</v>
      </c>
      <c r="W13" s="96"/>
      <c r="X13" s="96">
        <f t="shared" si="10"/>
        <v>2.0541314581905348</v>
      </c>
      <c r="Y13" s="96">
        <f t="shared" si="11"/>
        <v>25.552612517780553</v>
      </c>
      <c r="Z13" s="96">
        <f t="shared" si="11"/>
        <v>38.187005700535423</v>
      </c>
      <c r="AA13" s="96">
        <f t="shared" si="11"/>
        <v>3.4322586952041103</v>
      </c>
      <c r="AB13" s="96">
        <f t="shared" si="11"/>
        <v>5.8189580483660537</v>
      </c>
      <c r="AC13" s="96">
        <f t="shared" si="11"/>
        <v>11.558611127162376</v>
      </c>
      <c r="AD13" s="96">
        <f t="shared" si="11"/>
        <v>7.5226478113583379</v>
      </c>
      <c r="AE13" s="96">
        <f t="shared" si="11"/>
        <v>4.6880525801941566</v>
      </c>
      <c r="AF13" s="96">
        <f t="shared" si="11"/>
        <v>1.185722061208466</v>
      </c>
      <c r="AG13" s="96">
        <f t="shared" si="11"/>
        <v>100</v>
      </c>
    </row>
    <row r="14" spans="1:33" x14ac:dyDescent="0.3">
      <c r="A14" s="10" t="str">
        <f>name!D10</f>
        <v>31 Science, engineering and technology associate professionals</v>
      </c>
      <c r="B14" s="68">
        <f>'Basic T2'!D14</f>
        <v>15.845449839294641</v>
      </c>
      <c r="C14" s="68">
        <f>'Basic T2'!O14</f>
        <v>89.185157393206367</v>
      </c>
      <c r="D14" s="68">
        <f>'Basic T2'!Z14</f>
        <v>189.79410765028632</v>
      </c>
      <c r="E14" s="68">
        <f>'Basic T2'!AK14</f>
        <v>33.800633269241054</v>
      </c>
      <c r="F14" s="68">
        <f>'Basic T2'!AV14</f>
        <v>74.501540508382689</v>
      </c>
      <c r="G14" s="68">
        <f>'Basic T2'!BG14</f>
        <v>115.73831431100692</v>
      </c>
      <c r="H14" s="68">
        <f>'Basic T2'!BR14</f>
        <v>88.300927671721411</v>
      </c>
      <c r="I14" s="68">
        <f>'Basic T2'!CC14</f>
        <v>69.843026829072997</v>
      </c>
      <c r="J14" s="68">
        <f>'Basic T2'!CN14</f>
        <v>17.151068765830342</v>
      </c>
      <c r="K14" s="309">
        <f t="shared" si="12"/>
        <v>694.16022623804281</v>
      </c>
      <c r="L14" s="96"/>
      <c r="M14" s="96">
        <f t="shared" si="0"/>
        <v>2.5918126010580904</v>
      </c>
      <c r="N14" s="96">
        <f t="shared" si="1"/>
        <v>2.0564920624402445</v>
      </c>
      <c r="O14" s="96">
        <f t="shared" si="2"/>
        <v>2.5096873281514758</v>
      </c>
      <c r="P14" s="96">
        <f t="shared" si="3"/>
        <v>1.6451397225805509</v>
      </c>
      <c r="Q14" s="96">
        <f t="shared" si="4"/>
        <v>3.6190228835337761</v>
      </c>
      <c r="R14" s="96">
        <f t="shared" si="5"/>
        <v>1.7163812930922844</v>
      </c>
      <c r="S14" s="96">
        <f t="shared" si="6"/>
        <v>1.413098656084576</v>
      </c>
      <c r="T14" s="96">
        <f t="shared" si="7"/>
        <v>1.7774542855497215</v>
      </c>
      <c r="U14" s="96">
        <f t="shared" si="8"/>
        <v>1.1994531137107833</v>
      </c>
      <c r="V14" s="96">
        <f t="shared" si="9"/>
        <v>1.9847344141617116</v>
      </c>
      <c r="W14" s="96"/>
      <c r="X14" s="96">
        <f t="shared" si="10"/>
        <v>2.2826790185268968</v>
      </c>
      <c r="Y14" s="96">
        <f t="shared" si="11"/>
        <v>12.847920987426727</v>
      </c>
      <c r="Z14" s="96">
        <f t="shared" si="11"/>
        <v>27.341541689713832</v>
      </c>
      <c r="AA14" s="96">
        <f t="shared" si="11"/>
        <v>4.8692840631940895</v>
      </c>
      <c r="AB14" s="96">
        <f t="shared" si="11"/>
        <v>10.732614415570746</v>
      </c>
      <c r="AC14" s="96">
        <f t="shared" si="11"/>
        <v>16.673141147576743</v>
      </c>
      <c r="AD14" s="96">
        <f t="shared" si="11"/>
        <v>12.720539773686355</v>
      </c>
      <c r="AE14" s="96">
        <f t="shared" si="11"/>
        <v>10.061513781563493</v>
      </c>
      <c r="AF14" s="96">
        <f t="shared" si="11"/>
        <v>2.4707651227411094</v>
      </c>
      <c r="AG14" s="96">
        <f t="shared" si="11"/>
        <v>100</v>
      </c>
    </row>
    <row r="15" spans="1:33" x14ac:dyDescent="0.3">
      <c r="A15" s="10" t="str">
        <f>name!D11</f>
        <v>32 Health and social care associate professionals</v>
      </c>
      <c r="B15" s="68">
        <f>'Basic T2'!D15</f>
        <v>3.3002709838085149</v>
      </c>
      <c r="C15" s="68">
        <f>'Basic T2'!O15</f>
        <v>81.864050039796453</v>
      </c>
      <c r="D15" s="68">
        <f>'Basic T2'!Z15</f>
        <v>218.19430079087982</v>
      </c>
      <c r="E15" s="68">
        <f>'Basic T2'!AK15</f>
        <v>107.58005552009256</v>
      </c>
      <c r="F15" s="68">
        <f>'Basic T2'!AV15</f>
        <v>34.025233873412326</v>
      </c>
      <c r="G15" s="68">
        <f>'Basic T2'!BG15</f>
        <v>120.87190538692816</v>
      </c>
      <c r="H15" s="68">
        <f>'Basic T2'!BR15</f>
        <v>85.784254614830402</v>
      </c>
      <c r="I15" s="68">
        <f>'Basic T2'!CC15</f>
        <v>27.082918238438118</v>
      </c>
      <c r="J15" s="68">
        <f>'Basic T2'!CN15</f>
        <v>5.6437190512339823</v>
      </c>
      <c r="K15" s="309">
        <f t="shared" si="12"/>
        <v>684.34670849942029</v>
      </c>
      <c r="L15" s="96"/>
      <c r="M15" s="96">
        <f t="shared" si="0"/>
        <v>0.53981957025475369</v>
      </c>
      <c r="N15" s="96">
        <f t="shared" si="1"/>
        <v>1.8876769860236473</v>
      </c>
      <c r="O15" s="96">
        <f t="shared" si="2"/>
        <v>2.8852290439845829</v>
      </c>
      <c r="P15" s="96">
        <f t="shared" si="3"/>
        <v>5.2361215035158208</v>
      </c>
      <c r="Q15" s="96">
        <f t="shared" si="4"/>
        <v>1.652826225675329</v>
      </c>
      <c r="R15" s="96">
        <f t="shared" si="5"/>
        <v>1.7925116544298414</v>
      </c>
      <c r="S15" s="96">
        <f t="shared" si="6"/>
        <v>1.3728237981836677</v>
      </c>
      <c r="T15" s="96">
        <f t="shared" si="7"/>
        <v>0.68924059098862345</v>
      </c>
      <c r="U15" s="96">
        <f t="shared" si="8"/>
        <v>0.3946912277792235</v>
      </c>
      <c r="V15" s="96">
        <f t="shared" si="9"/>
        <v>1.9566757244764987</v>
      </c>
      <c r="W15" s="96"/>
      <c r="X15" s="96">
        <f t="shared" si="10"/>
        <v>0.48225131250285114</v>
      </c>
      <c r="Y15" s="96">
        <f t="shared" si="11"/>
        <v>11.962364839790238</v>
      </c>
      <c r="Z15" s="96">
        <f t="shared" si="11"/>
        <v>31.883590303125519</v>
      </c>
      <c r="AA15" s="96">
        <f t="shared" si="11"/>
        <v>15.720110023760519</v>
      </c>
      <c r="AB15" s="96">
        <f t="shared" si="11"/>
        <v>4.9719292064719776</v>
      </c>
      <c r="AC15" s="96">
        <f t="shared" si="11"/>
        <v>17.662378423937515</v>
      </c>
      <c r="AD15" s="96">
        <f t="shared" si="11"/>
        <v>12.535203800852807</v>
      </c>
      <c r="AE15" s="96">
        <f t="shared" si="11"/>
        <v>3.9574849856183771</v>
      </c>
      <c r="AF15" s="96">
        <f t="shared" si="11"/>
        <v>0.8246871039402045</v>
      </c>
      <c r="AG15" s="96">
        <f t="shared" si="11"/>
        <v>100</v>
      </c>
    </row>
    <row r="16" spans="1:33" x14ac:dyDescent="0.3">
      <c r="A16" s="10" t="str">
        <f>name!D12</f>
        <v>33 Protective service occupations</v>
      </c>
      <c r="B16" s="68">
        <f>'Basic T2'!D16</f>
        <v>1.5984521788013528</v>
      </c>
      <c r="C16" s="68">
        <f>'Basic T2'!O16</f>
        <v>27.929803983852711</v>
      </c>
      <c r="D16" s="68">
        <f>'Basic T2'!Z16</f>
        <v>109.61709132132559</v>
      </c>
      <c r="E16" s="68">
        <f>'Basic T2'!AK16</f>
        <v>29.349640829556503</v>
      </c>
      <c r="F16" s="68">
        <f>'Basic T2'!AV16</f>
        <v>22.647405543847277</v>
      </c>
      <c r="G16" s="68">
        <f>'Basic T2'!BG16</f>
        <v>73.040410392538305</v>
      </c>
      <c r="H16" s="68">
        <f>'Basic T2'!BR16</f>
        <v>81.193211948670751</v>
      </c>
      <c r="I16" s="68">
        <f>'Basic T2'!CC16</f>
        <v>44.709830997588298</v>
      </c>
      <c r="J16" s="68">
        <f>'Basic T2'!CN16</f>
        <v>6.8665563791098965</v>
      </c>
      <c r="K16" s="309">
        <f t="shared" si="12"/>
        <v>396.9524035752907</v>
      </c>
      <c r="L16" s="96"/>
      <c r="M16" s="96">
        <f t="shared" si="0"/>
        <v>0.26145603572151577</v>
      </c>
      <c r="N16" s="96">
        <f t="shared" si="1"/>
        <v>0.64402443048982372</v>
      </c>
      <c r="O16" s="96">
        <f t="shared" si="2"/>
        <v>1.449489810004325</v>
      </c>
      <c r="P16" s="96">
        <f t="shared" si="3"/>
        <v>1.4285016374564377</v>
      </c>
      <c r="Q16" s="96">
        <f t="shared" si="4"/>
        <v>1.1001313309304115</v>
      </c>
      <c r="R16" s="96">
        <f t="shared" si="5"/>
        <v>1.0831779846098342</v>
      </c>
      <c r="S16" s="96">
        <f t="shared" si="6"/>
        <v>1.2993523591779954</v>
      </c>
      <c r="T16" s="96">
        <f t="shared" si="7"/>
        <v>1.1378327131691104</v>
      </c>
      <c r="U16" s="96">
        <f t="shared" si="8"/>
        <v>0.48020986574332991</v>
      </c>
      <c r="V16" s="96">
        <f t="shared" si="9"/>
        <v>1.1349614489291102</v>
      </c>
      <c r="W16" s="96"/>
      <c r="X16" s="96">
        <f t="shared" si="10"/>
        <v>0.40268106815938992</v>
      </c>
      <c r="Y16" s="96">
        <f t="shared" si="11"/>
        <v>7.0360586640345693</v>
      </c>
      <c r="Z16" s="96">
        <f t="shared" si="11"/>
        <v>27.614668744670873</v>
      </c>
      <c r="AA16" s="96">
        <f t="shared" si="11"/>
        <v>7.3937430697506041</v>
      </c>
      <c r="AB16" s="96">
        <f t="shared" si="11"/>
        <v>5.7053201693365496</v>
      </c>
      <c r="AC16" s="96">
        <f t="shared" si="11"/>
        <v>18.400294275755556</v>
      </c>
      <c r="AD16" s="96">
        <f t="shared" si="11"/>
        <v>20.454142919245651</v>
      </c>
      <c r="AE16" s="96">
        <f t="shared" si="11"/>
        <v>11.263272522069034</v>
      </c>
      <c r="AF16" s="96">
        <f t="shared" si="11"/>
        <v>1.7298185669777673</v>
      </c>
      <c r="AG16" s="96">
        <f t="shared" si="11"/>
        <v>100</v>
      </c>
    </row>
    <row r="17" spans="1:33" x14ac:dyDescent="0.3">
      <c r="A17" s="10" t="str">
        <f>name!D13</f>
        <v>34 Culture, media and sports occupations</v>
      </c>
      <c r="B17" s="68">
        <f>'Basic T2'!D17</f>
        <v>9.7965159369052692</v>
      </c>
      <c r="C17" s="68">
        <f>'Basic T2'!O17</f>
        <v>167.55468927034528</v>
      </c>
      <c r="D17" s="68">
        <f>'Basic T2'!Z17</f>
        <v>294.92961311730181</v>
      </c>
      <c r="E17" s="68">
        <f>'Basic T2'!AK17</f>
        <v>41.520445045370721</v>
      </c>
      <c r="F17" s="68">
        <f>'Basic T2'!AV17</f>
        <v>43.944924844073213</v>
      </c>
      <c r="G17" s="68">
        <f>'Basic T2'!BG17</f>
        <v>97.111336990024967</v>
      </c>
      <c r="H17" s="68">
        <f>'Basic T2'!BR17</f>
        <v>44.516962261696804</v>
      </c>
      <c r="I17" s="68">
        <f>'Basic T2'!CC17</f>
        <v>39.055880832125581</v>
      </c>
      <c r="J17" s="68">
        <f>'Basic T2'!CN17</f>
        <v>14.266652012506963</v>
      </c>
      <c r="K17" s="309">
        <f t="shared" si="12"/>
        <v>752.69702031035047</v>
      </c>
      <c r="L17" s="96"/>
      <c r="M17" s="96">
        <f t="shared" si="0"/>
        <v>1.6023990299582274</v>
      </c>
      <c r="N17" s="96">
        <f t="shared" si="1"/>
        <v>3.8635900701494363</v>
      </c>
      <c r="O17" s="96">
        <f t="shared" si="2"/>
        <v>3.8999161876034827</v>
      </c>
      <c r="P17" s="96">
        <f t="shared" si="3"/>
        <v>2.0208773279263457</v>
      </c>
      <c r="Q17" s="96">
        <f t="shared" si="4"/>
        <v>2.134689934471603</v>
      </c>
      <c r="R17" s="96">
        <f t="shared" si="5"/>
        <v>1.4401461015663684</v>
      </c>
      <c r="S17" s="96">
        <f t="shared" si="6"/>
        <v>0.71241448084035941</v>
      </c>
      <c r="T17" s="96">
        <f t="shared" si="7"/>
        <v>0.99394378956216589</v>
      </c>
      <c r="U17" s="96">
        <f t="shared" si="8"/>
        <v>0.99773258519736518</v>
      </c>
      <c r="V17" s="96">
        <f t="shared" si="9"/>
        <v>2.1521020985933541</v>
      </c>
      <c r="W17" s="96"/>
      <c r="X17" s="96">
        <f t="shared" si="10"/>
        <v>1.3015218172201599</v>
      </c>
      <c r="Y17" s="96">
        <f t="shared" si="11"/>
        <v>22.260575603349604</v>
      </c>
      <c r="Z17" s="96">
        <f t="shared" si="11"/>
        <v>39.183045124278166</v>
      </c>
      <c r="AA17" s="96">
        <f t="shared" si="11"/>
        <v>5.516222852622839</v>
      </c>
      <c r="AB17" s="96">
        <f t="shared" si="11"/>
        <v>5.8383285250623063</v>
      </c>
      <c r="AC17" s="96">
        <f t="shared" si="11"/>
        <v>12.90178310390869</v>
      </c>
      <c r="AD17" s="96">
        <f t="shared" si="11"/>
        <v>5.9143268885721989</v>
      </c>
      <c r="AE17" s="96">
        <f t="shared" si="11"/>
        <v>5.1887917419976155</v>
      </c>
      <c r="AF17" s="96">
        <f t="shared" si="11"/>
        <v>1.89540434298844</v>
      </c>
      <c r="AG17" s="96">
        <f t="shared" si="11"/>
        <v>100</v>
      </c>
    </row>
    <row r="18" spans="1:33" x14ac:dyDescent="0.3">
      <c r="A18" s="10" t="str">
        <f>name!D14</f>
        <v>35 Business and public service associate professionals</v>
      </c>
      <c r="B18" s="68">
        <f>'Basic T2'!D18</f>
        <v>34.152557477952243</v>
      </c>
      <c r="C18" s="68">
        <f>'Basic T2'!O18</f>
        <v>359.13874718595901</v>
      </c>
      <c r="D18" s="68">
        <f>'Basic T2'!Z18</f>
        <v>638.23425057316183</v>
      </c>
      <c r="E18" s="68">
        <f>'Basic T2'!AK18</f>
        <v>173.02372673756076</v>
      </c>
      <c r="F18" s="68">
        <f>'Basic T2'!AV18</f>
        <v>150.8955035688771</v>
      </c>
      <c r="G18" s="68">
        <f>'Basic T2'!BG18</f>
        <v>385.07591821267147</v>
      </c>
      <c r="H18" s="68">
        <f>'Basic T2'!BR18</f>
        <v>297.14599551779679</v>
      </c>
      <c r="I18" s="68">
        <f>'Basic T2'!CC18</f>
        <v>175.0410589962629</v>
      </c>
      <c r="J18" s="68">
        <f>'Basic T2'!CN18</f>
        <v>41.059779643016689</v>
      </c>
      <c r="K18" s="309">
        <f t="shared" si="12"/>
        <v>2253.7675379132588</v>
      </c>
      <c r="L18" s="96"/>
      <c r="M18" s="96">
        <f t="shared" si="0"/>
        <v>5.5862742760515829</v>
      </c>
      <c r="N18" s="96">
        <f t="shared" si="1"/>
        <v>8.2812656779469709</v>
      </c>
      <c r="O18" s="96">
        <f t="shared" si="2"/>
        <v>8.4395054772044276</v>
      </c>
      <c r="P18" s="96">
        <f t="shared" si="3"/>
        <v>8.4213867692211775</v>
      </c>
      <c r="Q18" s="96">
        <f t="shared" si="4"/>
        <v>7.3299730007149844</v>
      </c>
      <c r="R18" s="96">
        <f t="shared" si="5"/>
        <v>5.710616284461536</v>
      </c>
      <c r="S18" s="96">
        <f t="shared" si="6"/>
        <v>4.7552910031497326</v>
      </c>
      <c r="T18" s="96">
        <f t="shared" si="7"/>
        <v>4.4546677683584956</v>
      </c>
      <c r="U18" s="96">
        <f t="shared" si="8"/>
        <v>2.8714992175422416</v>
      </c>
      <c r="V18" s="96">
        <f t="shared" si="9"/>
        <v>6.443944531738441</v>
      </c>
      <c r="W18" s="96"/>
      <c r="X18" s="96">
        <f t="shared" si="10"/>
        <v>1.515354041773703</v>
      </c>
      <c r="Y18" s="96">
        <f t="shared" si="11"/>
        <v>15.935039490296415</v>
      </c>
      <c r="Z18" s="96">
        <f t="shared" si="11"/>
        <v>28.318548378955562</v>
      </c>
      <c r="AA18" s="96">
        <f t="shared" si="11"/>
        <v>7.6770884231370964</v>
      </c>
      <c r="AB18" s="96">
        <f t="shared" si="11"/>
        <v>6.6952558784562921</v>
      </c>
      <c r="AC18" s="96">
        <f t="shared" si="11"/>
        <v>17.085875616489243</v>
      </c>
      <c r="AD18" s="96">
        <f t="shared" si="11"/>
        <v>13.184411902255071</v>
      </c>
      <c r="AE18" s="96">
        <f t="shared" si="11"/>
        <v>7.7665977547237057</v>
      </c>
      <c r="AF18" s="96">
        <f t="shared" si="11"/>
        <v>1.8218285139129093</v>
      </c>
      <c r="AG18" s="96">
        <f t="shared" si="11"/>
        <v>100</v>
      </c>
    </row>
    <row r="19" spans="1:33" x14ac:dyDescent="0.3">
      <c r="A19" s="10" t="str">
        <f>name!D15</f>
        <v>41 Administrative occupations</v>
      </c>
      <c r="B19" s="68">
        <f>'Basic T2'!D19</f>
        <v>19.803716360512809</v>
      </c>
      <c r="C19" s="68">
        <f>'Basic T2'!O19</f>
        <v>224.76092300841069</v>
      </c>
      <c r="D19" s="68">
        <f>'Basic T2'!Z19</f>
        <v>661.60941774988532</v>
      </c>
      <c r="E19" s="68">
        <f>'Basic T2'!AK19</f>
        <v>234.78926862149743</v>
      </c>
      <c r="F19" s="68">
        <f>'Basic T2'!AV19</f>
        <v>223.87796310261598</v>
      </c>
      <c r="G19" s="68">
        <f>'Basic T2'!BG19</f>
        <v>631.24736003065959</v>
      </c>
      <c r="H19" s="68">
        <f>'Basic T2'!BR19</f>
        <v>666.75065850594444</v>
      </c>
      <c r="I19" s="68">
        <f>'Basic T2'!CC19</f>
        <v>315.71861880024454</v>
      </c>
      <c r="J19" s="68">
        <f>'Basic T2'!CN19</f>
        <v>87.287085840792969</v>
      </c>
      <c r="K19" s="309">
        <f t="shared" si="12"/>
        <v>3065.8450120205639</v>
      </c>
      <c r="L19" s="96"/>
      <c r="M19" s="96">
        <f t="shared" si="0"/>
        <v>3.2392593540431918</v>
      </c>
      <c r="N19" s="96">
        <f t="shared" si="1"/>
        <v>5.1826903447136692</v>
      </c>
      <c r="O19" s="96">
        <f t="shared" si="2"/>
        <v>8.7486002198343709</v>
      </c>
      <c r="P19" s="96">
        <f t="shared" si="3"/>
        <v>11.427630635440272</v>
      </c>
      <c r="Q19" s="96">
        <f t="shared" si="4"/>
        <v>10.875204271730921</v>
      </c>
      <c r="R19" s="96">
        <f t="shared" si="5"/>
        <v>9.3613006766202318</v>
      </c>
      <c r="S19" s="96">
        <f t="shared" si="6"/>
        <v>10.670153579598155</v>
      </c>
      <c r="T19" s="96">
        <f t="shared" si="7"/>
        <v>8.0348094504509309</v>
      </c>
      <c r="U19" s="96">
        <f t="shared" si="8"/>
        <v>6.1043873316550616</v>
      </c>
      <c r="V19" s="96">
        <f t="shared" si="9"/>
        <v>8.7658264963118153</v>
      </c>
      <c r="W19" s="96"/>
      <c r="X19" s="96">
        <f t="shared" si="10"/>
        <v>0.64594642856590612</v>
      </c>
      <c r="Y19" s="96">
        <f t="shared" si="11"/>
        <v>7.331124767467637</v>
      </c>
      <c r="Z19" s="96">
        <f t="shared" si="11"/>
        <v>21.58000209259918</v>
      </c>
      <c r="AA19" s="96">
        <f t="shared" si="11"/>
        <v>7.6582236773527619</v>
      </c>
      <c r="AB19" s="96">
        <f t="shared" si="11"/>
        <v>7.3023248802478706</v>
      </c>
      <c r="AC19" s="96">
        <f t="shared" si="11"/>
        <v>20.589669652434001</v>
      </c>
      <c r="AD19" s="96">
        <f t="shared" si="11"/>
        <v>21.747696178109095</v>
      </c>
      <c r="AE19" s="96">
        <f t="shared" si="11"/>
        <v>10.29793148585056</v>
      </c>
      <c r="AF19" s="96">
        <f t="shared" si="11"/>
        <v>2.8470808373729852</v>
      </c>
      <c r="AG19" s="96">
        <f t="shared" si="11"/>
        <v>100</v>
      </c>
    </row>
    <row r="20" spans="1:33" x14ac:dyDescent="0.3">
      <c r="A20" s="10" t="str">
        <f>name!D16</f>
        <v>42 Secretarial and related occupations</v>
      </c>
      <c r="B20" s="68">
        <f>'Basic T2'!D20</f>
        <v>1.7400567491387777</v>
      </c>
      <c r="C20" s="68">
        <f>'Basic T2'!O20</f>
        <v>35.613587975417126</v>
      </c>
      <c r="D20" s="68">
        <f>'Basic T2'!Z20</f>
        <v>113.86086717845488</v>
      </c>
      <c r="E20" s="68">
        <f>'Basic T2'!AK20</f>
        <v>53.850500394951304</v>
      </c>
      <c r="F20" s="68">
        <f>'Basic T2'!AV20</f>
        <v>39.81905363504417</v>
      </c>
      <c r="G20" s="68">
        <f>'Basic T2'!BG20</f>
        <v>126.59107156399101</v>
      </c>
      <c r="H20" s="68">
        <f>'Basic T2'!BR20</f>
        <v>140.72583909365238</v>
      </c>
      <c r="I20" s="68">
        <f>'Basic T2'!CC20</f>
        <v>126.90681639093997</v>
      </c>
      <c r="J20" s="68">
        <f>'Basic T2'!CN20</f>
        <v>36.790482455309359</v>
      </c>
      <c r="K20" s="309">
        <f t="shared" si="12"/>
        <v>675.89827543689898</v>
      </c>
      <c r="L20" s="96"/>
      <c r="M20" s="96">
        <f t="shared" si="0"/>
        <v>0.28461804838068383</v>
      </c>
      <c r="N20" s="96">
        <f t="shared" si="1"/>
        <v>0.82120235168236189</v>
      </c>
      <c r="O20" s="96">
        <f t="shared" si="2"/>
        <v>1.5056061490414525</v>
      </c>
      <c r="P20" s="96">
        <f t="shared" si="3"/>
        <v>2.6210040674354276</v>
      </c>
      <c r="Q20" s="96">
        <f t="shared" si="4"/>
        <v>1.9342696180848673</v>
      </c>
      <c r="R20" s="96">
        <f t="shared" si="5"/>
        <v>1.8773260039115429</v>
      </c>
      <c r="S20" s="96">
        <f t="shared" si="6"/>
        <v>2.252065740905004</v>
      </c>
      <c r="T20" s="96">
        <f t="shared" si="7"/>
        <v>3.2296862679160294</v>
      </c>
      <c r="U20" s="96">
        <f t="shared" si="8"/>
        <v>2.5729276314172802</v>
      </c>
      <c r="V20" s="96">
        <f t="shared" si="9"/>
        <v>1.9325200681724775</v>
      </c>
      <c r="W20" s="96"/>
      <c r="X20" s="96">
        <f t="shared" si="10"/>
        <v>0.25744358468942818</v>
      </c>
      <c r="Y20" s="96">
        <f t="shared" si="11"/>
        <v>5.2690751359583796</v>
      </c>
      <c r="Z20" s="96">
        <f t="shared" si="11"/>
        <v>16.845858513968761</v>
      </c>
      <c r="AA20" s="96">
        <f t="shared" si="11"/>
        <v>7.9672492669318435</v>
      </c>
      <c r="AB20" s="96">
        <f t="shared" si="11"/>
        <v>5.8912790699614126</v>
      </c>
      <c r="AC20" s="96">
        <f t="shared" si="11"/>
        <v>18.729308264940141</v>
      </c>
      <c r="AD20" s="96">
        <f t="shared" si="11"/>
        <v>20.820564899753226</v>
      </c>
      <c r="AE20" s="96">
        <f t="shared" si="11"/>
        <v>18.776023109233073</v>
      </c>
      <c r="AF20" s="96">
        <f t="shared" si="11"/>
        <v>5.4431981545637296</v>
      </c>
      <c r="AG20" s="96">
        <f t="shared" si="11"/>
        <v>100</v>
      </c>
    </row>
    <row r="21" spans="1:33" x14ac:dyDescent="0.3">
      <c r="A21" s="10" t="str">
        <f>name!D17</f>
        <v>51 Skilled agricultural and related trades</v>
      </c>
      <c r="B21" s="68">
        <f>'Basic T2'!D21</f>
        <v>1.4884123598329198</v>
      </c>
      <c r="C21" s="68">
        <f>'Basic T2'!O21</f>
        <v>6.77100633343733</v>
      </c>
      <c r="D21" s="68">
        <f>'Basic T2'!Z21</f>
        <v>56.769285395540216</v>
      </c>
      <c r="E21" s="68">
        <f>'Basic T2'!AK21</f>
        <v>24.755749151580648</v>
      </c>
      <c r="F21" s="68">
        <f>'Basic T2'!AV21</f>
        <v>36.523093651073005</v>
      </c>
      <c r="G21" s="68">
        <f>'Basic T2'!BG21</f>
        <v>54.914722462399567</v>
      </c>
      <c r="H21" s="68">
        <f>'Basic T2'!BR21</f>
        <v>83.126834163824014</v>
      </c>
      <c r="I21" s="68">
        <f>'Basic T2'!CC21</f>
        <v>64.216283725149282</v>
      </c>
      <c r="J21" s="68">
        <f>'Basic T2'!CN21</f>
        <v>47.904867903668112</v>
      </c>
      <c r="K21" s="309">
        <f t="shared" si="12"/>
        <v>376.47025514650511</v>
      </c>
      <c r="L21" s="96"/>
      <c r="M21" s="96">
        <f t="shared" si="0"/>
        <v>0.24345701440542347</v>
      </c>
      <c r="N21" s="96">
        <f t="shared" si="1"/>
        <v>0.15613047267557087</v>
      </c>
      <c r="O21" s="96">
        <f t="shared" si="2"/>
        <v>0.75067217812642661</v>
      </c>
      <c r="P21" s="96">
        <f t="shared" si="3"/>
        <v>1.2049083804760192</v>
      </c>
      <c r="Q21" s="96">
        <f t="shared" si="4"/>
        <v>1.7741634709661891</v>
      </c>
      <c r="R21" s="96">
        <f t="shared" si="5"/>
        <v>0.81437683718582987</v>
      </c>
      <c r="S21" s="96">
        <f t="shared" si="6"/>
        <v>1.3302965295922258</v>
      </c>
      <c r="T21" s="96">
        <f t="shared" si="7"/>
        <v>1.6342577618905636</v>
      </c>
      <c r="U21" s="96">
        <f t="shared" si="8"/>
        <v>3.35020771903346</v>
      </c>
      <c r="V21" s="96">
        <f t="shared" si="9"/>
        <v>1.0763991410842948</v>
      </c>
      <c r="W21" s="96"/>
      <c r="X21" s="96">
        <f t="shared" si="10"/>
        <v>0.39535988288203466</v>
      </c>
      <c r="Y21" s="96">
        <f t="shared" si="11"/>
        <v>1.7985501486172826</v>
      </c>
      <c r="Z21" s="96">
        <f t="shared" si="11"/>
        <v>15.0793547749073</v>
      </c>
      <c r="AA21" s="96">
        <f t="shared" si="11"/>
        <v>6.5757516863973322</v>
      </c>
      <c r="AB21" s="96">
        <f t="shared" si="11"/>
        <v>9.7014553345947281</v>
      </c>
      <c r="AC21" s="96">
        <f t="shared" si="11"/>
        <v>14.586736059938987</v>
      </c>
      <c r="AD21" s="96">
        <f t="shared" si="11"/>
        <v>22.080584860940693</v>
      </c>
      <c r="AE21" s="96">
        <f t="shared" si="11"/>
        <v>17.057465456376953</v>
      </c>
      <c r="AF21" s="96">
        <f t="shared" si="11"/>
        <v>12.724741795344684</v>
      </c>
      <c r="AG21" s="96">
        <f t="shared" si="11"/>
        <v>100</v>
      </c>
    </row>
    <row r="22" spans="1:33" x14ac:dyDescent="0.3">
      <c r="A22" s="10" t="str">
        <f>name!D18</f>
        <v>52 Skilled metal, electrical and electronic trades</v>
      </c>
      <c r="B22" s="68">
        <f>'Basic T2'!D22</f>
        <v>1.5801811397518566</v>
      </c>
      <c r="C22" s="68">
        <f>'Basic T2'!O22</f>
        <v>25.462108374536054</v>
      </c>
      <c r="D22" s="68">
        <f>'Basic T2'!Z22</f>
        <v>65.692866033071439</v>
      </c>
      <c r="E22" s="68">
        <f>'Basic T2'!AK22</f>
        <v>24.563235430286749</v>
      </c>
      <c r="F22" s="68">
        <f>'Basic T2'!AV22</f>
        <v>96.000830028150475</v>
      </c>
      <c r="G22" s="68">
        <f>'Basic T2'!BG22</f>
        <v>455.51296583001016</v>
      </c>
      <c r="H22" s="68">
        <f>'Basic T2'!BR22</f>
        <v>261.16143278544183</v>
      </c>
      <c r="I22" s="68">
        <f>'Basic T2'!CC22</f>
        <v>121.95932290551265</v>
      </c>
      <c r="J22" s="68">
        <f>'Basic T2'!CN22</f>
        <v>50.044415724353144</v>
      </c>
      <c r="K22" s="309">
        <f t="shared" si="12"/>
        <v>1101.9773582511143</v>
      </c>
      <c r="L22" s="96"/>
      <c r="M22" s="96">
        <f t="shared" si="0"/>
        <v>0.25846747372275986</v>
      </c>
      <c r="N22" s="96">
        <f t="shared" si="1"/>
        <v>0.58712262551005345</v>
      </c>
      <c r="O22" s="96">
        <f t="shared" si="2"/>
        <v>0.86867055818686356</v>
      </c>
      <c r="P22" s="96">
        <f t="shared" si="3"/>
        <v>1.1955383794017906</v>
      </c>
      <c r="Q22" s="96">
        <f t="shared" si="4"/>
        <v>4.6633827748974044</v>
      </c>
      <c r="R22" s="96">
        <f t="shared" si="5"/>
        <v>6.7551868019323695</v>
      </c>
      <c r="S22" s="96">
        <f t="shared" si="6"/>
        <v>4.1794223392787559</v>
      </c>
      <c r="T22" s="96">
        <f t="shared" si="7"/>
        <v>3.1037761535115731</v>
      </c>
      <c r="U22" s="96">
        <f t="shared" si="8"/>
        <v>3.4998361375589884</v>
      </c>
      <c r="V22" s="96">
        <f t="shared" si="9"/>
        <v>3.1507601615278666</v>
      </c>
      <c r="W22" s="96"/>
      <c r="X22" s="96">
        <f t="shared" si="10"/>
        <v>0.14339506414720465</v>
      </c>
      <c r="Y22" s="96">
        <f t="shared" si="11"/>
        <v>2.3105836235097899</v>
      </c>
      <c r="Z22" s="96">
        <f t="shared" si="11"/>
        <v>5.9613625943575519</v>
      </c>
      <c r="AA22" s="96">
        <f t="shared" si="11"/>
        <v>2.2290145297785124</v>
      </c>
      <c r="AB22" s="96">
        <f t="shared" si="11"/>
        <v>8.7116880677573931</v>
      </c>
      <c r="AC22" s="96">
        <f t="shared" si="11"/>
        <v>41.335964157460452</v>
      </c>
      <c r="AD22" s="96">
        <f t="shared" si="11"/>
        <v>23.699346527402007</v>
      </c>
      <c r="AE22" s="96">
        <f t="shared" si="11"/>
        <v>11.06731658253554</v>
      </c>
      <c r="AF22" s="96">
        <f t="shared" si="11"/>
        <v>4.5413288530515539</v>
      </c>
      <c r="AG22" s="96">
        <f t="shared" si="11"/>
        <v>100</v>
      </c>
    </row>
    <row r="23" spans="1:33" x14ac:dyDescent="0.3">
      <c r="A23" s="10" t="str">
        <f>name!D19</f>
        <v>53 Skilled construction and building trades</v>
      </c>
      <c r="B23" s="68">
        <f>'Basic T2'!D23</f>
        <v>0.36989494069787932</v>
      </c>
      <c r="C23" s="68">
        <f>'Basic T2'!O23</f>
        <v>11.566133826631905</v>
      </c>
      <c r="D23" s="68">
        <f>'Basic T2'!Z23</f>
        <v>34.993452712279513</v>
      </c>
      <c r="E23" s="68">
        <f>'Basic T2'!AK23</f>
        <v>23.6933972913153</v>
      </c>
      <c r="F23" s="68">
        <f>'Basic T2'!AV23</f>
        <v>34.022522976831048</v>
      </c>
      <c r="G23" s="68">
        <f>'Basic T2'!BG23</f>
        <v>307.28729715413556</v>
      </c>
      <c r="H23" s="68">
        <f>'Basic T2'!BR23</f>
        <v>288.22181670821118</v>
      </c>
      <c r="I23" s="68">
        <f>'Basic T2'!CC23</f>
        <v>134.3542801704605</v>
      </c>
      <c r="J23" s="68">
        <f>'Basic T2'!CN23</f>
        <v>68.099903955622565</v>
      </c>
      <c r="K23" s="309">
        <f t="shared" si="12"/>
        <v>902.60869973618549</v>
      </c>
      <c r="L23" s="96"/>
      <c r="M23" s="96">
        <f t="shared" si="0"/>
        <v>6.0503070477112765E-2</v>
      </c>
      <c r="N23" s="96">
        <f t="shared" si="1"/>
        <v>0.26669978618439921</v>
      </c>
      <c r="O23" s="96">
        <f t="shared" si="2"/>
        <v>0.4627257712452133</v>
      </c>
      <c r="P23" s="96">
        <f t="shared" si="3"/>
        <v>1.1532017384507554</v>
      </c>
      <c r="Q23" s="96">
        <f t="shared" si="4"/>
        <v>1.6526945398511756</v>
      </c>
      <c r="R23" s="96">
        <f t="shared" si="5"/>
        <v>4.5570230703635657</v>
      </c>
      <c r="S23" s="96">
        <f t="shared" si="6"/>
        <v>4.6124754584550356</v>
      </c>
      <c r="T23" s="96">
        <f t="shared" si="7"/>
        <v>3.4192188098515519</v>
      </c>
      <c r="U23" s="96">
        <f t="shared" si="8"/>
        <v>4.7625394637628142</v>
      </c>
      <c r="V23" s="96">
        <f t="shared" si="9"/>
        <v>2.5807277357228453</v>
      </c>
      <c r="W23" s="96"/>
      <c r="X23" s="96">
        <f t="shared" si="10"/>
        <v>4.098065316742374E-2</v>
      </c>
      <c r="Y23" s="96">
        <f t="shared" si="11"/>
        <v>1.28141173800036</v>
      </c>
      <c r="Z23" s="96">
        <f t="shared" si="11"/>
        <v>3.8769239342039805</v>
      </c>
      <c r="AA23" s="96">
        <f t="shared" si="11"/>
        <v>2.6249910175074103</v>
      </c>
      <c r="AB23" s="96">
        <f t="shared" si="11"/>
        <v>3.7693546480080631</v>
      </c>
      <c r="AC23" s="96">
        <f t="shared" si="11"/>
        <v>34.044353576909856</v>
      </c>
      <c r="AD23" s="96">
        <f t="shared" si="11"/>
        <v>31.932089375213497</v>
      </c>
      <c r="AE23" s="96">
        <f t="shared" si="11"/>
        <v>14.885108044020578</v>
      </c>
      <c r="AF23" s="96">
        <f t="shared" si="11"/>
        <v>7.5447870129688326</v>
      </c>
      <c r="AG23" s="96">
        <f t="shared" si="11"/>
        <v>100</v>
      </c>
    </row>
    <row r="24" spans="1:33" x14ac:dyDescent="0.3">
      <c r="A24" s="10" t="str">
        <f>name!D20</f>
        <v>54 Textiles, printing and other skilled trades</v>
      </c>
      <c r="B24" s="68">
        <f>'Basic T2'!D24</f>
        <v>2.5618010542108673</v>
      </c>
      <c r="C24" s="68">
        <f>'Basic T2'!O24</f>
        <v>25.975102973323708</v>
      </c>
      <c r="D24" s="68">
        <f>'Basic T2'!Z24</f>
        <v>62.173549543316327</v>
      </c>
      <c r="E24" s="68">
        <f>'Basic T2'!AK24</f>
        <v>24.133652889262311</v>
      </c>
      <c r="F24" s="68">
        <f>'Basic T2'!AV24</f>
        <v>27.912249990147107</v>
      </c>
      <c r="G24" s="68">
        <f>'Basic T2'!BG24</f>
        <v>158.24189560615918</v>
      </c>
      <c r="H24" s="68">
        <f>'Basic T2'!BR24</f>
        <v>153.74958919618791</v>
      </c>
      <c r="I24" s="68">
        <f>'Basic T2'!CC24</f>
        <v>134.82055838004297</v>
      </c>
      <c r="J24" s="68">
        <f>'Basic T2'!CN24</f>
        <v>58.303554072035574</v>
      </c>
      <c r="K24" s="309">
        <f t="shared" si="12"/>
        <v>647.87195370468589</v>
      </c>
      <c r="L24" s="96"/>
      <c r="M24" s="96">
        <f t="shared" si="0"/>
        <v>0.4190293315145916</v>
      </c>
      <c r="N24" s="96">
        <f t="shared" si="1"/>
        <v>0.5989516041351659</v>
      </c>
      <c r="O24" s="96">
        <f t="shared" si="2"/>
        <v>0.82213389744728238</v>
      </c>
      <c r="P24" s="96">
        <f t="shared" si="3"/>
        <v>1.1746297976975089</v>
      </c>
      <c r="Q24" s="96">
        <f t="shared" si="4"/>
        <v>1.3558789624476542</v>
      </c>
      <c r="R24" s="96">
        <f t="shared" si="5"/>
        <v>2.3467028271384089</v>
      </c>
      <c r="S24" s="96">
        <f t="shared" si="6"/>
        <v>2.4604876029662357</v>
      </c>
      <c r="T24" s="96">
        <f t="shared" si="7"/>
        <v>3.431085251492306</v>
      </c>
      <c r="U24" s="96">
        <f t="shared" si="8"/>
        <v>4.0774356646177452</v>
      </c>
      <c r="V24" s="96">
        <f t="shared" si="9"/>
        <v>1.8523875524480506</v>
      </c>
      <c r="W24" s="96"/>
      <c r="X24" s="96">
        <f t="shared" si="10"/>
        <v>0.395417804330297</v>
      </c>
      <c r="Y24" s="96">
        <f t="shared" ref="Y24:AG32" si="13">IF($K24&gt;0,C24/$K24*100,0)</f>
        <v>4.0092957913661635</v>
      </c>
      <c r="Z24" s="96">
        <f t="shared" si="13"/>
        <v>9.5965798778282014</v>
      </c>
      <c r="AA24" s="96">
        <f t="shared" si="13"/>
        <v>3.7250652310630747</v>
      </c>
      <c r="AB24" s="96">
        <f t="shared" si="13"/>
        <v>4.3082973156251363</v>
      </c>
      <c r="AC24" s="96">
        <f t="shared" si="13"/>
        <v>24.424872029309864</v>
      </c>
      <c r="AD24" s="96">
        <f t="shared" si="13"/>
        <v>23.731477850987559</v>
      </c>
      <c r="AE24" s="96">
        <f t="shared" si="13"/>
        <v>20.809753780682581</v>
      </c>
      <c r="AF24" s="96">
        <f t="shared" si="13"/>
        <v>8.9992403188071322</v>
      </c>
      <c r="AG24" s="96">
        <f t="shared" si="13"/>
        <v>100</v>
      </c>
    </row>
    <row r="25" spans="1:33" x14ac:dyDescent="0.3">
      <c r="A25" s="10" t="str">
        <f>name!D21</f>
        <v>61 Caring personal service occupations</v>
      </c>
      <c r="B25" s="68">
        <f>'Basic T2'!D25</f>
        <v>2.2097514575264539</v>
      </c>
      <c r="C25" s="68">
        <f>'Basic T2'!O25</f>
        <v>111.49974031866401</v>
      </c>
      <c r="D25" s="68">
        <f>'Basic T2'!Z25</f>
        <v>314.79044593100093</v>
      </c>
      <c r="E25" s="68">
        <f>'Basic T2'!AK25</f>
        <v>254.33456576360231</v>
      </c>
      <c r="F25" s="68">
        <f>'Basic T2'!AV25</f>
        <v>148.80865170172794</v>
      </c>
      <c r="G25" s="68">
        <f>'Basic T2'!BG25</f>
        <v>841.74418338678629</v>
      </c>
      <c r="H25" s="68">
        <f>'Basic T2'!BR25</f>
        <v>573.12976595102077</v>
      </c>
      <c r="I25" s="68">
        <f>'Basic T2'!CC25</f>
        <v>94.272349039190743</v>
      </c>
      <c r="J25" s="68">
        <f>'Basic T2'!CN25</f>
        <v>25.285961020129925</v>
      </c>
      <c r="K25" s="309">
        <f t="shared" si="12"/>
        <v>2366.0754145696496</v>
      </c>
      <c r="L25" s="96"/>
      <c r="M25" s="96">
        <f t="shared" si="0"/>
        <v>0.36144519284146076</v>
      </c>
      <c r="N25" s="96">
        <f t="shared" si="1"/>
        <v>2.5710369038037686</v>
      </c>
      <c r="O25" s="96">
        <f t="shared" si="2"/>
        <v>4.162540149201484</v>
      </c>
      <c r="P25" s="96">
        <f t="shared" si="3"/>
        <v>12.378936620212396</v>
      </c>
      <c r="Q25" s="96">
        <f t="shared" si="4"/>
        <v>7.2286010745746347</v>
      </c>
      <c r="R25" s="96">
        <f t="shared" si="5"/>
        <v>12.482935996908004</v>
      </c>
      <c r="S25" s="96">
        <f t="shared" si="6"/>
        <v>9.1719183861623677</v>
      </c>
      <c r="T25" s="96">
        <f t="shared" si="7"/>
        <v>2.399162785694132</v>
      </c>
      <c r="U25" s="96">
        <f t="shared" si="8"/>
        <v>1.7683635400721331</v>
      </c>
      <c r="V25" s="96">
        <f t="shared" si="9"/>
        <v>6.7650538367030419</v>
      </c>
      <c r="W25" s="96"/>
      <c r="X25" s="96">
        <f t="shared" si="10"/>
        <v>9.3393111813740368E-2</v>
      </c>
      <c r="Y25" s="96">
        <f t="shared" si="13"/>
        <v>4.7124339161836897</v>
      </c>
      <c r="Z25" s="96">
        <f t="shared" si="13"/>
        <v>13.304328509252365</v>
      </c>
      <c r="AA25" s="96">
        <f t="shared" si="13"/>
        <v>10.74921636890689</v>
      </c>
      <c r="AB25" s="96">
        <f t="shared" si="13"/>
        <v>6.2892607220126919</v>
      </c>
      <c r="AC25" s="96">
        <f t="shared" si="13"/>
        <v>35.575543290106239</v>
      </c>
      <c r="AD25" s="96">
        <f t="shared" si="13"/>
        <v>24.222802131404748</v>
      </c>
      <c r="AE25" s="96">
        <f t="shared" si="13"/>
        <v>3.9843340773792431</v>
      </c>
      <c r="AF25" s="96">
        <f t="shared" si="13"/>
        <v>1.0686878729403908</v>
      </c>
      <c r="AG25" s="96">
        <f t="shared" si="13"/>
        <v>100</v>
      </c>
    </row>
    <row r="26" spans="1:33" x14ac:dyDescent="0.3">
      <c r="A26" s="10" t="str">
        <f>name!D22</f>
        <v>62 Leisure, travel and related personal service occupations</v>
      </c>
      <c r="B26" s="68">
        <f>'Basic T2'!D26</f>
        <v>1.2648086336716604</v>
      </c>
      <c r="C26" s="68">
        <f>'Basic T2'!O26</f>
        <v>19.060435242764736</v>
      </c>
      <c r="D26" s="68">
        <f>'Basic T2'!Z26</f>
        <v>84.310464209281022</v>
      </c>
      <c r="E26" s="68">
        <f>'Basic T2'!AK26</f>
        <v>52.511940412023229</v>
      </c>
      <c r="F26" s="68">
        <f>'Basic T2'!AV26</f>
        <v>68.411709234274639</v>
      </c>
      <c r="G26" s="68">
        <f>'Basic T2'!BG26</f>
        <v>177.47407626127284</v>
      </c>
      <c r="H26" s="68">
        <f>'Basic T2'!BR26</f>
        <v>172.42305690095881</v>
      </c>
      <c r="I26" s="68">
        <f>'Basic T2'!CC26</f>
        <v>112.57130260505053</v>
      </c>
      <c r="J26" s="68">
        <f>'Basic T2'!CN26</f>
        <v>40.986745382030335</v>
      </c>
      <c r="K26" s="309">
        <f t="shared" si="12"/>
        <v>729.01453888132778</v>
      </c>
      <c r="L26" s="96"/>
      <c r="M26" s="96">
        <f t="shared" si="0"/>
        <v>0.20688254280720389</v>
      </c>
      <c r="N26" s="96">
        <f t="shared" si="1"/>
        <v>0.43950848918261637</v>
      </c>
      <c r="O26" s="96">
        <f t="shared" si="2"/>
        <v>1.1148549671862371</v>
      </c>
      <c r="P26" s="96">
        <f t="shared" si="3"/>
        <v>2.5558538620700246</v>
      </c>
      <c r="Q26" s="96">
        <f t="shared" si="4"/>
        <v>3.3232002926522237</v>
      </c>
      <c r="R26" s="96">
        <f t="shared" si="5"/>
        <v>2.6319130904666448</v>
      </c>
      <c r="S26" s="96">
        <f t="shared" si="6"/>
        <v>2.7593231057613115</v>
      </c>
      <c r="T26" s="96">
        <f t="shared" si="7"/>
        <v>2.8648578581071975</v>
      </c>
      <c r="U26" s="96">
        <f t="shared" si="8"/>
        <v>2.8663915957990316</v>
      </c>
      <c r="V26" s="96">
        <f t="shared" si="9"/>
        <v>2.0843894378440355</v>
      </c>
      <c r="W26" s="96"/>
      <c r="X26" s="96">
        <f t="shared" si="10"/>
        <v>0.17349566657648671</v>
      </c>
      <c r="Y26" s="96">
        <f t="shared" si="13"/>
        <v>2.61454802698626</v>
      </c>
      <c r="Z26" s="96">
        <f t="shared" si="13"/>
        <v>11.564990780383525</v>
      </c>
      <c r="AA26" s="96">
        <f t="shared" si="13"/>
        <v>7.2031403506167049</v>
      </c>
      <c r="AB26" s="96">
        <f t="shared" si="13"/>
        <v>9.3841351009614087</v>
      </c>
      <c r="AC26" s="96">
        <f t="shared" si="13"/>
        <v>24.344380913665546</v>
      </c>
      <c r="AD26" s="96">
        <f t="shared" si="13"/>
        <v>23.651525134950237</v>
      </c>
      <c r="AE26" s="96">
        <f t="shared" si="13"/>
        <v>15.4415716835759</v>
      </c>
      <c r="AF26" s="96">
        <f t="shared" si="13"/>
        <v>5.6222123422839356</v>
      </c>
      <c r="AG26" s="96">
        <f t="shared" si="13"/>
        <v>100</v>
      </c>
    </row>
    <row r="27" spans="1:33" x14ac:dyDescent="0.3">
      <c r="A27" s="10" t="str">
        <f>name!D23</f>
        <v>63 Community and civil enforcement occupations</v>
      </c>
      <c r="B27" s="68">
        <f>'Basic T2'!D27</f>
        <v>9.8106576752121352E-2</v>
      </c>
      <c r="C27" s="68">
        <f>'Basic T2'!O27</f>
        <v>1.8723386585383628</v>
      </c>
      <c r="D27" s="68">
        <f>'Basic T2'!Z27</f>
        <v>7.1256501258323706</v>
      </c>
      <c r="E27" s="68">
        <f>'Basic T2'!AK27</f>
        <v>2.1860480622409861</v>
      </c>
      <c r="F27" s="68">
        <f>'Basic T2'!AV27</f>
        <v>1.9083351311241423</v>
      </c>
      <c r="G27" s="68">
        <f>'Basic T2'!BG27</f>
        <v>6.1924812283933264</v>
      </c>
      <c r="H27" s="68">
        <f>'Basic T2'!BR27</f>
        <v>9.1376746765425096</v>
      </c>
      <c r="I27" s="68">
        <f>'Basic T2'!CC27</f>
        <v>7.639926281830232</v>
      </c>
      <c r="J27" s="68">
        <f>'Basic T2'!CN27</f>
        <v>2.2902458439547777</v>
      </c>
      <c r="K27" s="309">
        <f t="shared" si="12"/>
        <v>38.450806585208831</v>
      </c>
      <c r="L27" s="96"/>
      <c r="M27" s="96">
        <f t="shared" si="0"/>
        <v>1.6047121694346283E-2</v>
      </c>
      <c r="N27" s="96">
        <f t="shared" si="1"/>
        <v>4.3173659183085827E-2</v>
      </c>
      <c r="O27" s="96">
        <f t="shared" si="2"/>
        <v>9.4223967472129744E-2</v>
      </c>
      <c r="P27" s="96">
        <f t="shared" si="3"/>
        <v>0.10639902732046172</v>
      </c>
      <c r="Q27" s="96">
        <f t="shared" si="4"/>
        <v>9.2700210785743725E-2</v>
      </c>
      <c r="R27" s="96">
        <f t="shared" si="5"/>
        <v>9.1833538457096991E-2</v>
      </c>
      <c r="S27" s="96">
        <f t="shared" si="6"/>
        <v>0.14623216477594858</v>
      </c>
      <c r="T27" s="96">
        <f t="shared" si="7"/>
        <v>0.19443057277796008</v>
      </c>
      <c r="U27" s="96">
        <f t="shared" si="8"/>
        <v>0.16016742432795822</v>
      </c>
      <c r="V27" s="96">
        <f t="shared" si="9"/>
        <v>0.1099380750976213</v>
      </c>
      <c r="W27" s="96"/>
      <c r="X27" s="96">
        <f t="shared" si="10"/>
        <v>0.25514829327367289</v>
      </c>
      <c r="Y27" s="96">
        <f t="shared" si="13"/>
        <v>4.8694392259084882</v>
      </c>
      <c r="Z27" s="96">
        <f t="shared" si="13"/>
        <v>18.531861249884546</v>
      </c>
      <c r="AA27" s="96">
        <f t="shared" si="13"/>
        <v>5.6853113273361355</v>
      </c>
      <c r="AB27" s="96">
        <f t="shared" si="13"/>
        <v>4.9630561764554413</v>
      </c>
      <c r="AC27" s="96">
        <f t="shared" si="13"/>
        <v>16.104944937034002</v>
      </c>
      <c r="AD27" s="96">
        <f t="shared" si="13"/>
        <v>23.764585162324188</v>
      </c>
      <c r="AE27" s="96">
        <f t="shared" si="13"/>
        <v>19.86935245402405</v>
      </c>
      <c r="AF27" s="96">
        <f t="shared" si="13"/>
        <v>5.9563011737594715</v>
      </c>
      <c r="AG27" s="96">
        <f t="shared" si="13"/>
        <v>100</v>
      </c>
    </row>
    <row r="28" spans="1:33" x14ac:dyDescent="0.3">
      <c r="A28" s="10" t="str">
        <f>name!D24</f>
        <v>71 Sales occupations</v>
      </c>
      <c r="B28" s="68">
        <f>'Basic T2'!D28</f>
        <v>5.7837414181931104</v>
      </c>
      <c r="C28" s="68">
        <f>'Basic T2'!O28</f>
        <v>86.135136388835761</v>
      </c>
      <c r="D28" s="68">
        <f>'Basic T2'!Z28</f>
        <v>312.26164799732931</v>
      </c>
      <c r="E28" s="68">
        <f>'Basic T2'!AK28</f>
        <v>102.28538888241627</v>
      </c>
      <c r="F28" s="68">
        <f>'Basic T2'!AV28</f>
        <v>81.947763896247594</v>
      </c>
      <c r="G28" s="68">
        <f>'Basic T2'!BG28</f>
        <v>574.44706606312695</v>
      </c>
      <c r="H28" s="68">
        <f>'Basic T2'!BR28</f>
        <v>528.54992747328993</v>
      </c>
      <c r="I28" s="68">
        <f>'Basic T2'!CC28</f>
        <v>350.14521210766372</v>
      </c>
      <c r="J28" s="68">
        <f>'Basic T2'!CN28</f>
        <v>140.78287427144474</v>
      </c>
      <c r="K28" s="309">
        <f t="shared" si="12"/>
        <v>2182.3387584985471</v>
      </c>
      <c r="L28" s="96"/>
      <c r="M28" s="96">
        <f t="shared" si="0"/>
        <v>0.94603649886671748</v>
      </c>
      <c r="N28" s="96">
        <f t="shared" si="1"/>
        <v>1.9861626021455212</v>
      </c>
      <c r="O28" s="96">
        <f t="shared" si="2"/>
        <v>4.1291013232644564</v>
      </c>
      <c r="P28" s="96">
        <f t="shared" si="3"/>
        <v>4.9784202251380014</v>
      </c>
      <c r="Q28" s="96">
        <f t="shared" si="4"/>
        <v>3.9807342341004852</v>
      </c>
      <c r="R28" s="96">
        <f t="shared" si="5"/>
        <v>8.5189611057669534</v>
      </c>
      <c r="S28" s="96">
        <f t="shared" si="6"/>
        <v>8.4584976837712258</v>
      </c>
      <c r="T28" s="96">
        <f t="shared" si="7"/>
        <v>8.9109412361036942</v>
      </c>
      <c r="U28" s="96">
        <f t="shared" si="8"/>
        <v>9.8455938348552774</v>
      </c>
      <c r="V28" s="96">
        <f t="shared" si="9"/>
        <v>6.23971624076556</v>
      </c>
      <c r="W28" s="96"/>
      <c r="X28" s="96">
        <f t="shared" si="10"/>
        <v>0.26502491401345657</v>
      </c>
      <c r="Y28" s="96">
        <f t="shared" si="13"/>
        <v>3.9469186923159851</v>
      </c>
      <c r="Z28" s="96">
        <f t="shared" si="13"/>
        <v>14.308578206811754</v>
      </c>
      <c r="AA28" s="96">
        <f t="shared" si="13"/>
        <v>4.686962025675097</v>
      </c>
      <c r="AB28" s="96">
        <f t="shared" si="13"/>
        <v>3.7550432341048552</v>
      </c>
      <c r="AC28" s="96">
        <f t="shared" si="13"/>
        <v>26.322543364365096</v>
      </c>
      <c r="AD28" s="96">
        <f t="shared" si="13"/>
        <v>24.21942631110732</v>
      </c>
      <c r="AE28" s="96">
        <f t="shared" si="13"/>
        <v>16.044494043104667</v>
      </c>
      <c r="AF28" s="96">
        <f t="shared" si="13"/>
        <v>6.4510092085017821</v>
      </c>
      <c r="AG28" s="96">
        <f t="shared" si="13"/>
        <v>100</v>
      </c>
    </row>
    <row r="29" spans="1:33" x14ac:dyDescent="0.3">
      <c r="A29" s="10" t="str">
        <f>name!D25</f>
        <v>72 Customer service occupations</v>
      </c>
      <c r="B29" s="68">
        <f>'Basic T2'!D29</f>
        <v>2.5976079945982908</v>
      </c>
      <c r="C29" s="68">
        <f>'Basic T2'!O29</f>
        <v>29.689288739404084</v>
      </c>
      <c r="D29" s="68">
        <f>'Basic T2'!Z29</f>
        <v>109.01741715195801</v>
      </c>
      <c r="E29" s="68">
        <f>'Basic T2'!AK29</f>
        <v>34.879594135966769</v>
      </c>
      <c r="F29" s="68">
        <f>'Basic T2'!AV29</f>
        <v>43.682996337843797</v>
      </c>
      <c r="G29" s="68">
        <f>'Basic T2'!BG29</f>
        <v>146.12673565538</v>
      </c>
      <c r="H29" s="68">
        <f>'Basic T2'!BR29</f>
        <v>145.03077250591303</v>
      </c>
      <c r="I29" s="68">
        <f>'Basic T2'!CC29</f>
        <v>67.872178374636846</v>
      </c>
      <c r="J29" s="68">
        <f>'Basic T2'!CN29</f>
        <v>25.851565821909411</v>
      </c>
      <c r="K29" s="309">
        <f t="shared" si="12"/>
        <v>604.74815671761019</v>
      </c>
      <c r="L29" s="96"/>
      <c r="M29" s="96">
        <f t="shared" si="0"/>
        <v>0.42488621031845591</v>
      </c>
      <c r="N29" s="96">
        <f t="shared" si="1"/>
        <v>0.68459582756459803</v>
      </c>
      <c r="O29" s="96">
        <f t="shared" si="2"/>
        <v>1.4415601925756603</v>
      </c>
      <c r="P29" s="96">
        <f t="shared" si="3"/>
        <v>1.6976547558588098</v>
      </c>
      <c r="Q29" s="96">
        <f t="shared" si="4"/>
        <v>2.1219663686040295</v>
      </c>
      <c r="R29" s="96">
        <f t="shared" si="5"/>
        <v>2.1670368796418793</v>
      </c>
      <c r="S29" s="96">
        <f t="shared" si="6"/>
        <v>2.3209585122472838</v>
      </c>
      <c r="T29" s="96">
        <f t="shared" si="7"/>
        <v>1.7272976243832501</v>
      </c>
      <c r="U29" s="96">
        <f t="shared" si="8"/>
        <v>1.8079188849831025</v>
      </c>
      <c r="V29" s="96">
        <f t="shared" si="9"/>
        <v>1.7290885204458601</v>
      </c>
      <c r="W29" s="96"/>
      <c r="X29" s="96">
        <f t="shared" si="10"/>
        <v>0.42953549601495611</v>
      </c>
      <c r="Y29" s="96">
        <f t="shared" si="13"/>
        <v>4.9093640732281933</v>
      </c>
      <c r="Z29" s="96">
        <f t="shared" si="13"/>
        <v>18.026911854295104</v>
      </c>
      <c r="AA29" s="96">
        <f t="shared" si="13"/>
        <v>5.7676230590404183</v>
      </c>
      <c r="AB29" s="96">
        <f t="shared" si="13"/>
        <v>7.2233368308126584</v>
      </c>
      <c r="AC29" s="96">
        <f t="shared" si="13"/>
        <v>24.163237875500386</v>
      </c>
      <c r="AD29" s="96">
        <f t="shared" si="13"/>
        <v>23.982011502622207</v>
      </c>
      <c r="AE29" s="96">
        <f t="shared" si="13"/>
        <v>11.223213766045435</v>
      </c>
      <c r="AF29" s="96">
        <f t="shared" si="13"/>
        <v>4.2747655424406545</v>
      </c>
      <c r="AG29" s="96">
        <f t="shared" si="13"/>
        <v>100</v>
      </c>
    </row>
    <row r="30" spans="1:33" x14ac:dyDescent="0.3">
      <c r="A30" s="10" t="str">
        <f>name!D26</f>
        <v>81 Process, plant and machine operatives</v>
      </c>
      <c r="B30" s="68">
        <f>'Basic T2'!D30</f>
        <v>1.7116967137911221</v>
      </c>
      <c r="C30" s="68">
        <f>'Basic T2'!O30</f>
        <v>12.368890999466219</v>
      </c>
      <c r="D30" s="68">
        <f>'Basic T2'!Z30</f>
        <v>30.494253254554017</v>
      </c>
      <c r="E30" s="68">
        <f>'Basic T2'!AK30</f>
        <v>14.468314384576399</v>
      </c>
      <c r="F30" s="68">
        <f>'Basic T2'!AV30</f>
        <v>31.56350665714438</v>
      </c>
      <c r="G30" s="68">
        <f>'Basic T2'!BG30</f>
        <v>186.56744062341284</v>
      </c>
      <c r="H30" s="68">
        <f>'Basic T2'!BR30</f>
        <v>235.04556940926216</v>
      </c>
      <c r="I30" s="68">
        <f>'Basic T2'!CC30</f>
        <v>175.8743151423312</v>
      </c>
      <c r="J30" s="68">
        <f>'Basic T2'!CN30</f>
        <v>76.979869869549916</v>
      </c>
      <c r="K30" s="309">
        <f t="shared" si="12"/>
        <v>765.07385705408819</v>
      </c>
      <c r="L30" s="96"/>
      <c r="M30" s="96">
        <f t="shared" si="0"/>
        <v>0.27997924684926712</v>
      </c>
      <c r="N30" s="96">
        <f t="shared" si="1"/>
        <v>0.28521030746679465</v>
      </c>
      <c r="O30" s="96">
        <f t="shared" si="2"/>
        <v>0.40323191231738259</v>
      </c>
      <c r="P30" s="96">
        <f t="shared" si="3"/>
        <v>0.70419978594042065</v>
      </c>
      <c r="Q30" s="96">
        <f t="shared" si="4"/>
        <v>1.5332441731714728</v>
      </c>
      <c r="R30" s="96">
        <f t="shared" si="5"/>
        <v>2.7667662769447965</v>
      </c>
      <c r="S30" s="96">
        <f t="shared" si="6"/>
        <v>3.7614845846883633</v>
      </c>
      <c r="T30" s="96">
        <f t="shared" si="7"/>
        <v>4.4758735318402874</v>
      </c>
      <c r="U30" s="96">
        <f t="shared" si="8"/>
        <v>5.3835563176119292</v>
      </c>
      <c r="V30" s="96">
        <f t="shared" si="9"/>
        <v>2.187489798572773</v>
      </c>
      <c r="W30" s="96"/>
      <c r="X30" s="96">
        <f t="shared" si="10"/>
        <v>0.22372960440473016</v>
      </c>
      <c r="Y30" s="96">
        <f t="shared" si="13"/>
        <v>1.6166924128204498</v>
      </c>
      <c r="Z30" s="96">
        <f t="shared" si="13"/>
        <v>3.9857920870505152</v>
      </c>
      <c r="AA30" s="96">
        <f t="shared" si="13"/>
        <v>1.8911003494860676</v>
      </c>
      <c r="AB30" s="96">
        <f t="shared" si="13"/>
        <v>4.1255502806852462</v>
      </c>
      <c r="AC30" s="96">
        <f t="shared" si="13"/>
        <v>24.385546428391834</v>
      </c>
      <c r="AD30" s="96">
        <f t="shared" si="13"/>
        <v>30.72194497852842</v>
      </c>
      <c r="AE30" s="96">
        <f t="shared" si="13"/>
        <v>22.987887185105773</v>
      </c>
      <c r="AF30" s="96">
        <f t="shared" si="13"/>
        <v>10.061756673526972</v>
      </c>
      <c r="AG30" s="96">
        <f t="shared" si="13"/>
        <v>100</v>
      </c>
    </row>
    <row r="31" spans="1:33" x14ac:dyDescent="0.3">
      <c r="A31" s="10" t="str">
        <f>name!D27</f>
        <v>82 Transport and mobile machine drivers and operatives</v>
      </c>
      <c r="B31" s="68">
        <f>'Basic T2'!D31</f>
        <v>3.6548992428797842</v>
      </c>
      <c r="C31" s="68">
        <f>'Basic T2'!O31</f>
        <v>25.067375964382499</v>
      </c>
      <c r="D31" s="68">
        <f>'Basic T2'!Z31</f>
        <v>68.451987288756044</v>
      </c>
      <c r="E31" s="68">
        <f>'Basic T2'!AK31</f>
        <v>32.486209972780486</v>
      </c>
      <c r="F31" s="68">
        <f>'Basic T2'!AV31</f>
        <v>52.298796913088893</v>
      </c>
      <c r="G31" s="68">
        <f>'Basic T2'!BG31</f>
        <v>241.0745869455327</v>
      </c>
      <c r="H31" s="68">
        <f>'Basic T2'!BR31</f>
        <v>345.84926207895973</v>
      </c>
      <c r="I31" s="68">
        <f>'Basic T2'!CC31</f>
        <v>285.53894769238241</v>
      </c>
      <c r="J31" s="68">
        <f>'Basic T2'!CN31</f>
        <v>137.77630501019743</v>
      </c>
      <c r="K31" s="309">
        <f t="shared" si="12"/>
        <v>1192.1983711089599</v>
      </c>
      <c r="L31" s="96"/>
      <c r="M31" s="96">
        <f t="shared" si="0"/>
        <v>0.59782549623817938</v>
      </c>
      <c r="N31" s="96">
        <f t="shared" si="1"/>
        <v>0.57802061692481632</v>
      </c>
      <c r="O31" s="96">
        <f t="shared" si="2"/>
        <v>0.90515499776169028</v>
      </c>
      <c r="P31" s="96">
        <f t="shared" si="3"/>
        <v>1.581164294662744</v>
      </c>
      <c r="Q31" s="96">
        <f t="shared" si="4"/>
        <v>2.5404916665912185</v>
      </c>
      <c r="R31" s="96">
        <f t="shared" si="5"/>
        <v>3.5750988230343603</v>
      </c>
      <c r="S31" s="96">
        <f t="shared" si="6"/>
        <v>5.5346998082346737</v>
      </c>
      <c r="T31" s="96">
        <f t="shared" si="7"/>
        <v>7.2667587490053682</v>
      </c>
      <c r="U31" s="96">
        <f t="shared" si="8"/>
        <v>9.6353306197036463</v>
      </c>
      <c r="V31" s="96">
        <f t="shared" si="9"/>
        <v>3.4087189761230534</v>
      </c>
      <c r="W31" s="96"/>
      <c r="X31" s="96">
        <f t="shared" si="10"/>
        <v>0.30656804533964155</v>
      </c>
      <c r="Y31" s="96">
        <f t="shared" si="13"/>
        <v>2.1026178672820457</v>
      </c>
      <c r="Z31" s="96">
        <f t="shared" si="13"/>
        <v>5.7416608634587654</v>
      </c>
      <c r="AA31" s="96">
        <f t="shared" si="13"/>
        <v>2.7248997113259299</v>
      </c>
      <c r="AB31" s="96">
        <f t="shared" si="13"/>
        <v>4.3867529247202013</v>
      </c>
      <c r="AC31" s="96">
        <f t="shared" si="13"/>
        <v>20.221012944455694</v>
      </c>
      <c r="AD31" s="96">
        <f t="shared" si="13"/>
        <v>29.00937213638846</v>
      </c>
      <c r="AE31" s="96">
        <f t="shared" si="13"/>
        <v>23.950623873674612</v>
      </c>
      <c r="AF31" s="96">
        <f t="shared" si="13"/>
        <v>11.556491633354655</v>
      </c>
      <c r="AG31" s="96">
        <f t="shared" si="13"/>
        <v>100</v>
      </c>
    </row>
    <row r="32" spans="1:33" x14ac:dyDescent="0.3">
      <c r="A32" s="10" t="str">
        <f>name!D28</f>
        <v>91 Elementary trades and related occupations</v>
      </c>
      <c r="B32" s="68">
        <f>'Basic T2'!D32</f>
        <v>2.851963408494251E-2</v>
      </c>
      <c r="C32" s="68">
        <f>'Basic T2'!O32</f>
        <v>6.1818939930834924</v>
      </c>
      <c r="D32" s="68">
        <f>'Basic T2'!Z32</f>
        <v>21.582487922270111</v>
      </c>
      <c r="E32" s="68">
        <f>'Basic T2'!AK32</f>
        <v>14.676446945221587</v>
      </c>
      <c r="F32" s="68">
        <f>'Basic T2'!AV32</f>
        <v>17.982728640719927</v>
      </c>
      <c r="G32" s="68">
        <f>'Basic T2'!BG32</f>
        <v>73.189875524773967</v>
      </c>
      <c r="H32" s="68">
        <f>'Basic T2'!BR32</f>
        <v>118.71429608159103</v>
      </c>
      <c r="I32" s="68">
        <f>'Basic T2'!CC32</f>
        <v>139.29122457194501</v>
      </c>
      <c r="J32" s="68">
        <f>'Basic T2'!CN32</f>
        <v>73.161157892648717</v>
      </c>
      <c r="K32" s="309">
        <f t="shared" si="12"/>
        <v>464.80863120633876</v>
      </c>
      <c r="L32" s="96"/>
      <c r="M32" s="96">
        <f t="shared" si="0"/>
        <v>4.6649068185880081E-3</v>
      </c>
      <c r="N32" s="96">
        <f t="shared" si="1"/>
        <v>0.14254631935640491</v>
      </c>
      <c r="O32" s="96">
        <f t="shared" si="2"/>
        <v>0.28538976851856895</v>
      </c>
      <c r="P32" s="96">
        <f t="shared" si="3"/>
        <v>0.71432998499179157</v>
      </c>
      <c r="Q32" s="96">
        <f t="shared" si="4"/>
        <v>0.87353772841544208</v>
      </c>
      <c r="R32" s="96">
        <f t="shared" si="5"/>
        <v>1.0853945293942129</v>
      </c>
      <c r="S32" s="96">
        <f t="shared" si="6"/>
        <v>1.8998103040841172</v>
      </c>
      <c r="T32" s="96">
        <f t="shared" si="7"/>
        <v>3.5448604577345244</v>
      </c>
      <c r="U32" s="96">
        <f t="shared" si="8"/>
        <v>5.1164962274451771</v>
      </c>
      <c r="V32" s="96">
        <f t="shared" si="9"/>
        <v>1.328975143612257</v>
      </c>
      <c r="W32" s="96"/>
      <c r="X32" s="96">
        <f t="shared" si="10"/>
        <v>6.1357797962839494E-3</v>
      </c>
      <c r="Y32" s="96">
        <f t="shared" si="13"/>
        <v>1.3299869189260416</v>
      </c>
      <c r="Z32" s="96">
        <f t="shared" si="13"/>
        <v>4.6433061852264039</v>
      </c>
      <c r="AA32" s="96">
        <f t="shared" si="13"/>
        <v>3.1575246154812451</v>
      </c>
      <c r="AB32" s="96">
        <f t="shared" si="13"/>
        <v>3.868845678284532</v>
      </c>
      <c r="AC32" s="96">
        <f t="shared" si="13"/>
        <v>15.746238475568102</v>
      </c>
      <c r="AD32" s="96">
        <f t="shared" si="13"/>
        <v>25.540467218409109</v>
      </c>
      <c r="AE32" s="96">
        <f t="shared" si="13"/>
        <v>29.967435030291117</v>
      </c>
      <c r="AF32" s="96">
        <f t="shared" si="13"/>
        <v>15.740060098017173</v>
      </c>
      <c r="AG32" s="96">
        <f t="shared" si="13"/>
        <v>100</v>
      </c>
    </row>
    <row r="33" spans="1:33" x14ac:dyDescent="0.3">
      <c r="A33" s="10" t="str">
        <f>name!D29</f>
        <v>92 Elementary administration and service occupations</v>
      </c>
      <c r="B33" s="68">
        <f>'Basic T2'!D33</f>
        <v>2.9894635853171918</v>
      </c>
      <c r="C33" s="68">
        <f>'Basic T2'!O33</f>
        <v>91.167190107563059</v>
      </c>
      <c r="D33" s="68">
        <f>'Basic T2'!Z33</f>
        <v>285.52708682207344</v>
      </c>
      <c r="E33" s="68">
        <f>'Basic T2'!AK33</f>
        <v>139.42121140341655</v>
      </c>
      <c r="F33" s="68">
        <f>'Basic T2'!AV33</f>
        <v>123.02871154173455</v>
      </c>
      <c r="G33" s="68">
        <f>'Basic T2'!BG33</f>
        <v>548.22518940471411</v>
      </c>
      <c r="H33" s="68">
        <f>'Basic T2'!BR33</f>
        <v>873.67415160818553</v>
      </c>
      <c r="I33" s="68">
        <f>'Basic T2'!CC33</f>
        <v>764.17366438553677</v>
      </c>
      <c r="J33" s="68">
        <f>'Basic T2'!CN33</f>
        <v>305.31843343212807</v>
      </c>
      <c r="K33" s="309">
        <f>SUM(B33:J33)</f>
        <v>3133.5251022906691</v>
      </c>
      <c r="L33" s="96"/>
      <c r="M33" s="96">
        <f t="shared" si="0"/>
        <v>0.48898134602749171</v>
      </c>
      <c r="N33" s="96">
        <f t="shared" si="1"/>
        <v>2.1021951218248991</v>
      </c>
      <c r="O33" s="96">
        <f t="shared" si="2"/>
        <v>3.7755846085682361</v>
      </c>
      <c r="P33" s="96">
        <f t="shared" si="3"/>
        <v>6.7858898152298188</v>
      </c>
      <c r="Q33" s="96">
        <f t="shared" si="4"/>
        <v>5.9763022262756555</v>
      </c>
      <c r="R33" s="96">
        <f t="shared" si="5"/>
        <v>8.1300947322224673</v>
      </c>
      <c r="S33" s="96">
        <f t="shared" si="6"/>
        <v>13.981594554512689</v>
      </c>
      <c r="T33" s="96">
        <f t="shared" si="7"/>
        <v>19.447664517610871</v>
      </c>
      <c r="U33" s="96">
        <f t="shared" si="8"/>
        <v>21.352322158667224</v>
      </c>
      <c r="V33" s="96">
        <f t="shared" si="9"/>
        <v>8.9593365812105503</v>
      </c>
      <c r="W33" s="96"/>
      <c r="X33" s="96">
        <f>IF($K33&gt;0,B33/$K33*100,0)</f>
        <v>9.5402573387136244E-2</v>
      </c>
      <c r="Y33" s="96">
        <f t="shared" ref="Y33" si="14">IF($K33&gt;0,C33/$K33*100,0)</f>
        <v>2.9094131092461337</v>
      </c>
      <c r="Z33" s="96">
        <f t="shared" ref="Z33" si="15">IF($K33&gt;0,D33/$K33*100,0)</f>
        <v>9.112008919709865</v>
      </c>
      <c r="AA33" s="96">
        <f t="shared" ref="AA33" si="16">IF($K33&gt;0,E33/$K33*100,0)</f>
        <v>4.4493408175188023</v>
      </c>
      <c r="AB33" s="96">
        <f t="shared" ref="AB33" si="17">IF($K33&gt;0,F33/$K33*100,0)</f>
        <v>3.9262079455434433</v>
      </c>
      <c r="AC33" s="96">
        <f t="shared" ref="AC33" si="18">IF($K33&gt;0,G33/$K33*100,0)</f>
        <v>17.495477824765171</v>
      </c>
      <c r="AD33" s="96">
        <f t="shared" ref="AD33" si="19">IF($K33&gt;0,H33/$K33*100,0)</f>
        <v>27.881511176327017</v>
      </c>
      <c r="AE33" s="96">
        <f t="shared" ref="AE33" si="20">IF($K33&gt;0,I33/$K33*100,0)</f>
        <v>24.387028647924687</v>
      </c>
      <c r="AF33" s="96">
        <f>IF($K33&gt;0,J33/$K33*100,0)</f>
        <v>9.7436089855777528</v>
      </c>
      <c r="AG33" s="96">
        <f t="shared" ref="AG33" si="21">IF($K33&gt;0,K33/$K33*100,0)</f>
        <v>100</v>
      </c>
    </row>
    <row r="34" spans="1:33" x14ac:dyDescent="0.3">
      <c r="B34" s="309"/>
      <c r="C34" s="309"/>
      <c r="D34" s="309"/>
      <c r="E34" s="68"/>
      <c r="F34" s="68"/>
      <c r="G34" s="68"/>
      <c r="H34" s="68"/>
      <c r="I34" s="68"/>
      <c r="J34" s="68"/>
      <c r="K34" s="309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spans="1:33" x14ac:dyDescent="0.3">
      <c r="A35" s="107" t="str">
        <f>name!D3</f>
        <v>All occupations</v>
      </c>
      <c r="B35" s="310">
        <f>SUM(B8:B33)</f>
        <v>611.36556836037607</v>
      </c>
      <c r="C35" s="310">
        <f t="shared" ref="C35:K35" si="22">SUM(C8:C33)</f>
        <v>4336.7615670433843</v>
      </c>
      <c r="D35" s="310">
        <f t="shared" si="22"/>
        <v>7562.4602922181639</v>
      </c>
      <c r="E35" s="310">
        <f t="shared" si="22"/>
        <v>2054.5752318363388</v>
      </c>
      <c r="F35" s="310">
        <f t="shared" si="22"/>
        <v>2058.6092684674059</v>
      </c>
      <c r="G35" s="310">
        <f t="shared" si="22"/>
        <v>6743.1586895525579</v>
      </c>
      <c r="H35" s="310">
        <f t="shared" si="22"/>
        <v>6248.7447207958057</v>
      </c>
      <c r="I35" s="310">
        <f t="shared" si="22"/>
        <v>3929.385267282546</v>
      </c>
      <c r="J35" s="310">
        <f t="shared" si="22"/>
        <v>1429.9073944432539</v>
      </c>
      <c r="K35" s="310">
        <f t="shared" si="22"/>
        <v>34974.967999999833</v>
      </c>
      <c r="L35" s="310"/>
      <c r="M35" s="97">
        <f>B35/B$35*100</f>
        <v>100</v>
      </c>
      <c r="N35" s="97">
        <f>C35/C$35*100</f>
        <v>100</v>
      </c>
      <c r="O35" s="97">
        <f>D35/D$35*100</f>
        <v>100</v>
      </c>
      <c r="P35" s="97">
        <f t="shared" ref="P35:U35" si="23">E35/E$35*100</f>
        <v>100</v>
      </c>
      <c r="Q35" s="97">
        <f t="shared" si="23"/>
        <v>100</v>
      </c>
      <c r="R35" s="97">
        <f t="shared" si="23"/>
        <v>100</v>
      </c>
      <c r="S35" s="97">
        <f t="shared" si="23"/>
        <v>100</v>
      </c>
      <c r="T35" s="97">
        <f t="shared" si="23"/>
        <v>100</v>
      </c>
      <c r="U35" s="97">
        <f t="shared" si="23"/>
        <v>100</v>
      </c>
      <c r="V35" s="97">
        <f>K35/K$35*100</f>
        <v>100</v>
      </c>
      <c r="W35" s="97"/>
      <c r="X35" s="97">
        <f>IF($K35&gt;0,B35/$K35*100,0)</f>
        <v>1.7480089427397876</v>
      </c>
      <c r="Y35" s="97">
        <f t="shared" ref="Y35:AG35" si="24">IF($K35&gt;0,C35/$K35*100,0)</f>
        <v>12.399615539443538</v>
      </c>
      <c r="Z35" s="97">
        <f t="shared" si="24"/>
        <v>21.622493813913422</v>
      </c>
      <c r="AA35" s="97">
        <f t="shared" si="24"/>
        <v>5.8744163306635437</v>
      </c>
      <c r="AB35" s="97">
        <f t="shared" si="24"/>
        <v>5.8859503987749626</v>
      </c>
      <c r="AC35" s="97">
        <f t="shared" si="24"/>
        <v>19.27995670947459</v>
      </c>
      <c r="AD35" s="97">
        <f t="shared" si="24"/>
        <v>17.866334347456259</v>
      </c>
      <c r="AE35" s="97">
        <f t="shared" si="24"/>
        <v>11.234850214251988</v>
      </c>
      <c r="AF35" s="97">
        <f t="shared" si="24"/>
        <v>4.0883737032819036</v>
      </c>
      <c r="AG35" s="97">
        <f t="shared" si="24"/>
        <v>100</v>
      </c>
    </row>
    <row r="37" spans="1:33" x14ac:dyDescent="0.3">
      <c r="A37" s="90" t="str">
        <f ca="1">CELL("filename")</f>
        <v>https://educationgovuk.sharepoint.com/sites/UnitforFutureSkills/Shared Documents/Analytical Projects/Analysis/Ad hoc/Economics Surgery/[a01may2024 (1).xlsm]Sheet1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5234375" defaultRowHeight="12.45" x14ac:dyDescent="0.3"/>
  <cols>
    <col min="1" max="1" width="33.69140625" style="90" customWidth="1"/>
    <col min="2" max="2" width="5.69140625" style="90" customWidth="1"/>
    <col min="3" max="3" width="11.69140625" style="90" customWidth="1"/>
    <col min="4" max="4" width="7.84375" style="90" customWidth="1"/>
    <col min="5" max="5" width="9.84375" style="90" customWidth="1"/>
    <col min="6" max="6" width="10" style="90" customWidth="1"/>
    <col min="7" max="7" width="2.69140625" style="90" customWidth="1"/>
    <col min="8" max="8" width="5.69140625" style="90" customWidth="1"/>
    <col min="9" max="9" width="10.69140625" style="90" customWidth="1"/>
    <col min="10" max="12" width="8.69140625" style="90" customWidth="1"/>
    <col min="13" max="13" width="2.69140625" style="90" customWidth="1"/>
    <col min="14" max="14" width="5.69140625" style="90" customWidth="1"/>
    <col min="15" max="15" width="10.69140625" style="90" customWidth="1"/>
    <col min="16" max="18" width="8.69140625" style="90" customWidth="1"/>
    <col min="19" max="19" width="2.69140625" style="90" customWidth="1"/>
    <col min="20" max="20" width="5.69140625" style="90" customWidth="1"/>
    <col min="21" max="21" width="10.69140625" style="90" customWidth="1"/>
    <col min="22" max="24" width="8.69140625" style="90" customWidth="1"/>
    <col min="25" max="25" width="33.69140625" style="90" customWidth="1"/>
    <col min="26" max="26" width="5.69140625" style="90" customWidth="1"/>
    <col min="27" max="27" width="11.69140625" style="90" customWidth="1"/>
    <col min="28" max="28" width="7.3828125" style="90" customWidth="1"/>
    <col min="29" max="30" width="8.69140625" style="90" customWidth="1"/>
    <col min="31" max="31" width="2.69140625" style="90" customWidth="1"/>
    <col min="32" max="32" width="5.69140625" style="90" customWidth="1"/>
    <col min="33" max="33" width="10.69140625" style="90" customWidth="1"/>
    <col min="34" max="36" width="8.69140625" style="90" customWidth="1"/>
    <col min="37" max="37" width="2.69140625" style="90" customWidth="1"/>
    <col min="38" max="38" width="5.69140625" style="90" customWidth="1"/>
    <col min="39" max="39" width="10.69140625" style="90" customWidth="1"/>
    <col min="40" max="42" width="8.69140625" style="90" customWidth="1"/>
    <col min="43" max="43" width="2.69140625" style="90" customWidth="1"/>
    <col min="44" max="44" width="5.69140625" style="90" customWidth="1"/>
    <col min="45" max="45" width="10.69140625" style="90" customWidth="1"/>
    <col min="46" max="48" width="8.69140625" style="90" customWidth="1"/>
    <col min="49" max="49" width="33.69140625" style="90" customWidth="1"/>
    <col min="50" max="50" width="5.69140625" style="90" customWidth="1"/>
    <col min="51" max="51" width="11.69140625" style="90" customWidth="1"/>
    <col min="52" max="52" width="7.3828125" style="90" customWidth="1"/>
    <col min="53" max="54" width="8.69140625" style="90" customWidth="1"/>
    <col min="55" max="55" width="2.69140625" style="90" customWidth="1"/>
    <col min="56" max="56" width="5.69140625" style="90" customWidth="1"/>
    <col min="57" max="57" width="10.69140625" style="90" customWidth="1"/>
    <col min="58" max="60" width="8.69140625" style="90" customWidth="1"/>
    <col min="61" max="61" width="2.69140625" style="90" customWidth="1"/>
    <col min="62" max="62" width="5.69140625" style="90" customWidth="1"/>
    <col min="63" max="63" width="10.69140625" style="90" customWidth="1"/>
    <col min="64" max="66" width="8.69140625" style="90" customWidth="1"/>
    <col min="67" max="67" width="2.69140625" style="90" customWidth="1"/>
    <col min="68" max="68" width="5.69140625" style="90" customWidth="1"/>
    <col min="69" max="69" width="10.69140625" style="90" customWidth="1"/>
    <col min="70" max="72" width="8.69140625" style="90" customWidth="1"/>
    <col min="73" max="73" width="33.69140625" style="90" customWidth="1"/>
    <col min="74" max="74" width="5.69140625" style="90" customWidth="1"/>
    <col min="75" max="75" width="11.69140625" style="90" customWidth="1"/>
    <col min="76" max="76" width="7.3828125" style="90" customWidth="1"/>
    <col min="77" max="78" width="8.69140625" style="90" customWidth="1"/>
    <col min="79" max="79" width="2.69140625" style="90" customWidth="1"/>
    <col min="80" max="80" width="5.69140625" style="90" customWidth="1"/>
    <col min="81" max="81" width="10.69140625" style="90" customWidth="1"/>
    <col min="82" max="84" width="8.69140625" style="90" customWidth="1"/>
    <col min="85" max="85" width="2.69140625" style="90" customWidth="1"/>
    <col min="86" max="86" width="5.69140625" style="90" customWidth="1"/>
    <col min="87" max="87" width="10.69140625" style="90" customWidth="1"/>
    <col min="88" max="90" width="8.69140625" style="90" customWidth="1"/>
    <col min="91" max="91" width="2.69140625" style="90" customWidth="1"/>
    <col min="92" max="92" width="5.69140625" style="90" customWidth="1"/>
    <col min="93" max="93" width="10.69140625" style="90" customWidth="1"/>
    <col min="94" max="96" width="8.69140625" style="90" customWidth="1"/>
    <col min="97" max="97" width="33.69140625" style="90" customWidth="1"/>
    <col min="98" max="98" width="5.69140625" style="90" customWidth="1"/>
    <col min="99" max="99" width="11.69140625" style="90" customWidth="1"/>
    <col min="100" max="100" width="7.3828125" style="90" customWidth="1"/>
    <col min="101" max="102" width="8.69140625" style="90" customWidth="1"/>
    <col min="103" max="103" width="2.69140625" style="90" customWidth="1"/>
    <col min="104" max="104" width="5.69140625" style="90" customWidth="1"/>
    <col min="105" max="105" width="10.69140625" style="90" customWidth="1"/>
    <col min="106" max="108" width="8.69140625" style="90" customWidth="1"/>
    <col min="109" max="109" width="2.69140625" style="90" customWidth="1"/>
    <col min="110" max="110" width="5.69140625" style="90" customWidth="1"/>
    <col min="111" max="111" width="10.69140625" style="90" customWidth="1"/>
    <col min="112" max="114" width="8.69140625" style="90" customWidth="1"/>
    <col min="115" max="115" width="2.69140625" style="90" customWidth="1"/>
    <col min="116" max="116" width="5.69140625" style="90" customWidth="1"/>
    <col min="117" max="117" width="10.69140625" style="90" customWidth="1"/>
    <col min="118" max="120" width="8.69140625" style="90" customWidth="1"/>
    <col min="121" max="16384" width="9.15234375" style="90"/>
  </cols>
  <sheetData>
    <row r="1" spans="1:120" ht="15.45" x14ac:dyDescent="0.4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45" x14ac:dyDescent="0.4">
      <c r="A2" s="18"/>
      <c r="Y2" s="18"/>
      <c r="AW2" s="18"/>
      <c r="BU2" s="18"/>
      <c r="CS2" s="18"/>
    </row>
    <row r="3" spans="1:120" x14ac:dyDescent="0.3"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115" t="s">
        <v>35</v>
      </c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115" t="str">
        <f>$X$3</f>
        <v>thousands</v>
      </c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115" t="str">
        <f>$X$3</f>
        <v>thousands</v>
      </c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115" t="str">
        <f>$X$3</f>
        <v>thousands</v>
      </c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115" t="str">
        <f>$X$3</f>
        <v>thousands</v>
      </c>
    </row>
    <row r="4" spans="1:120" x14ac:dyDescent="0.3">
      <c r="A4" s="95"/>
      <c r="B4" s="383" t="str">
        <f>name!F3</f>
        <v>All qualifications</v>
      </c>
      <c r="C4" s="383"/>
      <c r="D4" s="383"/>
      <c r="E4" s="383"/>
      <c r="F4" s="383"/>
      <c r="G4" s="102"/>
      <c r="H4" s="383" t="str">
        <f>name!F4</f>
        <v>RQF8 Doctorate</v>
      </c>
      <c r="I4" s="383"/>
      <c r="J4" s="383"/>
      <c r="K4" s="383"/>
      <c r="L4" s="383"/>
      <c r="N4" s="382" t="str">
        <f>name!F5</f>
        <v>RQF7 Other higher degree</v>
      </c>
      <c r="O4" s="382"/>
      <c r="P4" s="382"/>
      <c r="Q4" s="382"/>
      <c r="R4" s="382"/>
      <c r="S4" s="110"/>
      <c r="T4" s="382" t="str">
        <f>name!F6</f>
        <v>RQF6 First degree</v>
      </c>
      <c r="U4" s="382"/>
      <c r="V4" s="382"/>
      <c r="W4" s="382"/>
      <c r="X4" s="382"/>
      <c r="Y4" s="95"/>
      <c r="Z4" s="383" t="str">
        <f>$B$4</f>
        <v>All qualifications</v>
      </c>
      <c r="AA4" s="383"/>
      <c r="AB4" s="383"/>
      <c r="AC4" s="383"/>
      <c r="AD4" s="383"/>
      <c r="AE4" s="102"/>
      <c r="AF4" s="383" t="str">
        <f>$H$4</f>
        <v>RQF8 Doctorate</v>
      </c>
      <c r="AG4" s="383"/>
      <c r="AH4" s="383"/>
      <c r="AI4" s="383"/>
      <c r="AJ4" s="383"/>
      <c r="AL4" s="382" t="str">
        <f>$N$4</f>
        <v>RQF7 Other higher degree</v>
      </c>
      <c r="AM4" s="382"/>
      <c r="AN4" s="382"/>
      <c r="AO4" s="382"/>
      <c r="AP4" s="382"/>
      <c r="AQ4" s="110"/>
      <c r="AR4" s="382" t="str">
        <f>$T$4</f>
        <v>RQF6 First degree</v>
      </c>
      <c r="AS4" s="382"/>
      <c r="AT4" s="382"/>
      <c r="AU4" s="382"/>
      <c r="AV4" s="382"/>
      <c r="AW4" s="95"/>
      <c r="AX4" s="383" t="str">
        <f>$B$4</f>
        <v>All qualifications</v>
      </c>
      <c r="AY4" s="383"/>
      <c r="AZ4" s="383"/>
      <c r="BA4" s="383"/>
      <c r="BB4" s="383"/>
      <c r="BC4" s="102"/>
      <c r="BD4" s="383" t="str">
        <f>$H$4</f>
        <v>RQF8 Doctorate</v>
      </c>
      <c r="BE4" s="383"/>
      <c r="BF4" s="383"/>
      <c r="BG4" s="383"/>
      <c r="BH4" s="383"/>
      <c r="BJ4" s="382" t="str">
        <f>$N$4</f>
        <v>RQF7 Other higher degree</v>
      </c>
      <c r="BK4" s="382"/>
      <c r="BL4" s="382"/>
      <c r="BM4" s="382"/>
      <c r="BN4" s="382"/>
      <c r="BO4" s="110"/>
      <c r="BP4" s="382" t="str">
        <f>$T$4</f>
        <v>RQF6 First degree</v>
      </c>
      <c r="BQ4" s="382"/>
      <c r="BR4" s="382"/>
      <c r="BS4" s="382"/>
      <c r="BT4" s="382"/>
      <c r="BU4" s="95"/>
      <c r="BV4" s="383" t="str">
        <f>$B$4</f>
        <v>All qualifications</v>
      </c>
      <c r="BW4" s="383"/>
      <c r="BX4" s="383"/>
      <c r="BY4" s="383"/>
      <c r="BZ4" s="383"/>
      <c r="CA4" s="102"/>
      <c r="CB4" s="383" t="str">
        <f>$H$4</f>
        <v>RQF8 Doctorate</v>
      </c>
      <c r="CC4" s="383"/>
      <c r="CD4" s="383"/>
      <c r="CE4" s="383"/>
      <c r="CF4" s="383"/>
      <c r="CH4" s="382" t="str">
        <f>$N$4</f>
        <v>RQF7 Other higher degree</v>
      </c>
      <c r="CI4" s="382"/>
      <c r="CJ4" s="382"/>
      <c r="CK4" s="382"/>
      <c r="CL4" s="382"/>
      <c r="CM4" s="110"/>
      <c r="CN4" s="382" t="str">
        <f>$T$4</f>
        <v>RQF6 First degree</v>
      </c>
      <c r="CO4" s="382"/>
      <c r="CP4" s="382"/>
      <c r="CQ4" s="382"/>
      <c r="CR4" s="382"/>
      <c r="CS4" s="95"/>
      <c r="CT4" s="383" t="str">
        <f>$B$4</f>
        <v>All qualifications</v>
      </c>
      <c r="CU4" s="383"/>
      <c r="CV4" s="383"/>
      <c r="CW4" s="383"/>
      <c r="CX4" s="383"/>
      <c r="CY4" s="102"/>
      <c r="CZ4" s="383" t="str">
        <f>$H$4</f>
        <v>RQF8 Doctorate</v>
      </c>
      <c r="DA4" s="383"/>
      <c r="DB4" s="383"/>
      <c r="DC4" s="383"/>
      <c r="DD4" s="383"/>
      <c r="DF4" s="382" t="str">
        <f>$N$4</f>
        <v>RQF7 Other higher degree</v>
      </c>
      <c r="DG4" s="382"/>
      <c r="DH4" s="382"/>
      <c r="DI4" s="382"/>
      <c r="DJ4" s="382"/>
      <c r="DK4" s="110"/>
      <c r="DL4" s="382" t="str">
        <f>$T$4</f>
        <v>RQF6 First degree</v>
      </c>
      <c r="DM4" s="382"/>
      <c r="DN4" s="382"/>
      <c r="DO4" s="382"/>
      <c r="DP4" s="382"/>
    </row>
    <row r="6" spans="1:120" s="101" customFormat="1" ht="37.299999999999997" x14ac:dyDescent="0.3">
      <c r="A6" s="100"/>
      <c r="B6" s="105" t="s">
        <v>42</v>
      </c>
      <c r="C6" s="114" t="str">
        <f>CONCATENATE($A$100," Level")</f>
        <v>2015 Level</v>
      </c>
      <c r="D6" s="104" t="s">
        <v>40</v>
      </c>
      <c r="E6" s="114" t="s">
        <v>43</v>
      </c>
      <c r="F6" s="114" t="s">
        <v>44</v>
      </c>
      <c r="G6" s="103"/>
      <c r="H6" s="104" t="str">
        <f>B6</f>
        <v>RD p.a%</v>
      </c>
      <c r="I6" s="104" t="str">
        <f>C6</f>
        <v>2015 Level</v>
      </c>
      <c r="J6" s="104" t="str">
        <f>D6</f>
        <v>Net Change</v>
      </c>
      <c r="K6" s="104" t="str">
        <f>E6</f>
        <v>Replace-ment Demand</v>
      </c>
      <c r="L6" s="104" t="str">
        <f>F6</f>
        <v>Total Require-ment</v>
      </c>
      <c r="M6" s="103"/>
      <c r="N6" s="105" t="str">
        <f>H6</f>
        <v>RD p.a%</v>
      </c>
      <c r="O6" s="105" t="str">
        <f>I6</f>
        <v>2015 Level</v>
      </c>
      <c r="P6" s="105" t="str">
        <f>J6</f>
        <v>Net Change</v>
      </c>
      <c r="Q6" s="105" t="str">
        <f>K6</f>
        <v>Replace-ment Demand</v>
      </c>
      <c r="R6" s="105" t="str">
        <f>L6</f>
        <v>Total Require-ment</v>
      </c>
      <c r="S6" s="103"/>
      <c r="T6" s="105" t="str">
        <f>N6</f>
        <v>RD p.a%</v>
      </c>
      <c r="U6" s="105" t="str">
        <f>O6</f>
        <v>2015 Level</v>
      </c>
      <c r="V6" s="105" t="str">
        <f>P6</f>
        <v>Net Change</v>
      </c>
      <c r="W6" s="105" t="str">
        <f>Q6</f>
        <v>Replace-ment Demand</v>
      </c>
      <c r="X6" s="105" t="str">
        <f>R6</f>
        <v>Total Require-ment</v>
      </c>
      <c r="Y6" s="100"/>
      <c r="Z6" s="105" t="s">
        <v>42</v>
      </c>
      <c r="AA6" s="114" t="str">
        <f>CONCATENATE($A$100," Level")</f>
        <v>2015 Level</v>
      </c>
      <c r="AB6" s="104" t="s">
        <v>40</v>
      </c>
      <c r="AC6" s="114" t="s">
        <v>43</v>
      </c>
      <c r="AD6" s="114" t="s">
        <v>44</v>
      </c>
      <c r="AE6" s="103"/>
      <c r="AF6" s="104" t="str">
        <f>Z6</f>
        <v>RD p.a%</v>
      </c>
      <c r="AG6" s="104" t="str">
        <f>AA6</f>
        <v>2015 Level</v>
      </c>
      <c r="AH6" s="104" t="str">
        <f>AB6</f>
        <v>Net Change</v>
      </c>
      <c r="AI6" s="104" t="str">
        <f>AC6</f>
        <v>Replace-ment Demand</v>
      </c>
      <c r="AJ6" s="104" t="str">
        <f>AD6</f>
        <v>Total Require-ment</v>
      </c>
      <c r="AK6" s="103"/>
      <c r="AL6" s="105" t="str">
        <f>AF6</f>
        <v>RD p.a%</v>
      </c>
      <c r="AM6" s="105" t="str">
        <f>AG6</f>
        <v>2015 Level</v>
      </c>
      <c r="AN6" s="105" t="str">
        <f>AH6</f>
        <v>Net Change</v>
      </c>
      <c r="AO6" s="105" t="str">
        <f>AI6</f>
        <v>Replace-ment Demand</v>
      </c>
      <c r="AP6" s="105" t="str">
        <f>AJ6</f>
        <v>Total Require-ment</v>
      </c>
      <c r="AQ6" s="103"/>
      <c r="AR6" s="105" t="str">
        <f>AL6</f>
        <v>RD p.a%</v>
      </c>
      <c r="AS6" s="105" t="str">
        <f>AM6</f>
        <v>2015 Level</v>
      </c>
      <c r="AT6" s="105" t="str">
        <f>AN6</f>
        <v>Net Change</v>
      </c>
      <c r="AU6" s="105" t="str">
        <f>AO6</f>
        <v>Replace-ment Demand</v>
      </c>
      <c r="AV6" s="105" t="str">
        <f>AP6</f>
        <v>Total Require-ment</v>
      </c>
      <c r="AW6" s="100"/>
      <c r="AX6" s="105" t="s">
        <v>42</v>
      </c>
      <c r="AY6" s="114" t="str">
        <f>CONCATENATE($A$100," Level")</f>
        <v>2015 Level</v>
      </c>
      <c r="AZ6" s="104" t="s">
        <v>40</v>
      </c>
      <c r="BA6" s="114" t="s">
        <v>43</v>
      </c>
      <c r="BB6" s="114" t="s">
        <v>44</v>
      </c>
      <c r="BC6" s="103"/>
      <c r="BD6" s="104" t="str">
        <f>AX6</f>
        <v>RD p.a%</v>
      </c>
      <c r="BE6" s="104" t="str">
        <f>AY6</f>
        <v>2015 Level</v>
      </c>
      <c r="BF6" s="104" t="str">
        <f>AZ6</f>
        <v>Net Change</v>
      </c>
      <c r="BG6" s="104" t="str">
        <f>BA6</f>
        <v>Replace-ment Demand</v>
      </c>
      <c r="BH6" s="104" t="str">
        <f>BB6</f>
        <v>Total Require-ment</v>
      </c>
      <c r="BI6" s="103"/>
      <c r="BJ6" s="105" t="str">
        <f>BD6</f>
        <v>RD p.a%</v>
      </c>
      <c r="BK6" s="105" t="str">
        <f>BE6</f>
        <v>2015 Level</v>
      </c>
      <c r="BL6" s="105" t="str">
        <f>BF6</f>
        <v>Net Change</v>
      </c>
      <c r="BM6" s="105" t="str">
        <f>BG6</f>
        <v>Replace-ment Demand</v>
      </c>
      <c r="BN6" s="105" t="str">
        <f>BH6</f>
        <v>Total Require-ment</v>
      </c>
      <c r="BO6" s="103"/>
      <c r="BP6" s="105" t="str">
        <f>BJ6</f>
        <v>RD p.a%</v>
      </c>
      <c r="BQ6" s="105" t="str">
        <f>BK6</f>
        <v>2015 Level</v>
      </c>
      <c r="BR6" s="105" t="str">
        <f>BL6</f>
        <v>Net Change</v>
      </c>
      <c r="BS6" s="105" t="str">
        <f>BM6</f>
        <v>Replace-ment Demand</v>
      </c>
      <c r="BT6" s="105" t="str">
        <f>BN6</f>
        <v>Total Require-ment</v>
      </c>
      <c r="BU6" s="100"/>
      <c r="BV6" s="105" t="s">
        <v>42</v>
      </c>
      <c r="BW6" s="114" t="str">
        <f>CONCATENATE($A$100," Level")</f>
        <v>2015 Level</v>
      </c>
      <c r="BX6" s="104" t="s">
        <v>40</v>
      </c>
      <c r="BY6" s="114" t="s">
        <v>43</v>
      </c>
      <c r="BZ6" s="114" t="s">
        <v>44</v>
      </c>
      <c r="CA6" s="103"/>
      <c r="CB6" s="104" t="str">
        <f>BV6</f>
        <v>RD p.a%</v>
      </c>
      <c r="CC6" s="104" t="str">
        <f>BW6</f>
        <v>2015 Level</v>
      </c>
      <c r="CD6" s="104" t="str">
        <f>BX6</f>
        <v>Net Change</v>
      </c>
      <c r="CE6" s="104" t="str">
        <f>BY6</f>
        <v>Replace-ment Demand</v>
      </c>
      <c r="CF6" s="104" t="str">
        <f>BZ6</f>
        <v>Total Require-ment</v>
      </c>
      <c r="CG6" s="103"/>
      <c r="CH6" s="105" t="str">
        <f>CB6</f>
        <v>RD p.a%</v>
      </c>
      <c r="CI6" s="105" t="str">
        <f>CC6</f>
        <v>2015 Level</v>
      </c>
      <c r="CJ6" s="105" t="str">
        <f>CD6</f>
        <v>Net Change</v>
      </c>
      <c r="CK6" s="105" t="str">
        <f>CE6</f>
        <v>Replace-ment Demand</v>
      </c>
      <c r="CL6" s="105" t="str">
        <f>CF6</f>
        <v>Total Require-ment</v>
      </c>
      <c r="CM6" s="103"/>
      <c r="CN6" s="105" t="str">
        <f>CH6</f>
        <v>RD p.a%</v>
      </c>
      <c r="CO6" s="105" t="str">
        <f>CI6</f>
        <v>2015 Level</v>
      </c>
      <c r="CP6" s="105" t="str">
        <f>CJ6</f>
        <v>Net Change</v>
      </c>
      <c r="CQ6" s="105" t="str">
        <f>CK6</f>
        <v>Replace-ment Demand</v>
      </c>
      <c r="CR6" s="105" t="str">
        <f>CL6</f>
        <v>Total Require-ment</v>
      </c>
      <c r="CS6" s="100"/>
      <c r="CT6" s="105" t="s">
        <v>42</v>
      </c>
      <c r="CU6" s="114" t="str">
        <f>CONCATENATE($A$100," Level")</f>
        <v>2015 Level</v>
      </c>
      <c r="CV6" s="104" t="s">
        <v>40</v>
      </c>
      <c r="CW6" s="114" t="s">
        <v>43</v>
      </c>
      <c r="CX6" s="114" t="s">
        <v>44</v>
      </c>
      <c r="CY6" s="103"/>
      <c r="CZ6" s="104" t="str">
        <f>CT6</f>
        <v>RD p.a%</v>
      </c>
      <c r="DA6" s="104" t="str">
        <f>CU6</f>
        <v>2015 Level</v>
      </c>
      <c r="DB6" s="104" t="str">
        <f>CV6</f>
        <v>Net Change</v>
      </c>
      <c r="DC6" s="104" t="str">
        <f>CW6</f>
        <v>Replace-ment Demand</v>
      </c>
      <c r="DD6" s="104" t="str">
        <f>CX6</f>
        <v>Total Require-ment</v>
      </c>
      <c r="DE6" s="103"/>
      <c r="DF6" s="105" t="str">
        <f>CZ6</f>
        <v>RD p.a%</v>
      </c>
      <c r="DG6" s="105" t="str">
        <f>DA6</f>
        <v>2015 Level</v>
      </c>
      <c r="DH6" s="105" t="str">
        <f>DB6</f>
        <v>Net Change</v>
      </c>
      <c r="DI6" s="105" t="str">
        <f>DC6</f>
        <v>Replace-ment Demand</v>
      </c>
      <c r="DJ6" s="105" t="str">
        <f>DD6</f>
        <v>Total Require-ment</v>
      </c>
      <c r="DK6" s="103"/>
      <c r="DL6" s="105" t="str">
        <f>DF6</f>
        <v>RD p.a%</v>
      </c>
      <c r="DM6" s="105" t="str">
        <f>DG6</f>
        <v>2015 Level</v>
      </c>
      <c r="DN6" s="105" t="str">
        <f>DH6</f>
        <v>Net Change</v>
      </c>
      <c r="DO6" s="105" t="str">
        <f>DI6</f>
        <v>Replace-ment Demand</v>
      </c>
      <c r="DP6" s="105" t="str">
        <f>DJ6</f>
        <v>Total Require-ment</v>
      </c>
    </row>
    <row r="8" spans="1:120" x14ac:dyDescent="0.3">
      <c r="A8" s="90" t="str">
        <f>name!B4</f>
        <v>Agriculture</v>
      </c>
      <c r="B8" s="39">
        <f>IF(C8&gt;0,((1+(E8/C8))^(1/($A$101-$A$100))-1)*100,0)</f>
        <v>3.6286528043839583</v>
      </c>
      <c r="C8" s="11">
        <v>55.936999999999848</v>
      </c>
      <c r="D8" s="93">
        <v>-6.9799999999999773</v>
      </c>
      <c r="E8" s="93">
        <v>23.953969842292668</v>
      </c>
      <c r="F8" s="93">
        <f>SUM(D8:E8)</f>
        <v>16.973969842292689</v>
      </c>
      <c r="G8" s="93"/>
      <c r="H8" s="39">
        <f>IF(I8&gt;0,((1+(K8/I8))^(1/($A$101-$A$100))-1)*100,0)</f>
        <v>3.5263839839017708</v>
      </c>
      <c r="I8" s="93">
        <v>17.246149343314809</v>
      </c>
      <c r="J8" s="93">
        <v>-6.8895887133768028</v>
      </c>
      <c r="K8" s="93">
        <v>7.1433335785126539</v>
      </c>
      <c r="L8" s="93">
        <f>SUM(J8:K8)</f>
        <v>0.25374486513585115</v>
      </c>
      <c r="N8" s="39">
        <f>IF(O8&gt;0,((1+(Q8/O8))^(1/($A$101-$A$100))-1)*100,0)</f>
        <v>3.688575763403712</v>
      </c>
      <c r="O8" s="93">
        <v>26.89476620234856</v>
      </c>
      <c r="P8" s="93">
        <v>-1.7755328024279793</v>
      </c>
      <c r="Q8" s="93">
        <v>11.739873371498375</v>
      </c>
      <c r="R8" s="93">
        <f>SUM(P8:Q8)</f>
        <v>9.9643405690703943</v>
      </c>
      <c r="S8" s="106"/>
      <c r="T8" s="39">
        <f>IF(U8&gt;0,((1+(W8/U8))^(1/($A$101-$A$100))-1)*100,0)</f>
        <v>3.6405249613346236</v>
      </c>
      <c r="U8" s="93">
        <v>11.79608445433648</v>
      </c>
      <c r="V8" s="93">
        <v>1.6851215158048036</v>
      </c>
      <c r="W8" s="93">
        <v>5.0707628922816417</v>
      </c>
      <c r="X8" s="93">
        <f>SUM(V8:W8)</f>
        <v>6.7558844080864455</v>
      </c>
      <c r="Y8" s="90" t="str">
        <f t="shared" ref="Y8:Y48" si="0">A8</f>
        <v>Agriculture</v>
      </c>
      <c r="Z8" s="39">
        <f>IF(AA8&gt;0,((1+(AC8/AA8))^(1/($A$101-$A$100))-1)*100,0)</f>
        <v>3.2278133961415545</v>
      </c>
      <c r="AA8" s="11">
        <v>4.3826960714462242</v>
      </c>
      <c r="AB8" s="93">
        <v>3.8928451595904385</v>
      </c>
      <c r="AC8" s="93">
        <v>1.6388586204918438</v>
      </c>
      <c r="AD8" s="93">
        <f>SUM(AB8:AC8)</f>
        <v>5.5317037800822826</v>
      </c>
      <c r="AE8" s="93"/>
      <c r="AF8" s="39">
        <f>IF(AG8&gt;0,((1+(AI8/AG8))^(1/($A$101-$A$100))-1)*100,0)</f>
        <v>3.7281488295962228</v>
      </c>
      <c r="AG8" s="93">
        <v>0.36786575366769064</v>
      </c>
      <c r="AH8" s="93">
        <v>0.72586367094203585</v>
      </c>
      <c r="AI8" s="93">
        <v>0.16259790102888269</v>
      </c>
      <c r="AJ8" s="93">
        <f>SUM(AH8:AI8)</f>
        <v>0.88846157197091857</v>
      </c>
      <c r="AL8" s="39">
        <f>IF(AM8&gt;0,((1+(AO8/AM8))^(1/($A$101-$A$100))-1)*100,0)</f>
        <v>3.4098436752145078</v>
      </c>
      <c r="AM8" s="93">
        <v>1.6324139933768864</v>
      </c>
      <c r="AN8" s="93">
        <v>2.2923856880061342</v>
      </c>
      <c r="AO8" s="93">
        <v>0.65028751093123516</v>
      </c>
      <c r="AP8" s="93">
        <f>SUM(AN8:AO8)</f>
        <v>2.9426731989373693</v>
      </c>
      <c r="AQ8" s="106"/>
      <c r="AR8" s="39">
        <f>IF(AS8&gt;0,((1+(AU8/AS8))^(1/($A$101-$A$100))-1)*100,0)</f>
        <v>3.0212804601292831</v>
      </c>
      <c r="AS8" s="93">
        <v>2.382416324401647</v>
      </c>
      <c r="AT8" s="93">
        <v>0.87459580064226849</v>
      </c>
      <c r="AU8" s="93">
        <v>0.82597320853172596</v>
      </c>
      <c r="AV8" s="93">
        <f>SUM(AT8:AU8)</f>
        <v>1.7005690091739945</v>
      </c>
      <c r="AW8" s="90" t="str">
        <f>Y8</f>
        <v>Agriculture</v>
      </c>
      <c r="AX8" s="39">
        <f>IF(AY8&gt;0,((1+(BA8/AY8))^(1/($A$101-$A$100))-1)*100,0)</f>
        <v>2.6560490695816119</v>
      </c>
      <c r="AY8" s="11">
        <v>1.9992749386487922</v>
      </c>
      <c r="AZ8" s="93">
        <v>0.50024802314102146</v>
      </c>
      <c r="BA8" s="93">
        <v>0.59919667769333007</v>
      </c>
      <c r="BB8" s="93">
        <f>SUM(AZ8:BA8)</f>
        <v>1.0994447008343515</v>
      </c>
      <c r="BC8" s="93"/>
      <c r="BD8" s="39">
        <f>IF(BE8&gt;0,((1+(BG8/BE8))^(1/($A$101-$A$100))-1)*100,0)</f>
        <v>2.5886964610706498</v>
      </c>
      <c r="BE8" s="93">
        <v>0.35374225719986674</v>
      </c>
      <c r="BF8" s="93">
        <v>0.49967527486298247</v>
      </c>
      <c r="BG8" s="93">
        <v>0.1030114256045692</v>
      </c>
      <c r="BH8" s="93">
        <f>SUM(BF8:BG8)</f>
        <v>0.60268670046755168</v>
      </c>
      <c r="BJ8" s="39">
        <f>IF(BK8&gt;0,((1+(BM8/BK8))^(1/($A$101-$A$100))-1)*100,0)</f>
        <v>2.6156756899814892</v>
      </c>
      <c r="BK8" s="93">
        <v>0.79083739900797367</v>
      </c>
      <c r="BL8" s="93">
        <v>8.9741026511377109E-2</v>
      </c>
      <c r="BM8" s="93">
        <v>0.2329842080987119</v>
      </c>
      <c r="BN8" s="93">
        <f>SUM(BL8:BM8)</f>
        <v>0.32272523461008901</v>
      </c>
      <c r="BO8" s="106"/>
      <c r="BP8" s="39">
        <f>IF(BQ8&gt;0,((1+(BS8/BQ8))^(1/($A$101-$A$100))-1)*100,0)</f>
        <v>2.7209488084197098</v>
      </c>
      <c r="BQ8" s="93">
        <v>0.85469528244095183</v>
      </c>
      <c r="BR8" s="93">
        <v>-8.91682782333382E-2</v>
      </c>
      <c r="BS8" s="93">
        <v>0.26320104399004901</v>
      </c>
      <c r="BT8" s="93">
        <f>SUM(BR8:BS8)</f>
        <v>0.17403276575671081</v>
      </c>
      <c r="BU8" s="90" t="str">
        <f>AW8</f>
        <v>Agriculture</v>
      </c>
      <c r="BV8" s="39">
        <f>IF(BW8&gt;0,((1+(BY8/BW8))^(1/($A$101-$A$100))-1)*100,0)</f>
        <v>4.0147443282656514</v>
      </c>
      <c r="BW8" s="11">
        <v>39.351032099647234</v>
      </c>
      <c r="BX8" s="93">
        <v>-10.192568070379561</v>
      </c>
      <c r="BY8" s="93">
        <v>18.980742173027217</v>
      </c>
      <c r="BZ8" s="93">
        <f>SUM(BX8:BY8)</f>
        <v>8.7881741026476554</v>
      </c>
      <c r="CA8" s="93"/>
      <c r="CB8" s="39">
        <f>IF(CC8&gt;0,((1+(CE8/CC8))^(1/($A$101-$A$100))-1)*100,0)</f>
        <v>3.9264502862225381</v>
      </c>
      <c r="CC8" s="93">
        <v>12.261822191887621</v>
      </c>
      <c r="CD8" s="93">
        <v>-6.5032966118226403</v>
      </c>
      <c r="CE8" s="93">
        <v>5.7607158890505197</v>
      </c>
      <c r="CF8" s="93">
        <f>SUM(CD8:CE8)</f>
        <v>-0.74258072277212062</v>
      </c>
      <c r="CH8" s="39">
        <f>IF(CI8&gt;0,((1+(CK8/CI8))^(1/($A$101-$A$100))-1)*100,0)</f>
        <v>3.9924360846625317</v>
      </c>
      <c r="CI8" s="93">
        <v>20.383214444648981</v>
      </c>
      <c r="CJ8" s="93">
        <v>-4.2877513599355161</v>
      </c>
      <c r="CK8" s="93">
        <v>9.7669852444241734</v>
      </c>
      <c r="CL8" s="93">
        <f>SUM(CJ8:CK8)</f>
        <v>5.4792338844886572</v>
      </c>
      <c r="CM8" s="106"/>
      <c r="CN8" s="39">
        <f>IF(CO8&gt;0,((1+(CQ8/CO8))^(1/($A$101-$A$100))-1)*100,0)</f>
        <v>4.2410858263209894</v>
      </c>
      <c r="CO8" s="93">
        <v>6.7059954631106375</v>
      </c>
      <c r="CP8" s="93">
        <v>0.59847990137859675</v>
      </c>
      <c r="CQ8" s="93">
        <v>3.4530410395525251</v>
      </c>
      <c r="CR8" s="93">
        <f>SUM(CP8:CQ8)</f>
        <v>4.0515209409311215</v>
      </c>
      <c r="CS8" s="90" t="str">
        <f>BU8</f>
        <v>Agriculture</v>
      </c>
      <c r="CT8" s="39">
        <f>IF(CU8&gt;0,((1+(CW8/CU8))^(1/($A$101-$A$100))-1)*100,0)</f>
        <v>2.4032187492160517</v>
      </c>
      <c r="CU8" s="11">
        <v>10.203996890257596</v>
      </c>
      <c r="CV8" s="93">
        <v>-1.1805251123518785</v>
      </c>
      <c r="CW8" s="93">
        <v>2.7351723710802771</v>
      </c>
      <c r="CX8" s="93">
        <f>SUM(CV8:CW8)</f>
        <v>1.5546472587283986</v>
      </c>
      <c r="CY8" s="93"/>
      <c r="CZ8" s="39">
        <f>IF(DA8&gt;0,((1+(DC8/DA8))^(1/($A$101-$A$100))-1)*100,0)</f>
        <v>2.3545977595102796</v>
      </c>
      <c r="DA8" s="93">
        <v>4.2627191405596321</v>
      </c>
      <c r="DB8" s="93">
        <v>-1.6118310473591806</v>
      </c>
      <c r="DC8" s="93">
        <v>1.1170083628286818</v>
      </c>
      <c r="DD8" s="93">
        <f>SUM(DB8:DC8)</f>
        <v>-0.49482268453049882</v>
      </c>
      <c r="DF8" s="39">
        <f>IF(DG8&gt;0,((1+(DI8/DG8))^(1/($A$101-$A$100))-1)*100,0)</f>
        <v>2.3908685473913449</v>
      </c>
      <c r="DG8" s="93">
        <v>4.088300365314721</v>
      </c>
      <c r="DH8" s="93">
        <v>0.13009184299002535</v>
      </c>
      <c r="DI8" s="93">
        <v>1.0896164080442534</v>
      </c>
      <c r="DJ8" s="93">
        <f>SUM(DH8:DI8)</f>
        <v>1.2197082510342787</v>
      </c>
      <c r="DK8" s="106"/>
      <c r="DL8" s="39">
        <f>IF(DM8&gt;0,((1+(DO8/DM8))^(1/($A$101-$A$100))-1)*100,0)</f>
        <v>2.5412252196502561</v>
      </c>
      <c r="DM8" s="93">
        <v>1.8529773843832451</v>
      </c>
      <c r="DN8" s="93">
        <v>0.30121409201727667</v>
      </c>
      <c r="DO8" s="93">
        <v>0.52854760020734193</v>
      </c>
      <c r="DP8" s="93">
        <f>SUM(DN8:DO8)</f>
        <v>0.8297616922246186</v>
      </c>
    </row>
    <row r="9" spans="1:120" x14ac:dyDescent="0.3">
      <c r="A9" s="90" t="str">
        <f>name!B5</f>
        <v>Mining and quarrying</v>
      </c>
      <c r="B9" s="39">
        <f t="shared" ref="B9:B50" si="1">IF(C9&gt;0,((1+(E9/C9))^(1/($A$101-$A$100))-1)*100,0)</f>
        <v>2.5879456250919697</v>
      </c>
      <c r="C9" s="11">
        <v>2.8879999999999906</v>
      </c>
      <c r="D9" s="93">
        <v>0.31300000000000278</v>
      </c>
      <c r="E9" s="93">
        <v>0.84072640567762824</v>
      </c>
      <c r="F9" s="93">
        <f t="shared" ref="F9:F50" si="2">SUM(D9:E9)</f>
        <v>1.1537264056776311</v>
      </c>
      <c r="G9" s="93"/>
      <c r="H9" s="39">
        <f t="shared" ref="H9:H50" si="3">IF(I9&gt;0,((1+(K9/I9))^(1/($A$101-$A$100))-1)*100,0)</f>
        <v>2.4436532378282472</v>
      </c>
      <c r="I9" s="93">
        <v>0.56134327419487429</v>
      </c>
      <c r="J9" s="93">
        <v>-0.21770904065899815</v>
      </c>
      <c r="K9" s="93">
        <v>0.15328319439040927</v>
      </c>
      <c r="L9" s="93">
        <f t="shared" ref="L9:L48" si="4">SUM(J9:K9)</f>
        <v>-6.4425846268588882E-2</v>
      </c>
      <c r="N9" s="39">
        <f t="shared" ref="N9:N50" si="5">IF(O9&gt;0,((1+(Q9/O9))^(1/($A$101-$A$100))-1)*100,0)</f>
        <v>2.5068914334568815</v>
      </c>
      <c r="O9" s="93">
        <v>1.5400906331410087</v>
      </c>
      <c r="P9" s="93">
        <v>0.28375808682996728</v>
      </c>
      <c r="Q9" s="93">
        <v>0.43268145633424426</v>
      </c>
      <c r="R9" s="93">
        <f t="shared" ref="R9:R48" si="6">SUM(P9:Q9)</f>
        <v>0.71643954316421155</v>
      </c>
      <c r="S9" s="106"/>
      <c r="T9" s="39">
        <f t="shared" ref="T9:T50" si="7">IF(U9&gt;0,((1+(W9/U9))^(1/($A$101-$A$100))-1)*100,0)</f>
        <v>2.8454839589988623</v>
      </c>
      <c r="U9" s="93">
        <v>0.78656609266410804</v>
      </c>
      <c r="V9" s="93">
        <v>0.24695095382903356</v>
      </c>
      <c r="W9" s="93">
        <v>0.25476175495297482</v>
      </c>
      <c r="X9" s="93">
        <f t="shared" ref="X9:X48" si="8">SUM(V9:W9)</f>
        <v>0.50171270878200835</v>
      </c>
      <c r="Y9" s="90" t="str">
        <f t="shared" si="0"/>
        <v>Mining and quarrying</v>
      </c>
      <c r="Z9" s="39">
        <f t="shared" ref="Z9:Z48" si="9">IF(AA9&gt;0,((1+(AC9/AA9))^(1/($A$101-$A$100))-1)*100,0)</f>
        <v>2.8484964339744012</v>
      </c>
      <c r="AA9" s="11">
        <v>0.91916274125036446</v>
      </c>
      <c r="AB9" s="93">
        <v>0.31532613098932155</v>
      </c>
      <c r="AC9" s="93">
        <v>0.29806511305958167</v>
      </c>
      <c r="AD9" s="93">
        <f t="shared" ref="AD9:AD48" si="10">SUM(AB9:AC9)</f>
        <v>0.61339124404890322</v>
      </c>
      <c r="AE9" s="93"/>
      <c r="AF9" s="39">
        <f t="shared" ref="AF9:AF48" si="11">IF(AG9&gt;0,((1+(AI9/AG9))^(1/($A$101-$A$100))-1)*100,0)</f>
        <v>2.5647482470575023</v>
      </c>
      <c r="AG9" s="93">
        <v>6.0971942881735838E-2</v>
      </c>
      <c r="AH9" s="93">
        <v>-2.5168577316816716E-2</v>
      </c>
      <c r="AI9" s="93">
        <v>1.7571732105538661E-2</v>
      </c>
      <c r="AJ9" s="93">
        <f t="shared" ref="AJ9:AJ48" si="12">SUM(AH9:AI9)</f>
        <v>-7.5968452112780555E-3</v>
      </c>
      <c r="AL9" s="39">
        <f t="shared" ref="AL9:AL48" si="13">IF(AM9&gt;0,((1+(AO9/AM9))^(1/($A$101-$A$100))-1)*100,0)</f>
        <v>2.6969613560046124</v>
      </c>
      <c r="AM9" s="93">
        <v>0.23935227172586462</v>
      </c>
      <c r="AN9" s="93">
        <v>0.14142536362746669</v>
      </c>
      <c r="AO9" s="93">
        <v>7.2977576857019638E-2</v>
      </c>
      <c r="AP9" s="93">
        <f t="shared" ref="AP9:AP48" si="14">SUM(AN9:AO9)</f>
        <v>0.21440294048448633</v>
      </c>
      <c r="AQ9" s="106"/>
      <c r="AR9" s="39">
        <f t="shared" ref="AR9:AR48" si="15">IF(AS9&gt;0,((1+(AU9/AS9))^(1/($A$101-$A$100))-1)*100,0)</f>
        <v>2.9340110632854799</v>
      </c>
      <c r="AS9" s="93">
        <v>0.61883852664276406</v>
      </c>
      <c r="AT9" s="93">
        <v>0.19906934467867154</v>
      </c>
      <c r="AU9" s="93">
        <v>0.20751580409702336</v>
      </c>
      <c r="AV9" s="93">
        <f t="shared" ref="AV9:AV48" si="16">SUM(AT9:AU9)</f>
        <v>0.4065851487756949</v>
      </c>
      <c r="AW9" s="90" t="str">
        <f t="shared" ref="AW9:AW48" si="17">Y9</f>
        <v>Mining and quarrying</v>
      </c>
      <c r="AX9" s="39">
        <f t="shared" ref="AX9:AX48" si="18">IF(AY9&gt;0,((1+(BA9/AY9))^(1/($A$101-$A$100))-1)*100,0)</f>
        <v>2.6726206587082579</v>
      </c>
      <c r="AY9" s="11">
        <v>0.3067194252346826</v>
      </c>
      <c r="AZ9" s="93">
        <v>6.8760264538259452E-2</v>
      </c>
      <c r="BA9" s="93">
        <v>9.2569950318502167E-2</v>
      </c>
      <c r="BB9" s="93">
        <f t="shared" ref="BB9:BB48" si="19">SUM(AZ9:BA9)</f>
        <v>0.16133021485676163</v>
      </c>
      <c r="BC9" s="93"/>
      <c r="BD9" s="39">
        <f t="shared" ref="BD9:BD48" si="20">IF(BE9&gt;0,((1+(BG9/BE9))^(1/($A$101-$A$100))-1)*100,0)</f>
        <v>2.5499994113037161</v>
      </c>
      <c r="BE9" s="93">
        <v>4.8330458353493297E-2</v>
      </c>
      <c r="BF9" s="93">
        <v>1.4245064889474328E-2</v>
      </c>
      <c r="BG9" s="93">
        <v>1.3839064758290531E-2</v>
      </c>
      <c r="BH9" s="93">
        <f t="shared" ref="BH9:BH48" si="21">SUM(BF9:BG9)</f>
        <v>2.8084129647764858E-2</v>
      </c>
      <c r="BJ9" s="39">
        <f t="shared" ref="BJ9:BJ48" si="22">IF(BK9&gt;0,((1+(BM9/BK9))^(1/($A$101-$A$100))-1)*100,0)</f>
        <v>2.6327433470687112</v>
      </c>
      <c r="BK9" s="93">
        <v>0.1678509941154788</v>
      </c>
      <c r="BL9" s="93">
        <v>9.5539598382306211E-3</v>
      </c>
      <c r="BM9" s="93">
        <v>4.9811346068916303E-2</v>
      </c>
      <c r="BN9" s="93">
        <f t="shared" ref="BN9:BN48" si="23">SUM(BL9:BM9)</f>
        <v>5.936530590714692E-2</v>
      </c>
      <c r="BO9" s="106"/>
      <c r="BP9" s="39">
        <f t="shared" ref="BP9:BP48" si="24">IF(BQ9&gt;0,((1+(BS9/BQ9))^(1/($A$101-$A$100))-1)*100,0)</f>
        <v>2.8106890888395686</v>
      </c>
      <c r="BQ9" s="93">
        <v>9.0537972765710545E-2</v>
      </c>
      <c r="BR9" s="93">
        <v>4.4961239810554506E-2</v>
      </c>
      <c r="BS9" s="93">
        <v>2.8919539491295328E-2</v>
      </c>
      <c r="BT9" s="93">
        <f t="shared" ref="BT9:BT48" si="25">SUM(BR9:BS9)</f>
        <v>7.388077930184983E-2</v>
      </c>
      <c r="BU9" s="90" t="str">
        <f t="shared" ref="BU9:BU48" si="26">AW9</f>
        <v>Mining and quarrying</v>
      </c>
      <c r="BV9" s="39">
        <f t="shared" ref="BV9:BV48" si="27">IF(BW9&gt;0,((1+(BY9/BW9))^(1/($A$101-$A$100))-1)*100,0)</f>
        <v>2.4107447061383347</v>
      </c>
      <c r="BW9" s="11">
        <v>1.5632668821604008</v>
      </c>
      <c r="BX9" s="93">
        <v>-0.15103332096346828</v>
      </c>
      <c r="BY9" s="93">
        <v>0.42048964990866566</v>
      </c>
      <c r="BZ9" s="93">
        <f t="shared" ref="BZ9:BZ48" si="28">SUM(BX9:BY9)</f>
        <v>0.26945632894519739</v>
      </c>
      <c r="CA9" s="93"/>
      <c r="CB9" s="39">
        <f t="shared" ref="CB9:CB48" si="29">IF(CC9&gt;0,((1+(CE9/CC9))^(1/($A$101-$A$100))-1)*100,0)</f>
        <v>2.407525741530181</v>
      </c>
      <c r="CC9" s="93">
        <v>0.42499848743780899</v>
      </c>
      <c r="CD9" s="93">
        <v>-0.17974314270981959</v>
      </c>
      <c r="CE9" s="93">
        <v>0.11414717753563779</v>
      </c>
      <c r="CF9" s="93">
        <f t="shared" ref="CF9:CF48" si="30">SUM(CD9:CE9)</f>
        <v>-6.55959651741818E-2</v>
      </c>
      <c r="CH9" s="39">
        <f t="shared" ref="CH9:CH48" si="31">IF(CI9&gt;0,((1+(CK9/CI9))^(1/($A$101-$A$100))-1)*100,0)</f>
        <v>2.4305453687403666</v>
      </c>
      <c r="CI9" s="93">
        <v>1.0610788014669583</v>
      </c>
      <c r="CJ9" s="93">
        <v>2.578945240654381E-2</v>
      </c>
      <c r="CK9" s="93">
        <v>0.28801606100837185</v>
      </c>
      <c r="CL9" s="93">
        <f t="shared" ref="CL9:CL48" si="32">SUM(CJ9:CK9)</f>
        <v>0.31380551341491564</v>
      </c>
      <c r="CM9" s="106"/>
      <c r="CN9" s="39">
        <f t="shared" ref="CN9:CN48" si="33">IF(CO9&gt;0,((1+(CQ9/CO9))^(1/($A$101-$A$100))-1)*100,0)</f>
        <v>2.1531444581060377</v>
      </c>
      <c r="CO9" s="93">
        <v>7.7189593255633515E-2</v>
      </c>
      <c r="CP9" s="93">
        <v>2.9203693398075089E-3</v>
      </c>
      <c r="CQ9" s="93">
        <v>1.8326411364656129E-2</v>
      </c>
      <c r="CR9" s="93">
        <f t="shared" ref="CR9:CR48" si="34">SUM(CP9:CQ9)</f>
        <v>2.1246780704463637E-2</v>
      </c>
      <c r="CS9" s="90" t="str">
        <f t="shared" ref="CS9:CS48" si="35">BU9</f>
        <v>Mining and quarrying</v>
      </c>
      <c r="CT9" s="39">
        <f t="shared" ref="CT9:CT48" si="36">IF(CU9&gt;0,((1+(CW9/CU9))^(1/($A$101-$A$100))-1)*100,0)</f>
        <v>2.6540810004833215</v>
      </c>
      <c r="CU9" s="11">
        <v>9.8850951354543179E-2</v>
      </c>
      <c r="CV9" s="93">
        <v>7.9946925435890021E-2</v>
      </c>
      <c r="CW9" s="93">
        <v>2.9601692390878832E-2</v>
      </c>
      <c r="CX9" s="93">
        <f t="shared" ref="CX9:CX48" si="37">SUM(CV9:CW9)</f>
        <v>0.10954861782676885</v>
      </c>
      <c r="CY9" s="93"/>
      <c r="CZ9" s="39">
        <f t="shared" ref="CZ9:CZ48" si="38">IF(DA9&gt;0,((1+(DC9/DA9))^(1/($A$101-$A$100))-1)*100,0)</f>
        <v>2.5446431599745356</v>
      </c>
      <c r="DA9" s="93">
        <v>2.7042385521836187E-2</v>
      </c>
      <c r="DB9" s="93">
        <v>-2.7042385521836187E-2</v>
      </c>
      <c r="DC9" s="93">
        <v>7.7252199909423136E-3</v>
      </c>
      <c r="DD9" s="93">
        <f t="shared" ref="DD9:DD48" si="39">SUM(DB9:DC9)</f>
        <v>-1.9317165530893875E-2</v>
      </c>
      <c r="DF9" s="39">
        <f t="shared" ref="DF9:DF48" si="40">IF(DG9&gt;0,((1+(DI9/DG9))^(1/($A$101-$A$100))-1)*100,0)</f>
        <v>2.695023478374603</v>
      </c>
      <c r="DG9" s="93">
        <v>7.1808565832706991E-2</v>
      </c>
      <c r="DH9" s="93">
        <v>0.10698931095772621</v>
      </c>
      <c r="DI9" s="93">
        <v>2.1876472399936519E-2</v>
      </c>
      <c r="DJ9" s="93">
        <f t="shared" ref="DJ9:DJ48" si="41">SUM(DH9:DI9)</f>
        <v>0.12886578335766272</v>
      </c>
      <c r="DK9" s="106"/>
      <c r="DL9" s="39">
        <f t="shared" ref="DL9:DL48" si="42">IF(DM9&gt;0,((1+(DO9/DM9))^(1/($A$101-$A$100))-1)*100,0)</f>
        <v>0</v>
      </c>
      <c r="DM9" s="93">
        <v>0</v>
      </c>
      <c r="DN9" s="93">
        <v>0</v>
      </c>
      <c r="DO9" s="93">
        <v>0</v>
      </c>
      <c r="DP9" s="93">
        <f t="shared" ref="DP9:DP48" si="43">SUM(DN9:DO9)</f>
        <v>0</v>
      </c>
    </row>
    <row r="10" spans="1:120" x14ac:dyDescent="0.3">
      <c r="A10" s="90" t="str">
        <f>name!B6</f>
        <v>Food drink and tobacco</v>
      </c>
      <c r="B10" s="39">
        <f t="shared" si="1"/>
        <v>2.4974565282579464</v>
      </c>
      <c r="C10" s="11">
        <v>95.045497362862733</v>
      </c>
      <c r="D10" s="93">
        <v>-5.3306461845042801</v>
      </c>
      <c r="E10" s="93">
        <v>26.590587472903774</v>
      </c>
      <c r="F10" s="93">
        <f t="shared" si="2"/>
        <v>21.259941288399496</v>
      </c>
      <c r="G10" s="93"/>
      <c r="H10" s="39">
        <f t="shared" si="3"/>
        <v>2.284281579929015</v>
      </c>
      <c r="I10" s="93">
        <v>28.557886141186682</v>
      </c>
      <c r="J10" s="93">
        <v>-7.0859124796803128</v>
      </c>
      <c r="K10" s="93">
        <v>7.2365107328119995</v>
      </c>
      <c r="L10" s="93">
        <f t="shared" si="4"/>
        <v>0.15059825313168673</v>
      </c>
      <c r="N10" s="39">
        <f t="shared" si="5"/>
        <v>2.4310099949182096</v>
      </c>
      <c r="O10" s="93">
        <v>47.02342038156808</v>
      </c>
      <c r="P10" s="93">
        <v>2.711005058419897</v>
      </c>
      <c r="Q10" s="93">
        <v>12.766608810353613</v>
      </c>
      <c r="R10" s="93">
        <f t="shared" si="6"/>
        <v>15.47761386877351</v>
      </c>
      <c r="S10" s="106"/>
      <c r="T10" s="39">
        <f t="shared" si="7"/>
        <v>2.9579537866369021</v>
      </c>
      <c r="U10" s="93">
        <v>19.464190840107968</v>
      </c>
      <c r="V10" s="93">
        <v>-0.95573876324386542</v>
      </c>
      <c r="W10" s="93">
        <v>6.5874679297381604</v>
      </c>
      <c r="X10" s="93">
        <f t="shared" si="8"/>
        <v>5.6317291664942948</v>
      </c>
      <c r="Y10" s="90" t="str">
        <f t="shared" si="0"/>
        <v>Food drink and tobacco</v>
      </c>
      <c r="Z10" s="39">
        <f t="shared" si="9"/>
        <v>3.1266976916814349</v>
      </c>
      <c r="AA10" s="11">
        <v>21.34292323603459</v>
      </c>
      <c r="AB10" s="93">
        <v>-5.4147809911053627E-2</v>
      </c>
      <c r="AC10" s="93">
        <v>7.6949639013979727</v>
      </c>
      <c r="AD10" s="93">
        <f t="shared" si="10"/>
        <v>7.6408160914869194</v>
      </c>
      <c r="AE10" s="93"/>
      <c r="AF10" s="39">
        <f t="shared" si="11"/>
        <v>3.009575633743844</v>
      </c>
      <c r="AG10" s="93">
        <v>1.8592043302087065</v>
      </c>
      <c r="AH10" s="93">
        <v>-0.39908371390288427</v>
      </c>
      <c r="AI10" s="93">
        <v>0.64173468922880073</v>
      </c>
      <c r="AJ10" s="93">
        <f t="shared" si="12"/>
        <v>0.24265097532591645</v>
      </c>
      <c r="AL10" s="39">
        <f t="shared" si="13"/>
        <v>3.0478152738149689</v>
      </c>
      <c r="AM10" s="93">
        <v>7.0494146420033079</v>
      </c>
      <c r="AN10" s="93">
        <v>0.77249580975616283</v>
      </c>
      <c r="AO10" s="93">
        <v>2.4684810982893786</v>
      </c>
      <c r="AP10" s="93">
        <f t="shared" si="14"/>
        <v>3.2409769080455413</v>
      </c>
      <c r="AQ10" s="106"/>
      <c r="AR10" s="39">
        <f t="shared" si="15"/>
        <v>3.1885211674371972</v>
      </c>
      <c r="AS10" s="93">
        <v>12.434304263822574</v>
      </c>
      <c r="AT10" s="93">
        <v>-0.42755990576433228</v>
      </c>
      <c r="AU10" s="93">
        <v>4.5847481138797939</v>
      </c>
      <c r="AV10" s="93">
        <f t="shared" si="16"/>
        <v>4.1571882081154614</v>
      </c>
      <c r="AW10" s="90" t="str">
        <f t="shared" si="17"/>
        <v>Food drink and tobacco</v>
      </c>
      <c r="AX10" s="39">
        <f t="shared" si="18"/>
        <v>2.5235241914950635</v>
      </c>
      <c r="AY10" s="11">
        <v>17.336358924907866</v>
      </c>
      <c r="AZ10" s="93">
        <v>-0.12728232767007444</v>
      </c>
      <c r="BA10" s="93">
        <v>4.9066304279196737</v>
      </c>
      <c r="BB10" s="93">
        <f t="shared" si="19"/>
        <v>4.7793481002495994</v>
      </c>
      <c r="BC10" s="93"/>
      <c r="BD10" s="39">
        <f t="shared" si="20"/>
        <v>2.4363702313833224</v>
      </c>
      <c r="BE10" s="93">
        <v>3.9959783673326772</v>
      </c>
      <c r="BF10" s="93">
        <v>-0.83348086360043461</v>
      </c>
      <c r="BG10" s="93">
        <v>1.0875463509002989</v>
      </c>
      <c r="BH10" s="93">
        <f t="shared" si="21"/>
        <v>0.25406548729986433</v>
      </c>
      <c r="BJ10" s="39">
        <f t="shared" si="22"/>
        <v>2.5027216432235821</v>
      </c>
      <c r="BK10" s="93">
        <v>10.073083832716854</v>
      </c>
      <c r="BL10" s="93">
        <v>1.512717786678091</v>
      </c>
      <c r="BM10" s="93">
        <v>2.8247393034036694</v>
      </c>
      <c r="BN10" s="93">
        <f t="shared" si="23"/>
        <v>4.3374570900817604</v>
      </c>
      <c r="BO10" s="106"/>
      <c r="BP10" s="39">
        <f t="shared" si="24"/>
        <v>2.6925252680388922</v>
      </c>
      <c r="BQ10" s="93">
        <v>3.2672967248583333</v>
      </c>
      <c r="BR10" s="93">
        <v>-0.80651925074773079</v>
      </c>
      <c r="BS10" s="93">
        <v>0.9943447736157055</v>
      </c>
      <c r="BT10" s="93">
        <f t="shared" si="25"/>
        <v>0.18782552286797471</v>
      </c>
      <c r="BU10" s="90" t="str">
        <f t="shared" si="26"/>
        <v>Food drink and tobacco</v>
      </c>
      <c r="BV10" s="39">
        <f t="shared" si="27"/>
        <v>2.2441836744385046</v>
      </c>
      <c r="BW10" s="11">
        <v>49.598564072912936</v>
      </c>
      <c r="BX10" s="93">
        <v>-3.6306790931946717</v>
      </c>
      <c r="BY10" s="93">
        <v>12.324896934512662</v>
      </c>
      <c r="BZ10" s="93">
        <f t="shared" si="28"/>
        <v>8.6942178413179896</v>
      </c>
      <c r="CA10" s="93"/>
      <c r="CB10" s="39">
        <f t="shared" si="29"/>
        <v>2.1888664422200721</v>
      </c>
      <c r="CC10" s="93">
        <v>19.525240563492041</v>
      </c>
      <c r="CD10" s="93">
        <v>-4.8301674544914821</v>
      </c>
      <c r="CE10" s="93">
        <v>4.7203188998071877</v>
      </c>
      <c r="CF10" s="93">
        <f t="shared" si="30"/>
        <v>-0.10984855468429444</v>
      </c>
      <c r="CH10" s="39">
        <f t="shared" si="31"/>
        <v>2.2613705769742198</v>
      </c>
      <c r="CI10" s="93">
        <v>26.537310513901321</v>
      </c>
      <c r="CJ10" s="93">
        <v>0.90730570853380754</v>
      </c>
      <c r="CK10" s="93">
        <v>6.6500717395964477</v>
      </c>
      <c r="CL10" s="93">
        <f t="shared" si="32"/>
        <v>7.5573774481302554</v>
      </c>
      <c r="CM10" s="106"/>
      <c r="CN10" s="39">
        <f t="shared" si="33"/>
        <v>2.4184670868230285</v>
      </c>
      <c r="CO10" s="93">
        <v>3.5360129955195734</v>
      </c>
      <c r="CP10" s="93">
        <v>0.29218265276300265</v>
      </c>
      <c r="CQ10" s="93">
        <v>0.95450629510902829</v>
      </c>
      <c r="CR10" s="93">
        <f t="shared" si="34"/>
        <v>1.2466889478720309</v>
      </c>
      <c r="CS10" s="90" t="str">
        <f t="shared" si="35"/>
        <v>Food drink and tobacco</v>
      </c>
      <c r="CT10" s="39">
        <f t="shared" si="36"/>
        <v>2.2228446109720412</v>
      </c>
      <c r="CU10" s="11">
        <v>6.7676511290073389</v>
      </c>
      <c r="CV10" s="93">
        <v>-1.5185369537284803</v>
      </c>
      <c r="CW10" s="93">
        <v>1.6640962090734628</v>
      </c>
      <c r="CX10" s="93">
        <f t="shared" si="37"/>
        <v>0.14555925534498249</v>
      </c>
      <c r="CY10" s="93"/>
      <c r="CZ10" s="39">
        <f t="shared" si="38"/>
        <v>2.2373089799467394</v>
      </c>
      <c r="DA10" s="93">
        <v>3.1774628801532612</v>
      </c>
      <c r="DB10" s="93">
        <v>-1.0231804476855118</v>
      </c>
      <c r="DC10" s="93">
        <v>0.78691079287571253</v>
      </c>
      <c r="DD10" s="93">
        <f t="shared" si="39"/>
        <v>-0.23626965480979922</v>
      </c>
      <c r="DF10" s="39">
        <f t="shared" si="40"/>
        <v>2.2136668085149358</v>
      </c>
      <c r="DG10" s="93">
        <v>3.3636113929465901</v>
      </c>
      <c r="DH10" s="93">
        <v>-0.48151424654816377</v>
      </c>
      <c r="DI10" s="93">
        <v>0.82331666906411805</v>
      </c>
      <c r="DJ10" s="93">
        <f t="shared" si="41"/>
        <v>0.34180242251595427</v>
      </c>
      <c r="DK10" s="106"/>
      <c r="DL10" s="39">
        <f t="shared" si="42"/>
        <v>2.1558658032539757</v>
      </c>
      <c r="DM10" s="93">
        <v>0.22657685590748641</v>
      </c>
      <c r="DN10" s="93">
        <v>-1.3842259494804953E-2</v>
      </c>
      <c r="DO10" s="93">
        <v>5.3868747133632294E-2</v>
      </c>
      <c r="DP10" s="93">
        <f t="shared" si="43"/>
        <v>4.0026487638827338E-2</v>
      </c>
    </row>
    <row r="11" spans="1:120" x14ac:dyDescent="0.3">
      <c r="A11" s="90" t="str">
        <f>name!B7</f>
        <v>Engineering</v>
      </c>
      <c r="B11" s="39">
        <f t="shared" si="1"/>
        <v>2.3974240716110096</v>
      </c>
      <c r="C11" s="11">
        <v>26.682999999999964</v>
      </c>
      <c r="D11" s="93">
        <v>2.1359999999999681</v>
      </c>
      <c r="E11" s="93">
        <v>7.1332131341977885</v>
      </c>
      <c r="F11" s="93">
        <f t="shared" si="2"/>
        <v>9.2692131341977557</v>
      </c>
      <c r="G11" s="93"/>
      <c r="H11" s="39">
        <f t="shared" si="3"/>
        <v>2.1428388473321736</v>
      </c>
      <c r="I11" s="93">
        <v>7.7290127378228242</v>
      </c>
      <c r="J11" s="93">
        <v>-0.85964814638885922</v>
      </c>
      <c r="K11" s="93">
        <v>1.8253838239565419</v>
      </c>
      <c r="L11" s="93">
        <f t="shared" si="4"/>
        <v>0.96573567756768264</v>
      </c>
      <c r="N11" s="39">
        <f t="shared" si="5"/>
        <v>2.2704847424125818</v>
      </c>
      <c r="O11" s="93">
        <v>12.694060205112665</v>
      </c>
      <c r="P11" s="93">
        <v>1.750762648197131</v>
      </c>
      <c r="Q11" s="93">
        <v>3.1952007619921963</v>
      </c>
      <c r="R11" s="93">
        <f t="shared" si="6"/>
        <v>4.9459634101893268</v>
      </c>
      <c r="S11" s="106"/>
      <c r="T11" s="39">
        <f t="shared" si="7"/>
        <v>2.9505987528880562</v>
      </c>
      <c r="U11" s="93">
        <v>6.2599270570644734</v>
      </c>
      <c r="V11" s="93">
        <v>1.2448854981916966</v>
      </c>
      <c r="W11" s="93">
        <v>2.112628548249051</v>
      </c>
      <c r="X11" s="93">
        <f t="shared" si="8"/>
        <v>3.3575140464407474</v>
      </c>
      <c r="Y11" s="90" t="str">
        <f t="shared" si="0"/>
        <v>Engineering</v>
      </c>
      <c r="Z11" s="39">
        <f t="shared" si="9"/>
        <v>2.9893837262348733</v>
      </c>
      <c r="AA11" s="11">
        <v>6.5504971882441936</v>
      </c>
      <c r="AB11" s="93">
        <v>0.7414598842641813</v>
      </c>
      <c r="AC11" s="93">
        <v>2.243753846340574</v>
      </c>
      <c r="AD11" s="93">
        <f t="shared" si="10"/>
        <v>2.9852137306047553</v>
      </c>
      <c r="AE11" s="93"/>
      <c r="AF11" s="39">
        <f t="shared" si="11"/>
        <v>2.6484123810696314</v>
      </c>
      <c r="AG11" s="93">
        <v>0.62605054755772271</v>
      </c>
      <c r="AH11" s="93">
        <v>-4.0708044204614172E-2</v>
      </c>
      <c r="AI11" s="93">
        <v>0.18702662236296508</v>
      </c>
      <c r="AJ11" s="93">
        <f t="shared" si="12"/>
        <v>0.14631857815835092</v>
      </c>
      <c r="AL11" s="39">
        <f t="shared" si="13"/>
        <v>2.8200029669356086</v>
      </c>
      <c r="AM11" s="93">
        <v>1.9725323922654858</v>
      </c>
      <c r="AN11" s="93">
        <v>5.7186726837409781E-2</v>
      </c>
      <c r="AO11" s="93">
        <v>0.63242284192617815</v>
      </c>
      <c r="AP11" s="93">
        <f t="shared" si="14"/>
        <v>0.68960956876358792</v>
      </c>
      <c r="AQ11" s="106"/>
      <c r="AR11" s="39">
        <f t="shared" si="15"/>
        <v>3.1257074628290971</v>
      </c>
      <c r="AS11" s="93">
        <v>3.9519142484209846</v>
      </c>
      <c r="AT11" s="93">
        <v>0.72498120163138557</v>
      </c>
      <c r="AU11" s="93">
        <v>1.4243043820514307</v>
      </c>
      <c r="AV11" s="93">
        <f t="shared" si="16"/>
        <v>2.1492855836828162</v>
      </c>
      <c r="AW11" s="90" t="str">
        <f t="shared" si="17"/>
        <v>Engineering</v>
      </c>
      <c r="AX11" s="39">
        <f t="shared" si="18"/>
        <v>2.6610076636430335</v>
      </c>
      <c r="AY11" s="11">
        <v>3.2443503982662985</v>
      </c>
      <c r="AZ11" s="93">
        <v>0.14772454699359541</v>
      </c>
      <c r="BA11" s="93">
        <v>0.97439173559588765</v>
      </c>
      <c r="BB11" s="93">
        <f t="shared" si="19"/>
        <v>1.122116282589483</v>
      </c>
      <c r="BC11" s="93"/>
      <c r="BD11" s="39">
        <f t="shared" si="20"/>
        <v>2.5177966298219889</v>
      </c>
      <c r="BE11" s="93">
        <v>0.76061810370622518</v>
      </c>
      <c r="BF11" s="93">
        <v>-8.6613615501482388E-2</v>
      </c>
      <c r="BG11" s="93">
        <v>0.21472921204151713</v>
      </c>
      <c r="BH11" s="93">
        <f t="shared" si="21"/>
        <v>0.12811559654003474</v>
      </c>
      <c r="BJ11" s="39">
        <f t="shared" si="22"/>
        <v>2.6414518363808703</v>
      </c>
      <c r="BK11" s="93">
        <v>1.3612202522776553</v>
      </c>
      <c r="BL11" s="93">
        <v>-9.1457270541903425E-3</v>
      </c>
      <c r="BM11" s="93">
        <v>0.40545313032121294</v>
      </c>
      <c r="BN11" s="93">
        <f t="shared" si="23"/>
        <v>0.39630740326702257</v>
      </c>
      <c r="BO11" s="106"/>
      <c r="BP11" s="39">
        <f t="shared" si="24"/>
        <v>2.7805073211446985</v>
      </c>
      <c r="BQ11" s="93">
        <v>1.122512042282418</v>
      </c>
      <c r="BR11" s="93">
        <v>0.24348388954926817</v>
      </c>
      <c r="BS11" s="93">
        <v>0.35420939323315764</v>
      </c>
      <c r="BT11" s="93">
        <f t="shared" si="25"/>
        <v>0.59769328278242584</v>
      </c>
      <c r="BU11" s="90" t="str">
        <f t="shared" si="26"/>
        <v>Engineering</v>
      </c>
      <c r="BV11" s="39">
        <f t="shared" si="27"/>
        <v>2.0986442989320508</v>
      </c>
      <c r="BW11" s="11">
        <v>15.307841962071205</v>
      </c>
      <c r="BX11" s="93">
        <v>0.41022057712335003</v>
      </c>
      <c r="BY11" s="93">
        <v>3.5335820893340286</v>
      </c>
      <c r="BZ11" s="93">
        <f t="shared" si="28"/>
        <v>3.9438026664573789</v>
      </c>
      <c r="CA11" s="93"/>
      <c r="CB11" s="39">
        <f t="shared" si="29"/>
        <v>2.0210770566263747</v>
      </c>
      <c r="CC11" s="93">
        <v>5.8033468392667986</v>
      </c>
      <c r="CD11" s="93">
        <v>-0.34664652297871712</v>
      </c>
      <c r="CE11" s="93">
        <v>1.2855322454287512</v>
      </c>
      <c r="CF11" s="93">
        <f t="shared" si="30"/>
        <v>0.9388857224500341</v>
      </c>
      <c r="CH11" s="39">
        <f t="shared" si="31"/>
        <v>2.0955416811876404</v>
      </c>
      <c r="CI11" s="93">
        <v>8.3881190579667813</v>
      </c>
      <c r="CJ11" s="93">
        <v>0.46878350843430538</v>
      </c>
      <c r="CK11" s="93">
        <v>1.9331324937867693</v>
      </c>
      <c r="CL11" s="93">
        <f t="shared" si="32"/>
        <v>2.4019160022210748</v>
      </c>
      <c r="CM11" s="106"/>
      <c r="CN11" s="39">
        <f t="shared" si="33"/>
        <v>2.5160385347847258</v>
      </c>
      <c r="CO11" s="93">
        <v>1.1163760648376253</v>
      </c>
      <c r="CP11" s="93">
        <v>0.28808359166776182</v>
      </c>
      <c r="CQ11" s="93">
        <v>0.31491735011850813</v>
      </c>
      <c r="CR11" s="93">
        <f t="shared" si="34"/>
        <v>0.60300094178626995</v>
      </c>
      <c r="CS11" s="90" t="str">
        <f t="shared" si="35"/>
        <v>Engineering</v>
      </c>
      <c r="CT11" s="39">
        <f t="shared" si="36"/>
        <v>2.1859392974191483</v>
      </c>
      <c r="CU11" s="11">
        <v>1.5803104514182647</v>
      </c>
      <c r="CV11" s="93">
        <v>0.83659499161884154</v>
      </c>
      <c r="CW11" s="93">
        <v>0.38148546292729896</v>
      </c>
      <c r="CX11" s="93">
        <f t="shared" si="37"/>
        <v>1.2180804545461406</v>
      </c>
      <c r="CY11" s="93"/>
      <c r="CZ11" s="39">
        <f t="shared" si="38"/>
        <v>2.307194889511166</v>
      </c>
      <c r="DA11" s="93">
        <v>0.53899724729207821</v>
      </c>
      <c r="DB11" s="93">
        <v>-0.3856799637040455</v>
      </c>
      <c r="DC11" s="93">
        <v>0.13809574412330866</v>
      </c>
      <c r="DD11" s="93">
        <f t="shared" si="39"/>
        <v>-0.24758421958073684</v>
      </c>
      <c r="DF11" s="39">
        <f t="shared" si="40"/>
        <v>2.0967447677556317</v>
      </c>
      <c r="DG11" s="93">
        <v>0.97218850260274148</v>
      </c>
      <c r="DH11" s="93">
        <v>1.2339381399796061</v>
      </c>
      <c r="DI11" s="93">
        <v>0.22419229595803594</v>
      </c>
      <c r="DJ11" s="93">
        <f t="shared" si="41"/>
        <v>1.4581304359376421</v>
      </c>
      <c r="DK11" s="106"/>
      <c r="DL11" s="39">
        <f t="shared" si="42"/>
        <v>2.4810635165479544</v>
      </c>
      <c r="DM11" s="93">
        <v>6.9124701523444784E-2</v>
      </c>
      <c r="DN11" s="93">
        <v>-1.1663184656719028E-2</v>
      </c>
      <c r="DO11" s="93">
        <v>1.9197422845954378E-2</v>
      </c>
      <c r="DP11" s="93">
        <f t="shared" si="43"/>
        <v>7.53423818923535E-3</v>
      </c>
    </row>
    <row r="12" spans="1:120" x14ac:dyDescent="0.3">
      <c r="A12" s="90" t="str">
        <f>name!B8</f>
        <v>Rest of manufacturing</v>
      </c>
      <c r="B12" s="39">
        <f t="shared" si="1"/>
        <v>2.6164350010096316</v>
      </c>
      <c r="C12" s="11">
        <v>42.15199999999993</v>
      </c>
      <c r="D12" s="93">
        <v>-3.3299999999999712</v>
      </c>
      <c r="E12" s="93">
        <v>12.422204390941479</v>
      </c>
      <c r="F12" s="93">
        <f t="shared" si="2"/>
        <v>9.0922043909415073</v>
      </c>
      <c r="G12" s="93"/>
      <c r="H12" s="39">
        <f t="shared" si="3"/>
        <v>2.4469808961299799</v>
      </c>
      <c r="I12" s="93">
        <v>9.6089439679508644</v>
      </c>
      <c r="J12" s="93">
        <v>-2.1975561779706503</v>
      </c>
      <c r="K12" s="93">
        <v>2.6278403106316235</v>
      </c>
      <c r="L12" s="93">
        <f t="shared" si="4"/>
        <v>0.43028413266097321</v>
      </c>
      <c r="N12" s="39">
        <f t="shared" si="5"/>
        <v>2.5333579555699037</v>
      </c>
      <c r="O12" s="93">
        <v>22.575808590792999</v>
      </c>
      <c r="P12" s="93">
        <v>-0.95500589125711122</v>
      </c>
      <c r="Q12" s="93">
        <v>6.4173226387381153</v>
      </c>
      <c r="R12" s="93">
        <f t="shared" si="6"/>
        <v>5.4623167474810037</v>
      </c>
      <c r="S12" s="106"/>
      <c r="T12" s="39">
        <f t="shared" si="7"/>
        <v>2.9608263556274439</v>
      </c>
      <c r="U12" s="93">
        <v>9.9672474412560668</v>
      </c>
      <c r="V12" s="93">
        <v>-0.17743793077220946</v>
      </c>
      <c r="W12" s="93">
        <v>3.3770414415717394</v>
      </c>
      <c r="X12" s="93">
        <f t="shared" si="8"/>
        <v>3.19960351079953</v>
      </c>
      <c r="Y12" s="90" t="str">
        <f t="shared" si="0"/>
        <v>Rest of manufacturing</v>
      </c>
      <c r="Z12" s="39">
        <f t="shared" si="9"/>
        <v>2.9763942733826543</v>
      </c>
      <c r="AA12" s="11">
        <v>10.498945664126412</v>
      </c>
      <c r="AB12" s="93">
        <v>0.34529888283838883</v>
      </c>
      <c r="AC12" s="93">
        <v>3.5784558313106598</v>
      </c>
      <c r="AD12" s="93">
        <f t="shared" si="10"/>
        <v>3.9237547141490485</v>
      </c>
      <c r="AE12" s="93"/>
      <c r="AF12" s="39">
        <f t="shared" si="11"/>
        <v>2.7040649618628176</v>
      </c>
      <c r="AG12" s="93">
        <v>0.75816764967198691</v>
      </c>
      <c r="AH12" s="93">
        <v>-0.14426412804349217</v>
      </c>
      <c r="AI12" s="93">
        <v>0.23184690614128767</v>
      </c>
      <c r="AJ12" s="93">
        <f t="shared" si="12"/>
        <v>8.7582778097795494E-2</v>
      </c>
      <c r="AL12" s="39">
        <f t="shared" si="13"/>
        <v>2.8324908960291717</v>
      </c>
      <c r="AM12" s="93">
        <v>3.7458067354035878</v>
      </c>
      <c r="AN12" s="93">
        <v>-2.1430511128079324E-2</v>
      </c>
      <c r="AO12" s="93">
        <v>1.2069719734322446</v>
      </c>
      <c r="AP12" s="93">
        <f t="shared" si="14"/>
        <v>1.1855414623041653</v>
      </c>
      <c r="AQ12" s="106"/>
      <c r="AR12" s="39">
        <f t="shared" si="15"/>
        <v>3.0991188393576063</v>
      </c>
      <c r="AS12" s="93">
        <v>5.9949712790508363</v>
      </c>
      <c r="AT12" s="93">
        <v>0.51099352200996029</v>
      </c>
      <c r="AU12" s="93">
        <v>2.1396369517371276</v>
      </c>
      <c r="AV12" s="93">
        <f t="shared" si="16"/>
        <v>2.6506304737470878</v>
      </c>
      <c r="AW12" s="90" t="str">
        <f t="shared" si="17"/>
        <v>Rest of manufacturing</v>
      </c>
      <c r="AX12" s="39">
        <f t="shared" si="18"/>
        <v>2.667464938337738</v>
      </c>
      <c r="AY12" s="11">
        <v>4.3775371772570599</v>
      </c>
      <c r="AZ12" s="93">
        <v>-1.2645538867862174</v>
      </c>
      <c r="BA12" s="93">
        <v>1.3183086935944921</v>
      </c>
      <c r="BB12" s="93">
        <f t="shared" si="19"/>
        <v>5.3754806808274713E-2</v>
      </c>
      <c r="BC12" s="93"/>
      <c r="BD12" s="39">
        <f t="shared" si="20"/>
        <v>2.5806373974742502</v>
      </c>
      <c r="BE12" s="93">
        <v>0.50445012564800362</v>
      </c>
      <c r="BF12" s="93">
        <v>-0.13667993756951582</v>
      </c>
      <c r="BG12" s="93">
        <v>0.14638677364194702</v>
      </c>
      <c r="BH12" s="93">
        <f t="shared" si="21"/>
        <v>9.7068360724311964E-3</v>
      </c>
      <c r="BJ12" s="39">
        <f t="shared" si="22"/>
        <v>2.6049115123564892</v>
      </c>
      <c r="BK12" s="93">
        <v>2.2466979729709307</v>
      </c>
      <c r="BL12" s="93">
        <v>-0.58280055442252565</v>
      </c>
      <c r="BM12" s="93">
        <v>0.65883758800710124</v>
      </c>
      <c r="BN12" s="93">
        <f t="shared" si="23"/>
        <v>7.6037033584575586E-2</v>
      </c>
      <c r="BO12" s="106"/>
      <c r="BP12" s="39">
        <f t="shared" si="24"/>
        <v>2.779912687566588</v>
      </c>
      <c r="BQ12" s="93">
        <v>1.6263890786381248</v>
      </c>
      <c r="BR12" s="93">
        <v>-0.54507339479417605</v>
      </c>
      <c r="BS12" s="93">
        <v>0.51308433194544378</v>
      </c>
      <c r="BT12" s="93">
        <f t="shared" si="25"/>
        <v>-3.1989062848732264E-2</v>
      </c>
      <c r="BU12" s="90" t="str">
        <f t="shared" si="26"/>
        <v>Rest of manufacturing</v>
      </c>
      <c r="BV12" s="39">
        <f t="shared" si="27"/>
        <v>2.4731834060013336</v>
      </c>
      <c r="BW12" s="11">
        <v>26.112763020344723</v>
      </c>
      <c r="BX12" s="93">
        <v>-1.8174984546461121</v>
      </c>
      <c r="BY12" s="93">
        <v>7.2264319158956178</v>
      </c>
      <c r="BZ12" s="93">
        <f t="shared" si="28"/>
        <v>5.4089334612495055</v>
      </c>
      <c r="CA12" s="93"/>
      <c r="CB12" s="39">
        <f t="shared" si="29"/>
        <v>2.4168124747555364</v>
      </c>
      <c r="CC12" s="93">
        <v>7.7759473470029352</v>
      </c>
      <c r="CD12" s="93">
        <v>-1.7158164744931881</v>
      </c>
      <c r="CE12" s="93">
        <v>2.0974328886080462</v>
      </c>
      <c r="CF12" s="93">
        <f t="shared" si="30"/>
        <v>0.38161641411485814</v>
      </c>
      <c r="CH12" s="39">
        <f t="shared" si="31"/>
        <v>2.4638206980051702</v>
      </c>
      <c r="CI12" s="93">
        <v>16.01397145403611</v>
      </c>
      <c r="CJ12" s="93">
        <v>5.414488253187176E-2</v>
      </c>
      <c r="CK12" s="93">
        <v>4.4130248025048795</v>
      </c>
      <c r="CL12" s="93">
        <f t="shared" si="32"/>
        <v>4.467169685036751</v>
      </c>
      <c r="CM12" s="106"/>
      <c r="CN12" s="39">
        <f t="shared" si="33"/>
        <v>2.7231827177615964</v>
      </c>
      <c r="CO12" s="93">
        <v>2.3228442193056784</v>
      </c>
      <c r="CP12" s="93">
        <v>-0.15582686268479601</v>
      </c>
      <c r="CQ12" s="93">
        <v>0.71597422478269179</v>
      </c>
      <c r="CR12" s="93">
        <f t="shared" si="34"/>
        <v>0.56014736209789584</v>
      </c>
      <c r="CS12" s="90" t="str">
        <f t="shared" si="35"/>
        <v>Rest of manufacturing</v>
      </c>
      <c r="CT12" s="39">
        <f t="shared" si="36"/>
        <v>2.3148990339762587</v>
      </c>
      <c r="CU12" s="11">
        <v>1.1627541382717359</v>
      </c>
      <c r="CV12" s="93">
        <v>-0.59324654140603028</v>
      </c>
      <c r="CW12" s="93">
        <v>0.2990079501407093</v>
      </c>
      <c r="CX12" s="93">
        <f t="shared" si="37"/>
        <v>-0.29423859126532098</v>
      </c>
      <c r="CY12" s="93"/>
      <c r="CZ12" s="39">
        <f t="shared" si="38"/>
        <v>2.3930795875785948</v>
      </c>
      <c r="DA12" s="93">
        <v>0.57037884562794017</v>
      </c>
      <c r="DB12" s="93">
        <v>-0.20079563786445448</v>
      </c>
      <c r="DC12" s="93">
        <v>0.15217374224034305</v>
      </c>
      <c r="DD12" s="93">
        <f t="shared" si="39"/>
        <v>-4.8621895624111428E-2</v>
      </c>
      <c r="DF12" s="39">
        <f t="shared" si="40"/>
        <v>2.201138550303483</v>
      </c>
      <c r="DG12" s="93">
        <v>0.56933242838237019</v>
      </c>
      <c r="DH12" s="93">
        <v>-0.40491970823837808</v>
      </c>
      <c r="DI12" s="93">
        <v>0.13848827479389025</v>
      </c>
      <c r="DJ12" s="93">
        <f t="shared" si="41"/>
        <v>-0.26643143344448783</v>
      </c>
      <c r="DK12" s="106"/>
      <c r="DL12" s="39">
        <f t="shared" si="42"/>
        <v>3.1392149650770529</v>
      </c>
      <c r="DM12" s="93">
        <v>2.3042864261425509E-2</v>
      </c>
      <c r="DN12" s="93">
        <v>1.2468804696802241E-2</v>
      </c>
      <c r="DO12" s="93">
        <v>8.3459331064760084E-3</v>
      </c>
      <c r="DP12" s="93">
        <f t="shared" si="43"/>
        <v>2.0814737803278249E-2</v>
      </c>
    </row>
    <row r="13" spans="1:120" x14ac:dyDescent="0.3">
      <c r="A13" s="90" t="str">
        <f>name!B9</f>
        <v>Electricity and gas</v>
      </c>
      <c r="B13" s="39">
        <f t="shared" si="1"/>
        <v>2.751547529508569</v>
      </c>
      <c r="C13" s="11">
        <v>5.0589999999999913</v>
      </c>
      <c r="D13" s="93">
        <v>2.0489999999999946</v>
      </c>
      <c r="E13" s="93">
        <v>1.5776420433154477</v>
      </c>
      <c r="F13" s="93">
        <f t="shared" si="2"/>
        <v>3.6266420433154423</v>
      </c>
      <c r="G13" s="93"/>
      <c r="H13" s="39">
        <f t="shared" si="3"/>
        <v>2.5733600826927994</v>
      </c>
      <c r="I13" s="93">
        <v>0.31361419735656709</v>
      </c>
      <c r="J13" s="93">
        <v>7.8773033073184756E-2</v>
      </c>
      <c r="K13" s="93">
        <v>9.0720990468516644E-2</v>
      </c>
      <c r="L13" s="93">
        <f t="shared" si="4"/>
        <v>0.1694940235417014</v>
      </c>
      <c r="N13" s="39">
        <f t="shared" si="5"/>
        <v>2.5323926518590278</v>
      </c>
      <c r="O13" s="93">
        <v>1.1279969424904663</v>
      </c>
      <c r="P13" s="93">
        <v>0.17361487914005555</v>
      </c>
      <c r="Q13" s="93">
        <v>0.32050420132079388</v>
      </c>
      <c r="R13" s="93">
        <f t="shared" si="6"/>
        <v>0.4941190804608494</v>
      </c>
      <c r="S13" s="106"/>
      <c r="T13" s="39">
        <f t="shared" si="7"/>
        <v>2.8342615174113073</v>
      </c>
      <c r="U13" s="93">
        <v>3.6173888601529574</v>
      </c>
      <c r="V13" s="93">
        <v>1.7966120877867537</v>
      </c>
      <c r="W13" s="93">
        <v>1.1664168515261377</v>
      </c>
      <c r="X13" s="93">
        <f t="shared" si="8"/>
        <v>2.9630289393128915</v>
      </c>
      <c r="Y13" s="90" t="str">
        <f t="shared" si="0"/>
        <v>Electricity and gas</v>
      </c>
      <c r="Z13" s="39">
        <f t="shared" si="9"/>
        <v>2.8458192992028453</v>
      </c>
      <c r="AA13" s="11">
        <v>3.4150679378844369</v>
      </c>
      <c r="AB13" s="93">
        <v>1.4840300025780557</v>
      </c>
      <c r="AC13" s="93">
        <v>1.1062575228637768</v>
      </c>
      <c r="AD13" s="93">
        <f t="shared" si="10"/>
        <v>2.5902875254418323</v>
      </c>
      <c r="AE13" s="93"/>
      <c r="AF13" s="39">
        <f t="shared" si="11"/>
        <v>2.7430555154363878</v>
      </c>
      <c r="AG13" s="93">
        <v>0.11612647673624334</v>
      </c>
      <c r="AH13" s="93">
        <v>0.11035323287716786</v>
      </c>
      <c r="AI13" s="93">
        <v>3.6088022100809053E-2</v>
      </c>
      <c r="AJ13" s="93">
        <f t="shared" si="12"/>
        <v>0.14644125497797691</v>
      </c>
      <c r="AL13" s="39">
        <f t="shared" si="13"/>
        <v>2.6040221070196878</v>
      </c>
      <c r="AM13" s="93">
        <v>0.78807550212350175</v>
      </c>
      <c r="AN13" s="93">
        <v>0.1640515512066609</v>
      </c>
      <c r="AO13" s="93">
        <v>0.23101248718210923</v>
      </c>
      <c r="AP13" s="93">
        <f t="shared" si="14"/>
        <v>0.39506403838877013</v>
      </c>
      <c r="AQ13" s="106"/>
      <c r="AR13" s="39">
        <f t="shared" si="15"/>
        <v>2.9253673336995467</v>
      </c>
      <c r="AS13" s="93">
        <v>2.510865959024692</v>
      </c>
      <c r="AT13" s="93">
        <v>1.2096252184942269</v>
      </c>
      <c r="AU13" s="93">
        <v>0.83915701358085859</v>
      </c>
      <c r="AV13" s="93">
        <f t="shared" si="16"/>
        <v>2.0487822320750855</v>
      </c>
      <c r="AW13" s="90" t="str">
        <f t="shared" si="17"/>
        <v>Electricity and gas</v>
      </c>
      <c r="AX13" s="39">
        <f t="shared" si="18"/>
        <v>2.7527088286745105</v>
      </c>
      <c r="AY13" s="11">
        <v>0.957602688269793</v>
      </c>
      <c r="AZ13" s="93">
        <v>0.25026458116444267</v>
      </c>
      <c r="BA13" s="93">
        <v>0.29876903958455009</v>
      </c>
      <c r="BB13" s="93">
        <f t="shared" si="19"/>
        <v>0.54903362074899276</v>
      </c>
      <c r="BC13" s="93"/>
      <c r="BD13" s="39">
        <f t="shared" si="20"/>
        <v>2.6027440742423469</v>
      </c>
      <c r="BE13" s="93">
        <v>6.6675648433861312E-2</v>
      </c>
      <c r="BF13" s="93">
        <v>1.2223965695389253E-2</v>
      </c>
      <c r="BG13" s="93">
        <v>1.953422506429308E-2</v>
      </c>
      <c r="BH13" s="93">
        <f t="shared" si="21"/>
        <v>3.1758190759682337E-2</v>
      </c>
      <c r="BJ13" s="39">
        <f t="shared" si="22"/>
        <v>2.595302754086215</v>
      </c>
      <c r="BK13" s="93">
        <v>0.10025366029317774</v>
      </c>
      <c r="BL13" s="93">
        <v>-4.2143802914000279E-2</v>
      </c>
      <c r="BM13" s="93">
        <v>2.9277725477586596E-2</v>
      </c>
      <c r="BN13" s="93">
        <f t="shared" si="23"/>
        <v>-1.2866077436413683E-2</v>
      </c>
      <c r="BO13" s="106"/>
      <c r="BP13" s="39">
        <f t="shared" si="24"/>
        <v>2.7850477621075731</v>
      </c>
      <c r="BQ13" s="93">
        <v>0.79067337954275396</v>
      </c>
      <c r="BR13" s="93">
        <v>0.28018441838305369</v>
      </c>
      <c r="BS13" s="93">
        <v>0.24995708904267042</v>
      </c>
      <c r="BT13" s="93">
        <f t="shared" si="25"/>
        <v>0.53014150742572408</v>
      </c>
      <c r="BU13" s="90" t="str">
        <f t="shared" si="26"/>
        <v>Electricity and gas</v>
      </c>
      <c r="BV13" s="39">
        <f t="shared" si="27"/>
        <v>2.30166568848158</v>
      </c>
      <c r="BW13" s="11">
        <v>0.58372112403374876</v>
      </c>
      <c r="BX13" s="93">
        <v>0.29400518186205293</v>
      </c>
      <c r="BY13" s="93">
        <v>0.14915818412575702</v>
      </c>
      <c r="BZ13" s="93">
        <f t="shared" si="28"/>
        <v>0.44316336598780992</v>
      </c>
      <c r="CA13" s="93"/>
      <c r="CB13" s="39">
        <f t="shared" si="29"/>
        <v>2.5209593858770862</v>
      </c>
      <c r="CC13" s="93">
        <v>7.9538399802440748E-2</v>
      </c>
      <c r="CD13" s="93">
        <v>-3.8996824091237468E-2</v>
      </c>
      <c r="CE13" s="93">
        <v>2.2485863083774052E-2</v>
      </c>
      <c r="CF13" s="93">
        <f t="shared" si="30"/>
        <v>-1.6510961007463416E-2</v>
      </c>
      <c r="CH13" s="39">
        <f t="shared" si="31"/>
        <v>2.2948013168675008</v>
      </c>
      <c r="CI13" s="93">
        <v>0.22333516849225249</v>
      </c>
      <c r="CJ13" s="93">
        <v>4.7374479843118752E-2</v>
      </c>
      <c r="CK13" s="93">
        <v>5.6880714680897067E-2</v>
      </c>
      <c r="CL13" s="93">
        <f t="shared" si="32"/>
        <v>0.10425519452401583</v>
      </c>
      <c r="CM13" s="106"/>
      <c r="CN13" s="39">
        <f t="shared" si="33"/>
        <v>2.2442696745849977</v>
      </c>
      <c r="CO13" s="93">
        <v>0.28084755573905562</v>
      </c>
      <c r="CP13" s="93">
        <v>0.28562752611017167</v>
      </c>
      <c r="CQ13" s="93">
        <v>6.9791606361085889E-2</v>
      </c>
      <c r="CR13" s="93">
        <f t="shared" si="34"/>
        <v>0.35541913247125756</v>
      </c>
      <c r="CS13" s="90" t="str">
        <f t="shared" si="35"/>
        <v>Electricity and gas</v>
      </c>
      <c r="CT13" s="39">
        <f t="shared" si="36"/>
        <v>2.0801766936642485</v>
      </c>
      <c r="CU13" s="11">
        <v>0.10260824981201205</v>
      </c>
      <c r="CV13" s="93">
        <v>2.0700234395443017E-2</v>
      </c>
      <c r="CW13" s="93">
        <v>2.3457296741363907E-2</v>
      </c>
      <c r="CX13" s="93">
        <f t="shared" si="37"/>
        <v>4.4157531136806927E-2</v>
      </c>
      <c r="CY13" s="93"/>
      <c r="CZ13" s="39">
        <f t="shared" si="38"/>
        <v>2.2236780417191238</v>
      </c>
      <c r="DA13" s="93">
        <v>5.1273672384021723E-2</v>
      </c>
      <c r="DB13" s="93">
        <v>-4.8073414081348711E-3</v>
      </c>
      <c r="DC13" s="93">
        <v>1.2612880219640452E-2</v>
      </c>
      <c r="DD13" s="93">
        <f t="shared" si="39"/>
        <v>7.8055388115055805E-3</v>
      </c>
      <c r="DF13" s="39">
        <f t="shared" si="40"/>
        <v>1.8745697006633089</v>
      </c>
      <c r="DG13" s="93">
        <v>1.6332611581534422E-2</v>
      </c>
      <c r="DH13" s="93">
        <v>4.3326510042762225E-3</v>
      </c>
      <c r="DI13" s="93">
        <v>3.3332739802009429E-3</v>
      </c>
      <c r="DJ13" s="93">
        <f t="shared" si="41"/>
        <v>7.6659249844771658E-3</v>
      </c>
      <c r="DK13" s="106"/>
      <c r="DL13" s="39">
        <f t="shared" si="42"/>
        <v>1.9631026785993377</v>
      </c>
      <c r="DM13" s="93">
        <v>3.5001965846455901E-2</v>
      </c>
      <c r="DN13" s="93">
        <v>2.1174924799301664E-2</v>
      </c>
      <c r="DO13" s="93">
        <v>7.5111425415225128E-3</v>
      </c>
      <c r="DP13" s="93">
        <f t="shared" si="43"/>
        <v>2.8686067340824177E-2</v>
      </c>
    </row>
    <row r="14" spans="1:120" x14ac:dyDescent="0.3">
      <c r="A14" s="90" t="str">
        <f>name!B10</f>
        <v>Water and sewerage</v>
      </c>
      <c r="B14" s="39">
        <f t="shared" si="1"/>
        <v>2.6630267727114409</v>
      </c>
      <c r="C14" s="11">
        <v>34.689999999999941</v>
      </c>
      <c r="D14" s="93">
        <v>3.4039999999999937</v>
      </c>
      <c r="E14" s="93">
        <v>10.427491197200341</v>
      </c>
      <c r="F14" s="93">
        <f t="shared" si="2"/>
        <v>13.831491197200336</v>
      </c>
      <c r="G14" s="93"/>
      <c r="H14" s="39">
        <f t="shared" si="3"/>
        <v>2.3746340922261355</v>
      </c>
      <c r="I14" s="93">
        <v>2.9582746497764263</v>
      </c>
      <c r="J14" s="93">
        <v>-1.2426718264022578</v>
      </c>
      <c r="K14" s="93">
        <v>0.78250491573356684</v>
      </c>
      <c r="L14" s="93">
        <f t="shared" si="4"/>
        <v>-0.46016691066869098</v>
      </c>
      <c r="N14" s="39">
        <f t="shared" si="5"/>
        <v>2.45146859998846</v>
      </c>
      <c r="O14" s="93">
        <v>15.931406757331569</v>
      </c>
      <c r="P14" s="93">
        <v>2.6141692288467828</v>
      </c>
      <c r="Q14" s="93">
        <v>4.3657875010183442</v>
      </c>
      <c r="R14" s="93">
        <f t="shared" si="6"/>
        <v>6.9799567298651271</v>
      </c>
      <c r="S14" s="106"/>
      <c r="T14" s="39">
        <f t="shared" si="7"/>
        <v>2.9246696914869474</v>
      </c>
      <c r="U14" s="93">
        <v>15.800318592891939</v>
      </c>
      <c r="V14" s="93">
        <v>2.0325025975554691</v>
      </c>
      <c r="W14" s="93">
        <v>5.2791987804484268</v>
      </c>
      <c r="X14" s="93">
        <f t="shared" si="8"/>
        <v>7.311701378003896</v>
      </c>
      <c r="Y14" s="90" t="str">
        <f t="shared" si="0"/>
        <v>Water and sewerage</v>
      </c>
      <c r="Z14" s="39">
        <f t="shared" si="9"/>
        <v>2.8935452968317898</v>
      </c>
      <c r="AA14" s="11">
        <v>20.179018387941738</v>
      </c>
      <c r="AB14" s="93">
        <v>3.7043393079638052</v>
      </c>
      <c r="AC14" s="93">
        <v>6.6609099076503337</v>
      </c>
      <c r="AD14" s="93">
        <f t="shared" si="10"/>
        <v>10.365249215614138</v>
      </c>
      <c r="AE14" s="93"/>
      <c r="AF14" s="39">
        <f t="shared" si="11"/>
        <v>2.7725711511966233</v>
      </c>
      <c r="AG14" s="93">
        <v>0.72465647374450293</v>
      </c>
      <c r="AH14" s="93">
        <v>-0.21196589918901296</v>
      </c>
      <c r="AI14" s="93">
        <v>0.227929964406863</v>
      </c>
      <c r="AJ14" s="93">
        <f t="shared" si="12"/>
        <v>1.5964065217850043E-2</v>
      </c>
      <c r="AL14" s="39">
        <f t="shared" si="13"/>
        <v>2.6836776039042443</v>
      </c>
      <c r="AM14" s="93">
        <v>7.1689586080821419</v>
      </c>
      <c r="AN14" s="93">
        <v>1.9626686993660245</v>
      </c>
      <c r="AO14" s="93">
        <v>2.1736943685039085</v>
      </c>
      <c r="AP14" s="93">
        <f t="shared" si="14"/>
        <v>4.136363067869933</v>
      </c>
      <c r="AQ14" s="106"/>
      <c r="AR14" s="39">
        <f t="shared" si="15"/>
        <v>3.0212745785094253</v>
      </c>
      <c r="AS14" s="93">
        <v>12.285403306115091</v>
      </c>
      <c r="AT14" s="93">
        <v>1.9536365077867941</v>
      </c>
      <c r="AU14" s="93">
        <v>4.2592855747395628</v>
      </c>
      <c r="AV14" s="93">
        <f t="shared" si="16"/>
        <v>6.2129220825263571</v>
      </c>
      <c r="AW14" s="90" t="str">
        <f t="shared" si="17"/>
        <v>Water and sewerage</v>
      </c>
      <c r="AX14" s="39">
        <f t="shared" si="18"/>
        <v>2.6934634376716282</v>
      </c>
      <c r="AY14" s="11">
        <v>3.8772019161776843</v>
      </c>
      <c r="AZ14" s="93">
        <v>-0.76962711358062519</v>
      </c>
      <c r="BA14" s="93">
        <v>1.1804208080754564</v>
      </c>
      <c r="BB14" s="93">
        <f t="shared" si="19"/>
        <v>0.41079369449483116</v>
      </c>
      <c r="BC14" s="93"/>
      <c r="BD14" s="39">
        <f t="shared" si="20"/>
        <v>2.5916879181504093</v>
      </c>
      <c r="BE14" s="93">
        <v>0.39518397605304539</v>
      </c>
      <c r="BF14" s="93">
        <v>-0.11728323585066727</v>
      </c>
      <c r="BG14" s="93">
        <v>0.11522826186981429</v>
      </c>
      <c r="BH14" s="93">
        <f t="shared" si="21"/>
        <v>-2.0549739808529838E-3</v>
      </c>
      <c r="BJ14" s="39">
        <f t="shared" si="22"/>
        <v>2.6108631762737033</v>
      </c>
      <c r="BK14" s="93">
        <v>1.6388021332720251</v>
      </c>
      <c r="BL14" s="93">
        <v>-0.45140915346675231</v>
      </c>
      <c r="BM14" s="93">
        <v>0.48180359544498619</v>
      </c>
      <c r="BN14" s="93">
        <f t="shared" si="23"/>
        <v>3.0394441978233877E-2</v>
      </c>
      <c r="BO14" s="106"/>
      <c r="BP14" s="39">
        <f t="shared" si="24"/>
        <v>2.7879692353027563</v>
      </c>
      <c r="BQ14" s="93">
        <v>1.8432158068526141</v>
      </c>
      <c r="BR14" s="93">
        <v>-0.20093472426320558</v>
      </c>
      <c r="BS14" s="93">
        <v>0.58338895076065578</v>
      </c>
      <c r="BT14" s="93">
        <f t="shared" si="25"/>
        <v>0.3824542264974502</v>
      </c>
      <c r="BU14" s="90" t="str">
        <f t="shared" si="26"/>
        <v>Water and sewerage</v>
      </c>
      <c r="BV14" s="39">
        <f t="shared" si="27"/>
        <v>2.1639959971873068</v>
      </c>
      <c r="BW14" s="11">
        <v>9.217599475239167</v>
      </c>
      <c r="BX14" s="93">
        <v>0.61442646269312895</v>
      </c>
      <c r="BY14" s="93">
        <v>2.2005716372862962</v>
      </c>
      <c r="BZ14" s="93">
        <f t="shared" si="28"/>
        <v>2.8149980999794253</v>
      </c>
      <c r="CA14" s="93"/>
      <c r="CB14" s="39">
        <f t="shared" si="29"/>
        <v>2.1322524388695197</v>
      </c>
      <c r="CC14" s="93">
        <v>1.3746236467462931</v>
      </c>
      <c r="CD14" s="93">
        <v>-0.6797332330802186</v>
      </c>
      <c r="CE14" s="93">
        <v>0.32288857798608317</v>
      </c>
      <c r="CF14" s="93">
        <f t="shared" si="30"/>
        <v>-0.35684465509413543</v>
      </c>
      <c r="CH14" s="39">
        <f t="shared" si="31"/>
        <v>2.1183476609150542</v>
      </c>
      <c r="CI14" s="93">
        <v>6.2987020393754678</v>
      </c>
      <c r="CJ14" s="93">
        <v>1.0586789669999686</v>
      </c>
      <c r="CK14" s="93">
        <v>1.4689337630531381</v>
      </c>
      <c r="CL14" s="93">
        <f t="shared" si="32"/>
        <v>2.5276127300531064</v>
      </c>
      <c r="CM14" s="106"/>
      <c r="CN14" s="39">
        <f t="shared" si="33"/>
        <v>2.3760355283215739</v>
      </c>
      <c r="CO14" s="93">
        <v>1.5442737891174063</v>
      </c>
      <c r="CP14" s="93">
        <v>0.23548072877337922</v>
      </c>
      <c r="CQ14" s="93">
        <v>0.40874929624707479</v>
      </c>
      <c r="CR14" s="93">
        <f t="shared" si="34"/>
        <v>0.64423002502045401</v>
      </c>
      <c r="CS14" s="90" t="str">
        <f t="shared" si="35"/>
        <v>Water and sewerage</v>
      </c>
      <c r="CT14" s="39">
        <f t="shared" si="36"/>
        <v>2.4372851811505392</v>
      </c>
      <c r="CU14" s="11">
        <v>1.4161802206413483</v>
      </c>
      <c r="CV14" s="93">
        <v>-0.14513865707631529</v>
      </c>
      <c r="CW14" s="93">
        <v>0.38558884418825223</v>
      </c>
      <c r="CX14" s="93">
        <f t="shared" si="37"/>
        <v>0.24045018711193694</v>
      </c>
      <c r="CY14" s="93"/>
      <c r="CZ14" s="39">
        <f t="shared" si="38"/>
        <v>2.2654301118374853</v>
      </c>
      <c r="DA14" s="93">
        <v>0.46381055323258502</v>
      </c>
      <c r="DB14" s="93">
        <v>-0.23368945828235915</v>
      </c>
      <c r="DC14" s="93">
        <v>0.11645811147080638</v>
      </c>
      <c r="DD14" s="93">
        <f t="shared" si="39"/>
        <v>-0.11723134681155277</v>
      </c>
      <c r="DF14" s="39">
        <f t="shared" si="40"/>
        <v>2.5995569001085794</v>
      </c>
      <c r="DG14" s="93">
        <v>0.82494397660193552</v>
      </c>
      <c r="DH14" s="93">
        <v>4.4230715947542278E-2</v>
      </c>
      <c r="DI14" s="93">
        <v>0.24135577401631172</v>
      </c>
      <c r="DJ14" s="93">
        <f t="shared" si="41"/>
        <v>0.285586489963854</v>
      </c>
      <c r="DK14" s="106"/>
      <c r="DL14" s="39">
        <f t="shared" si="42"/>
        <v>1.9914236116268524</v>
      </c>
      <c r="DM14" s="93">
        <v>0.12742569080682786</v>
      </c>
      <c r="DN14" s="93">
        <v>4.4320085258501563E-2</v>
      </c>
      <c r="DO14" s="93">
        <v>2.7774958701134087E-2</v>
      </c>
      <c r="DP14" s="93">
        <f t="shared" si="43"/>
        <v>7.2095043959635646E-2</v>
      </c>
    </row>
    <row r="15" spans="1:120" x14ac:dyDescent="0.3">
      <c r="A15" s="90" t="str">
        <f>name!B11</f>
        <v>Construction</v>
      </c>
      <c r="B15" s="39">
        <f t="shared" si="1"/>
        <v>2.6332713124259444</v>
      </c>
      <c r="C15" s="11">
        <v>24.70699999999993</v>
      </c>
      <c r="D15" s="93">
        <v>2.4850000000000203</v>
      </c>
      <c r="E15" s="93">
        <v>7.3336805968811847</v>
      </c>
      <c r="F15" s="93">
        <f t="shared" si="2"/>
        <v>9.8186805968812045</v>
      </c>
      <c r="G15" s="93"/>
      <c r="H15" s="39">
        <f t="shared" si="3"/>
        <v>2.4423074235861542</v>
      </c>
      <c r="I15" s="93">
        <v>2.0674298031287628</v>
      </c>
      <c r="J15" s="93">
        <v>-0.8828890757342569</v>
      </c>
      <c r="K15" s="93">
        <v>0.56419694936710085</v>
      </c>
      <c r="L15" s="93">
        <f t="shared" si="4"/>
        <v>-0.31869212636715605</v>
      </c>
      <c r="N15" s="39">
        <f t="shared" si="5"/>
        <v>2.3615173214244889</v>
      </c>
      <c r="O15" s="93">
        <v>11.395959885205716</v>
      </c>
      <c r="P15" s="93">
        <v>1.9703829749125323</v>
      </c>
      <c r="Q15" s="93">
        <v>2.9959377256495925</v>
      </c>
      <c r="R15" s="93">
        <f t="shared" si="6"/>
        <v>4.9663207005621253</v>
      </c>
      <c r="S15" s="106"/>
      <c r="T15" s="39">
        <f t="shared" si="7"/>
        <v>2.9362141326216173</v>
      </c>
      <c r="U15" s="93">
        <v>11.243610311665455</v>
      </c>
      <c r="V15" s="93">
        <v>1.3975061008217451</v>
      </c>
      <c r="W15" s="93">
        <v>3.7735459218644927</v>
      </c>
      <c r="X15" s="93">
        <f t="shared" si="8"/>
        <v>5.1710520226862382</v>
      </c>
      <c r="Y15" s="90" t="str">
        <f t="shared" si="0"/>
        <v>Construction</v>
      </c>
      <c r="Z15" s="39">
        <f t="shared" si="9"/>
        <v>2.9275517647755267</v>
      </c>
      <c r="AA15" s="11">
        <v>13.046434238680172</v>
      </c>
      <c r="AB15" s="93">
        <v>2.1329718598151204</v>
      </c>
      <c r="AC15" s="93">
        <v>4.3639460437985305</v>
      </c>
      <c r="AD15" s="93">
        <f t="shared" si="10"/>
        <v>6.4969179036136513</v>
      </c>
      <c r="AE15" s="93"/>
      <c r="AF15" s="39">
        <f t="shared" si="11"/>
        <v>2.9029598767563725</v>
      </c>
      <c r="AG15" s="93">
        <v>0.51780999831305174</v>
      </c>
      <c r="AH15" s="93">
        <v>-0.14508224440278034</v>
      </c>
      <c r="AI15" s="93">
        <v>0.17155479671456894</v>
      </c>
      <c r="AJ15" s="93">
        <f t="shared" si="12"/>
        <v>2.6472552311788605E-2</v>
      </c>
      <c r="AL15" s="39">
        <f t="shared" si="13"/>
        <v>2.7138731733564292</v>
      </c>
      <c r="AM15" s="93">
        <v>3.3696565084990735</v>
      </c>
      <c r="AN15" s="93">
        <v>0.87665708871403969</v>
      </c>
      <c r="AO15" s="93">
        <v>1.0346414621905302</v>
      </c>
      <c r="AP15" s="93">
        <f t="shared" si="14"/>
        <v>1.9112985509045699</v>
      </c>
      <c r="AQ15" s="106"/>
      <c r="AR15" s="39">
        <f t="shared" si="15"/>
        <v>3.0065508595138457</v>
      </c>
      <c r="AS15" s="93">
        <v>9.1589677318680476</v>
      </c>
      <c r="AT15" s="93">
        <v>1.4013970155038609</v>
      </c>
      <c r="AU15" s="93">
        <v>3.1577497848934315</v>
      </c>
      <c r="AV15" s="93">
        <f t="shared" si="16"/>
        <v>4.5591468003972926</v>
      </c>
      <c r="AW15" s="90" t="str">
        <f t="shared" si="17"/>
        <v>Construction</v>
      </c>
      <c r="AX15" s="39">
        <f t="shared" si="18"/>
        <v>2.6925526136312605</v>
      </c>
      <c r="AY15" s="11">
        <v>3.651919924567808</v>
      </c>
      <c r="AZ15" s="93">
        <v>-0.23040618198892773</v>
      </c>
      <c r="BA15" s="93">
        <v>1.1114108203418209</v>
      </c>
      <c r="BB15" s="93">
        <f t="shared" si="19"/>
        <v>0.88100463835289322</v>
      </c>
      <c r="BC15" s="93"/>
      <c r="BD15" s="39">
        <f t="shared" si="20"/>
        <v>2.6003566607783579</v>
      </c>
      <c r="BE15" s="93">
        <v>0.34954045938527362</v>
      </c>
      <c r="BF15" s="93">
        <v>-0.11400742632184735</v>
      </c>
      <c r="BG15" s="93">
        <v>0.10230108293418085</v>
      </c>
      <c r="BH15" s="93">
        <f t="shared" si="21"/>
        <v>-1.1706343387666504E-2</v>
      </c>
      <c r="BJ15" s="39">
        <f t="shared" si="22"/>
        <v>2.6391873139546718</v>
      </c>
      <c r="BK15" s="93">
        <v>2.0072722798125366</v>
      </c>
      <c r="BL15" s="93">
        <v>2.1946743765527334E-2</v>
      </c>
      <c r="BM15" s="93">
        <v>0.59731151369132662</v>
      </c>
      <c r="BN15" s="93">
        <f t="shared" si="23"/>
        <v>0.61925825745685392</v>
      </c>
      <c r="BO15" s="106"/>
      <c r="BP15" s="39">
        <f t="shared" si="24"/>
        <v>2.799351314050047</v>
      </c>
      <c r="BQ15" s="93">
        <v>1.2951071853699978</v>
      </c>
      <c r="BR15" s="93">
        <v>-0.13834549943260771</v>
      </c>
      <c r="BS15" s="93">
        <v>0.41179822371631336</v>
      </c>
      <c r="BT15" s="93">
        <f t="shared" si="25"/>
        <v>0.27345272428370565</v>
      </c>
      <c r="BU15" s="90" t="str">
        <f t="shared" si="26"/>
        <v>Construction</v>
      </c>
      <c r="BV15" s="39">
        <f t="shared" si="27"/>
        <v>2.0481137979190267</v>
      </c>
      <c r="BW15" s="11">
        <v>6.6723347132595512</v>
      </c>
      <c r="BX15" s="93">
        <v>0.63046525507421236</v>
      </c>
      <c r="BY15" s="93">
        <v>1.4996518315416651</v>
      </c>
      <c r="BZ15" s="93">
        <f t="shared" si="28"/>
        <v>2.1301170866158774</v>
      </c>
      <c r="CA15" s="93"/>
      <c r="CB15" s="39">
        <f t="shared" si="29"/>
        <v>1.885726525584519</v>
      </c>
      <c r="CC15" s="93">
        <v>0.79401322796632245</v>
      </c>
      <c r="CD15" s="93">
        <v>-0.42251424724113457</v>
      </c>
      <c r="CE15" s="93">
        <v>0.16309534060812603</v>
      </c>
      <c r="CF15" s="93">
        <f t="shared" si="30"/>
        <v>-0.25941890663300854</v>
      </c>
      <c r="CH15" s="39">
        <f t="shared" si="31"/>
        <v>2.0349710354922612</v>
      </c>
      <c r="CI15" s="93">
        <v>5.1117136268203991</v>
      </c>
      <c r="CJ15" s="93">
        <v>0.94026718064231962</v>
      </c>
      <c r="CK15" s="93">
        <v>1.1408334558665532</v>
      </c>
      <c r="CL15" s="93">
        <f t="shared" si="32"/>
        <v>2.0811006365088729</v>
      </c>
      <c r="CM15" s="106"/>
      <c r="CN15" s="39">
        <f t="shared" si="33"/>
        <v>2.2998780793422213</v>
      </c>
      <c r="CO15" s="93">
        <v>0.7666078584728292</v>
      </c>
      <c r="CP15" s="93">
        <v>0.11271232167302715</v>
      </c>
      <c r="CQ15" s="93">
        <v>0.19572303506698607</v>
      </c>
      <c r="CR15" s="93">
        <f t="shared" si="34"/>
        <v>0.30843535674001321</v>
      </c>
      <c r="CS15" s="90" t="str">
        <f t="shared" si="35"/>
        <v>Construction</v>
      </c>
      <c r="CT15" s="39">
        <f t="shared" si="36"/>
        <v>2.406088217429958</v>
      </c>
      <c r="CU15" s="11">
        <v>1.3363111234924001</v>
      </c>
      <c r="CV15" s="93">
        <v>-4.8030932900384203E-2</v>
      </c>
      <c r="CW15" s="93">
        <v>0.3586719011991692</v>
      </c>
      <c r="CX15" s="93">
        <f t="shared" si="37"/>
        <v>0.31064096829878501</v>
      </c>
      <c r="CY15" s="93"/>
      <c r="CZ15" s="39">
        <f t="shared" si="38"/>
        <v>2.7633959791856677</v>
      </c>
      <c r="DA15" s="93">
        <v>0.40606611746411458</v>
      </c>
      <c r="DB15" s="93">
        <v>-0.20128515776849468</v>
      </c>
      <c r="DC15" s="93">
        <v>0.12724572911022497</v>
      </c>
      <c r="DD15" s="93">
        <f t="shared" si="39"/>
        <v>-7.4039428658269707E-2</v>
      </c>
      <c r="DF15" s="39">
        <f t="shared" si="40"/>
        <v>2.2233076528841211</v>
      </c>
      <c r="DG15" s="93">
        <v>0.90731747007370689</v>
      </c>
      <c r="DH15" s="93">
        <v>0.1315119617906455</v>
      </c>
      <c r="DI15" s="93">
        <v>0.22315129390118218</v>
      </c>
      <c r="DJ15" s="93">
        <f t="shared" si="41"/>
        <v>0.35466325569182766</v>
      </c>
      <c r="DK15" s="106"/>
      <c r="DL15" s="39">
        <f t="shared" si="42"/>
        <v>3.1295401767871711</v>
      </c>
      <c r="DM15" s="93">
        <v>2.2927535954578668E-2</v>
      </c>
      <c r="DN15" s="93">
        <v>2.174226307746498E-2</v>
      </c>
      <c r="DO15" s="93">
        <v>8.2748781877620605E-3</v>
      </c>
      <c r="DP15" s="93">
        <f t="shared" si="43"/>
        <v>3.0017141265227039E-2</v>
      </c>
    </row>
    <row r="16" spans="1:120" x14ac:dyDescent="0.3">
      <c r="A16" s="90" t="str">
        <f>name!B12</f>
        <v>Wholesale and retail trade</v>
      </c>
      <c r="B16" s="39">
        <f t="shared" si="1"/>
        <v>2.48357468355489</v>
      </c>
      <c r="C16" s="11">
        <v>49.360999999999891</v>
      </c>
      <c r="D16" s="93">
        <v>-3.0089999999999963</v>
      </c>
      <c r="E16" s="93">
        <v>13.724072101712224</v>
      </c>
      <c r="F16" s="93">
        <f t="shared" si="2"/>
        <v>10.715072101712227</v>
      </c>
      <c r="G16" s="93"/>
      <c r="H16" s="39">
        <f t="shared" si="3"/>
        <v>2.319061330483807</v>
      </c>
      <c r="I16" s="93">
        <v>11.754763181562106</v>
      </c>
      <c r="J16" s="93">
        <v>-3.3383043230730345</v>
      </c>
      <c r="K16" s="93">
        <v>3.0288080072024135</v>
      </c>
      <c r="L16" s="93">
        <f t="shared" si="4"/>
        <v>-0.30949631587062099</v>
      </c>
      <c r="N16" s="39">
        <f t="shared" si="5"/>
        <v>2.3679923975928441</v>
      </c>
      <c r="O16" s="93">
        <v>27.464527750604109</v>
      </c>
      <c r="P16" s="93">
        <v>1.036637643813106</v>
      </c>
      <c r="Q16" s="93">
        <v>7.242226228936425</v>
      </c>
      <c r="R16" s="93">
        <f t="shared" si="6"/>
        <v>8.2788638727495307</v>
      </c>
      <c r="S16" s="106"/>
      <c r="T16" s="39">
        <f t="shared" si="7"/>
        <v>2.9736241479119574</v>
      </c>
      <c r="U16" s="93">
        <v>10.141709067833677</v>
      </c>
      <c r="V16" s="93">
        <v>-0.70733332074006794</v>
      </c>
      <c r="W16" s="93">
        <v>3.4530378655733838</v>
      </c>
      <c r="X16" s="93">
        <f t="shared" si="8"/>
        <v>2.7457045448333157</v>
      </c>
      <c r="Y16" s="90" t="str">
        <f t="shared" si="0"/>
        <v>Wholesale and retail trade</v>
      </c>
      <c r="Z16" s="39">
        <f t="shared" si="9"/>
        <v>2.9998517165961136</v>
      </c>
      <c r="AA16" s="11">
        <v>14.421904529312432</v>
      </c>
      <c r="AB16" s="93">
        <v>-7.9946079548302407E-2</v>
      </c>
      <c r="AC16" s="93">
        <v>4.9596501612339017</v>
      </c>
      <c r="AD16" s="93">
        <f t="shared" si="10"/>
        <v>4.879704081685599</v>
      </c>
      <c r="AE16" s="93"/>
      <c r="AF16" s="39">
        <f t="shared" si="11"/>
        <v>2.9265331251565607</v>
      </c>
      <c r="AG16" s="93">
        <v>1.7446046239912303</v>
      </c>
      <c r="AH16" s="93">
        <v>-0.27919872461291689</v>
      </c>
      <c r="AI16" s="93">
        <v>0.58332831832535181</v>
      </c>
      <c r="AJ16" s="93">
        <f t="shared" si="12"/>
        <v>0.30412959371243492</v>
      </c>
      <c r="AL16" s="39">
        <f t="shared" si="13"/>
        <v>2.8733806306549425</v>
      </c>
      <c r="AM16" s="93">
        <v>5.4383562760409712</v>
      </c>
      <c r="AN16" s="93">
        <v>0.60778084248681408</v>
      </c>
      <c r="AO16" s="93">
        <v>1.780988355750744</v>
      </c>
      <c r="AP16" s="93">
        <f t="shared" si="14"/>
        <v>2.3887691982375578</v>
      </c>
      <c r="AQ16" s="106"/>
      <c r="AR16" s="39">
        <f t="shared" si="15"/>
        <v>3.111409774959073</v>
      </c>
      <c r="AS16" s="93">
        <v>7.2389436292802296</v>
      </c>
      <c r="AT16" s="93">
        <v>-0.40852819742219959</v>
      </c>
      <c r="AU16" s="93">
        <v>2.5953334871578053</v>
      </c>
      <c r="AV16" s="93">
        <f t="shared" si="16"/>
        <v>2.1868052897356058</v>
      </c>
      <c r="AW16" s="90" t="str">
        <f t="shared" si="17"/>
        <v>Wholesale and retail trade</v>
      </c>
      <c r="AX16" s="39">
        <f t="shared" si="18"/>
        <v>2.6838321004912791</v>
      </c>
      <c r="AY16" s="11">
        <v>4.7602092359720407</v>
      </c>
      <c r="AZ16" s="93">
        <v>-1.3205133909931142</v>
      </c>
      <c r="BA16" s="93">
        <v>1.4434326816980343</v>
      </c>
      <c r="BB16" s="93">
        <f t="shared" si="19"/>
        <v>0.12291929070492014</v>
      </c>
      <c r="BC16" s="93"/>
      <c r="BD16" s="39">
        <f t="shared" si="20"/>
        <v>2.6307138684356079</v>
      </c>
      <c r="BE16" s="93">
        <v>0.55533861181731692</v>
      </c>
      <c r="BF16" s="93">
        <v>-0.19194769411417067</v>
      </c>
      <c r="BG16" s="93">
        <v>0.16465951691361003</v>
      </c>
      <c r="BH16" s="93">
        <f t="shared" si="21"/>
        <v>-2.7288177200560648E-2</v>
      </c>
      <c r="BJ16" s="39">
        <f t="shared" si="22"/>
        <v>2.6257921936491346</v>
      </c>
      <c r="BK16" s="93">
        <v>2.4972687404973635</v>
      </c>
      <c r="BL16" s="93">
        <v>-0.56905832335257489</v>
      </c>
      <c r="BM16" s="93">
        <v>0.73889514198640793</v>
      </c>
      <c r="BN16" s="93">
        <f t="shared" si="23"/>
        <v>0.16983681863383304</v>
      </c>
      <c r="BO16" s="106"/>
      <c r="BP16" s="39">
        <f t="shared" si="24"/>
        <v>2.7852790413730899</v>
      </c>
      <c r="BQ16" s="93">
        <v>1.7076018836573603</v>
      </c>
      <c r="BR16" s="93">
        <v>-0.55950737352636859</v>
      </c>
      <c r="BS16" s="93">
        <v>0.53987802279801622</v>
      </c>
      <c r="BT16" s="93">
        <f t="shared" si="25"/>
        <v>-1.9629350728352368E-2</v>
      </c>
      <c r="BU16" s="90" t="str">
        <f t="shared" si="26"/>
        <v>Wholesale and retail trade</v>
      </c>
      <c r="BV16" s="39">
        <f t="shared" si="27"/>
        <v>2.1993314042800582</v>
      </c>
      <c r="BW16" s="11">
        <v>28.021593521784599</v>
      </c>
      <c r="BX16" s="93">
        <v>-1.4714034279099568</v>
      </c>
      <c r="BY16" s="93">
        <v>6.8100025319772302</v>
      </c>
      <c r="BZ16" s="93">
        <f t="shared" si="28"/>
        <v>5.3385991040672733</v>
      </c>
      <c r="CA16" s="93"/>
      <c r="CB16" s="39">
        <f t="shared" si="29"/>
        <v>2.1988160207137231</v>
      </c>
      <c r="CC16" s="93">
        <v>8.4984348827263929</v>
      </c>
      <c r="CD16" s="93">
        <v>-2.4130544809912187</v>
      </c>
      <c r="CE16" s="93">
        <v>2.0648160354020404</v>
      </c>
      <c r="CF16" s="93">
        <f t="shared" si="30"/>
        <v>-0.34823844558917827</v>
      </c>
      <c r="CH16" s="39">
        <f t="shared" si="31"/>
        <v>2.1891934571730776</v>
      </c>
      <c r="CI16" s="93">
        <v>18.363284813948471</v>
      </c>
      <c r="CJ16" s="93">
        <v>0.79472514229380931</v>
      </c>
      <c r="CK16" s="93">
        <v>4.4401403431475641</v>
      </c>
      <c r="CL16" s="93">
        <f t="shared" si="32"/>
        <v>5.2348654854413734</v>
      </c>
      <c r="CM16" s="106"/>
      <c r="CN16" s="39">
        <f t="shared" si="33"/>
        <v>2.3623659563032362</v>
      </c>
      <c r="CO16" s="93">
        <v>1.1598738251097345</v>
      </c>
      <c r="CP16" s="93">
        <v>0.14692591078745226</v>
      </c>
      <c r="CQ16" s="93">
        <v>0.30504615342762553</v>
      </c>
      <c r="CR16" s="93">
        <f t="shared" si="34"/>
        <v>0.4519720642150778</v>
      </c>
      <c r="CS16" s="90" t="str">
        <f t="shared" si="35"/>
        <v>Wholesale and retail trade</v>
      </c>
      <c r="CT16" s="39">
        <f t="shared" si="36"/>
        <v>2.1485540302156547</v>
      </c>
      <c r="CU16" s="11">
        <v>2.1572927129308224</v>
      </c>
      <c r="CV16" s="93">
        <v>-0.13713710154862277</v>
      </c>
      <c r="CW16" s="93">
        <v>0.51098672680305779</v>
      </c>
      <c r="CX16" s="93">
        <f t="shared" si="37"/>
        <v>0.37384962525443499</v>
      </c>
      <c r="CY16" s="93"/>
      <c r="CZ16" s="39">
        <f t="shared" si="38"/>
        <v>2.0572595476436195</v>
      </c>
      <c r="DA16" s="93">
        <v>0.95638506302716597</v>
      </c>
      <c r="DB16" s="93">
        <v>-0.4541034233547282</v>
      </c>
      <c r="DC16" s="93">
        <v>0.2160041365614109</v>
      </c>
      <c r="DD16" s="93">
        <f t="shared" si="39"/>
        <v>-0.23809928679331729</v>
      </c>
      <c r="DF16" s="39">
        <f t="shared" si="40"/>
        <v>2.1917519950891196</v>
      </c>
      <c r="DG16" s="93">
        <v>1.1656179201173043</v>
      </c>
      <c r="DH16" s="93">
        <v>0.20318998238505742</v>
      </c>
      <c r="DI16" s="93">
        <v>0.28220238805171</v>
      </c>
      <c r="DJ16" s="93">
        <f t="shared" si="41"/>
        <v>0.48539237043676742</v>
      </c>
      <c r="DK16" s="106"/>
      <c r="DL16" s="39">
        <f t="shared" si="42"/>
        <v>3.1389052752660129</v>
      </c>
      <c r="DM16" s="93">
        <v>3.5289729786351975E-2</v>
      </c>
      <c r="DN16" s="93">
        <v>0.11377633942104799</v>
      </c>
      <c r="DO16" s="93">
        <v>1.2780202189936939E-2</v>
      </c>
      <c r="DP16" s="93">
        <f t="shared" si="43"/>
        <v>0.12655654161098492</v>
      </c>
    </row>
    <row r="17" spans="1:120" x14ac:dyDescent="0.3">
      <c r="A17" s="90" t="str">
        <f>name!B13</f>
        <v>Transport and storage</v>
      </c>
      <c r="B17" s="39">
        <f t="shared" si="1"/>
        <v>2.5826643707438812</v>
      </c>
      <c r="C17" s="11">
        <v>92.525231401581493</v>
      </c>
      <c r="D17" s="93">
        <v>4.8062010655220337</v>
      </c>
      <c r="E17" s="93">
        <v>26.873559144521298</v>
      </c>
      <c r="F17" s="93">
        <f t="shared" si="2"/>
        <v>31.679760210043334</v>
      </c>
      <c r="G17" s="93"/>
      <c r="H17" s="39">
        <f t="shared" si="3"/>
        <v>2.4248789617356659</v>
      </c>
      <c r="I17" s="93">
        <v>21.198729637120138</v>
      </c>
      <c r="J17" s="93">
        <v>-6.0725510822499817</v>
      </c>
      <c r="K17" s="93">
        <v>5.7392133920891153</v>
      </c>
      <c r="L17" s="93">
        <f t="shared" si="4"/>
        <v>-0.33333769016086645</v>
      </c>
      <c r="N17" s="39">
        <f t="shared" si="5"/>
        <v>2.5234952437853897</v>
      </c>
      <c r="O17" s="93">
        <v>52.658868908190932</v>
      </c>
      <c r="P17" s="93">
        <v>7.0048539847493405</v>
      </c>
      <c r="Q17" s="93">
        <v>14.903608217095815</v>
      </c>
      <c r="R17" s="93">
        <f t="shared" si="6"/>
        <v>21.908462201845154</v>
      </c>
      <c r="S17" s="106"/>
      <c r="T17" s="39">
        <f t="shared" si="7"/>
        <v>2.9219882284781784</v>
      </c>
      <c r="U17" s="93">
        <v>18.667632856270426</v>
      </c>
      <c r="V17" s="93">
        <v>3.8738981630226754</v>
      </c>
      <c r="W17" s="93">
        <v>6.230737535336365</v>
      </c>
      <c r="X17" s="93">
        <f t="shared" si="8"/>
        <v>10.10463569835904</v>
      </c>
      <c r="Y17" s="90" t="str">
        <f t="shared" si="0"/>
        <v>Transport and storage</v>
      </c>
      <c r="Z17" s="39">
        <f t="shared" si="9"/>
        <v>2.9241425329038728</v>
      </c>
      <c r="AA17" s="11">
        <v>29.870782206299452</v>
      </c>
      <c r="AB17" s="93">
        <v>4.3408339188767497</v>
      </c>
      <c r="AC17" s="93">
        <v>9.9783777687739459</v>
      </c>
      <c r="AD17" s="93">
        <f t="shared" si="10"/>
        <v>14.319211687650697</v>
      </c>
      <c r="AE17" s="93"/>
      <c r="AF17" s="39">
        <f t="shared" si="11"/>
        <v>2.7318686124567781</v>
      </c>
      <c r="AG17" s="93">
        <v>3.8081615228264192</v>
      </c>
      <c r="AH17" s="93">
        <v>-0.6689481531577417</v>
      </c>
      <c r="AI17" s="93">
        <v>1.1780102671881654</v>
      </c>
      <c r="AJ17" s="93">
        <f t="shared" si="12"/>
        <v>0.50906211403042367</v>
      </c>
      <c r="AL17" s="39">
        <f t="shared" si="13"/>
        <v>2.8609218734994002</v>
      </c>
      <c r="AM17" s="93">
        <v>13.572153033741255</v>
      </c>
      <c r="AN17" s="93">
        <v>3.0025944902352135</v>
      </c>
      <c r="AO17" s="93">
        <v>4.4228892241268012</v>
      </c>
      <c r="AP17" s="93">
        <f t="shared" si="14"/>
        <v>7.4254837143620147</v>
      </c>
      <c r="AQ17" s="106"/>
      <c r="AR17" s="39">
        <f t="shared" si="15"/>
        <v>3.0500840000298179</v>
      </c>
      <c r="AS17" s="93">
        <v>12.490467649731778</v>
      </c>
      <c r="AT17" s="93">
        <v>2.0071875817992777</v>
      </c>
      <c r="AU17" s="93">
        <v>4.3774782774589784</v>
      </c>
      <c r="AV17" s="93">
        <f t="shared" si="16"/>
        <v>6.3846658592582557</v>
      </c>
      <c r="AW17" s="90" t="str">
        <f t="shared" si="17"/>
        <v>Transport and storage</v>
      </c>
      <c r="AX17" s="39">
        <f t="shared" si="18"/>
        <v>2.6816272634551552</v>
      </c>
      <c r="AY17" s="11">
        <v>8.998417639409773</v>
      </c>
      <c r="AZ17" s="93">
        <v>0.46368333377022369</v>
      </c>
      <c r="BA17" s="93">
        <v>2.7260618724368122</v>
      </c>
      <c r="BB17" s="93">
        <f t="shared" si="19"/>
        <v>3.1897452062070357</v>
      </c>
      <c r="BC17" s="93"/>
      <c r="BD17" s="39">
        <f t="shared" si="20"/>
        <v>2.6174041078364407</v>
      </c>
      <c r="BE17" s="93">
        <v>1.0668407233699537</v>
      </c>
      <c r="BF17" s="93">
        <v>3.2513509332090844E-2</v>
      </c>
      <c r="BG17" s="93">
        <v>0.31452866341566049</v>
      </c>
      <c r="BH17" s="93">
        <f t="shared" si="21"/>
        <v>0.34704217274775134</v>
      </c>
      <c r="BJ17" s="39">
        <f t="shared" si="22"/>
        <v>2.6363264722116364</v>
      </c>
      <c r="BK17" s="93">
        <v>4.9047319312804847</v>
      </c>
      <c r="BL17" s="93">
        <v>0.14017890795839225</v>
      </c>
      <c r="BM17" s="93">
        <v>1.4577457375951082</v>
      </c>
      <c r="BN17" s="93">
        <f t="shared" si="23"/>
        <v>1.5979246455535003</v>
      </c>
      <c r="BO17" s="106"/>
      <c r="BP17" s="39">
        <f t="shared" si="24"/>
        <v>2.7770599340433355</v>
      </c>
      <c r="BQ17" s="93">
        <v>3.0268449847593342</v>
      </c>
      <c r="BR17" s="93">
        <v>0.29099091647974057</v>
      </c>
      <c r="BS17" s="93">
        <v>0.95378747142604337</v>
      </c>
      <c r="BT17" s="93">
        <f t="shared" si="25"/>
        <v>1.2447783879057839</v>
      </c>
      <c r="BU17" s="90" t="str">
        <f t="shared" si="26"/>
        <v>Transport and storage</v>
      </c>
      <c r="BV17" s="39">
        <f t="shared" si="27"/>
        <v>2.3754907319287089</v>
      </c>
      <c r="BW17" s="11">
        <v>50.110811503507264</v>
      </c>
      <c r="BX17" s="93">
        <v>0.37983071614327241</v>
      </c>
      <c r="BY17" s="93">
        <v>13.260311196398852</v>
      </c>
      <c r="BZ17" s="93">
        <f t="shared" si="28"/>
        <v>13.640141912542125</v>
      </c>
      <c r="CA17" s="93"/>
      <c r="CB17" s="39">
        <f t="shared" si="29"/>
        <v>2.3338534370635156</v>
      </c>
      <c r="CC17" s="93">
        <v>14.74166253806875</v>
      </c>
      <c r="CD17" s="93">
        <v>-4.5191002676533572</v>
      </c>
      <c r="CE17" s="93">
        <v>3.8252523053004484</v>
      </c>
      <c r="CF17" s="93">
        <f t="shared" si="30"/>
        <v>-0.6938479623529088</v>
      </c>
      <c r="CH17" s="39">
        <f t="shared" si="31"/>
        <v>2.3772663395688065</v>
      </c>
      <c r="CI17" s="93">
        <v>32.323025931939064</v>
      </c>
      <c r="CJ17" s="93">
        <v>3.459835793309614</v>
      </c>
      <c r="CK17" s="93">
        <v>8.5604017208804635</v>
      </c>
      <c r="CL17" s="93">
        <f t="shared" si="32"/>
        <v>12.020237514190077</v>
      </c>
      <c r="CM17" s="106"/>
      <c r="CN17" s="39">
        <f t="shared" si="33"/>
        <v>2.5563381424586806</v>
      </c>
      <c r="CO17" s="93">
        <v>3.0461230334994571</v>
      </c>
      <c r="CP17" s="93">
        <v>1.4390951904870155</v>
      </c>
      <c r="CQ17" s="93">
        <v>0.87465717021794065</v>
      </c>
      <c r="CR17" s="93">
        <f t="shared" si="34"/>
        <v>2.3137523607049562</v>
      </c>
      <c r="CS17" s="90" t="str">
        <f t="shared" si="35"/>
        <v>Transport and storage</v>
      </c>
      <c r="CT17" s="39">
        <f t="shared" si="36"/>
        <v>2.3083258626595438</v>
      </c>
      <c r="CU17" s="11">
        <v>3.5452200523650017</v>
      </c>
      <c r="CV17" s="93">
        <v>-0.37814690326821171</v>
      </c>
      <c r="CW17" s="93">
        <v>0.90880830691168701</v>
      </c>
      <c r="CX17" s="93">
        <f t="shared" si="37"/>
        <v>0.53066140364347536</v>
      </c>
      <c r="CY17" s="93"/>
      <c r="CZ17" s="39">
        <f t="shared" si="38"/>
        <v>2.3896892286912941</v>
      </c>
      <c r="DA17" s="93">
        <v>1.5820648528550136</v>
      </c>
      <c r="DB17" s="93">
        <v>-0.91701617077097408</v>
      </c>
      <c r="DC17" s="93">
        <v>0.42142215618484119</v>
      </c>
      <c r="DD17" s="93">
        <f t="shared" si="39"/>
        <v>-0.49559401458613289</v>
      </c>
      <c r="DF17" s="39">
        <f t="shared" si="40"/>
        <v>2.2469738978732945</v>
      </c>
      <c r="DG17" s="93">
        <v>1.8589580112301323</v>
      </c>
      <c r="DH17" s="93">
        <v>0.40224479324612111</v>
      </c>
      <c r="DI17" s="93">
        <v>0.4625715344934439</v>
      </c>
      <c r="DJ17" s="93">
        <f t="shared" si="41"/>
        <v>0.86481632773956507</v>
      </c>
      <c r="DK17" s="106"/>
      <c r="DL17" s="39">
        <f t="shared" si="42"/>
        <v>2.1591674565122787</v>
      </c>
      <c r="DM17" s="93">
        <v>0.10419718827985559</v>
      </c>
      <c r="DN17" s="93">
        <v>0.13662447425664134</v>
      </c>
      <c r="DO17" s="93">
        <v>2.4814616233402073E-2</v>
      </c>
      <c r="DP17" s="93">
        <f t="shared" si="43"/>
        <v>0.1614390904900434</v>
      </c>
    </row>
    <row r="18" spans="1:120" x14ac:dyDescent="0.3">
      <c r="A18" s="90" t="str">
        <f>name!B14</f>
        <v>Accommodation and food</v>
      </c>
      <c r="B18" s="39">
        <f t="shared" si="1"/>
        <v>2.7290326750703198</v>
      </c>
      <c r="C18" s="11">
        <v>12.952999999999982</v>
      </c>
      <c r="D18" s="93">
        <v>0.38799999999999019</v>
      </c>
      <c r="E18" s="93">
        <v>4.0021779615326993</v>
      </c>
      <c r="F18" s="93">
        <f t="shared" si="2"/>
        <v>4.3901779615326895</v>
      </c>
      <c r="G18" s="93"/>
      <c r="H18" s="39">
        <f t="shared" si="3"/>
        <v>2.439043046528111</v>
      </c>
      <c r="I18" s="93">
        <v>0.98180011788807253</v>
      </c>
      <c r="J18" s="93">
        <v>-0.31823538887421476</v>
      </c>
      <c r="K18" s="93">
        <v>0.26753287063716108</v>
      </c>
      <c r="L18" s="93">
        <f t="shared" si="4"/>
        <v>-5.0702518237053684E-2</v>
      </c>
      <c r="N18" s="39">
        <f t="shared" si="5"/>
        <v>2.4753153877203893</v>
      </c>
      <c r="O18" s="93">
        <v>4.3897999117505364</v>
      </c>
      <c r="P18" s="93">
        <v>-3.3729018992914917E-3</v>
      </c>
      <c r="Q18" s="93">
        <v>1.2159970209281907</v>
      </c>
      <c r="R18" s="93">
        <f t="shared" si="6"/>
        <v>1.2126241190288993</v>
      </c>
      <c r="S18" s="106"/>
      <c r="T18" s="39">
        <f t="shared" si="7"/>
        <v>2.9099584906887133</v>
      </c>
      <c r="U18" s="93">
        <v>7.5813999703613737</v>
      </c>
      <c r="V18" s="93">
        <v>0.70960829077349641</v>
      </c>
      <c r="W18" s="93">
        <v>2.5186480699673486</v>
      </c>
      <c r="X18" s="93">
        <f t="shared" si="8"/>
        <v>3.2282563607408452</v>
      </c>
      <c r="Y18" s="90" t="str">
        <f t="shared" si="0"/>
        <v>Accommodation and food</v>
      </c>
      <c r="Z18" s="39">
        <f t="shared" si="9"/>
        <v>2.9001988046052141</v>
      </c>
      <c r="AA18" s="11">
        <v>8.41715005869405</v>
      </c>
      <c r="AB18" s="93">
        <v>1.2401845545007941</v>
      </c>
      <c r="AC18" s="93">
        <v>2.7856660704349108</v>
      </c>
      <c r="AD18" s="93">
        <f t="shared" si="10"/>
        <v>4.0258506249357051</v>
      </c>
      <c r="AE18" s="93"/>
      <c r="AF18" s="39">
        <f t="shared" si="11"/>
        <v>2.6294544068126147</v>
      </c>
      <c r="AG18" s="93">
        <v>0.26152951231038224</v>
      </c>
      <c r="AH18" s="93">
        <v>-4.5405475739936016E-2</v>
      </c>
      <c r="AI18" s="93">
        <v>7.7502654523601097E-2</v>
      </c>
      <c r="AJ18" s="93">
        <f t="shared" si="12"/>
        <v>3.2097178783665081E-2</v>
      </c>
      <c r="AL18" s="39">
        <f t="shared" si="13"/>
        <v>2.7712915947119443</v>
      </c>
      <c r="AM18" s="93">
        <v>1.603753842229815</v>
      </c>
      <c r="AN18" s="93">
        <v>0.37014463186933377</v>
      </c>
      <c r="AO18" s="93">
        <v>0.50417456272407901</v>
      </c>
      <c r="AP18" s="93">
        <f t="shared" si="14"/>
        <v>0.87431919459341279</v>
      </c>
      <c r="AQ18" s="106"/>
      <c r="AR18" s="39">
        <f t="shared" si="15"/>
        <v>2.9421782199993585</v>
      </c>
      <c r="AS18" s="93">
        <v>6.5518667041538512</v>
      </c>
      <c r="AT18" s="93">
        <v>0.91544539837139627</v>
      </c>
      <c r="AU18" s="93">
        <v>2.2039888531872305</v>
      </c>
      <c r="AV18" s="93">
        <f t="shared" si="16"/>
        <v>3.1194342515586269</v>
      </c>
      <c r="AW18" s="90" t="str">
        <f t="shared" si="17"/>
        <v>Accommodation and food</v>
      </c>
      <c r="AX18" s="39">
        <f t="shared" si="18"/>
        <v>2.6824624047876666</v>
      </c>
      <c r="AY18" s="11">
        <v>1.5529698962248977</v>
      </c>
      <c r="AZ18" s="93">
        <v>-0.46999464299830562</v>
      </c>
      <c r="BA18" s="93">
        <v>0.47063529840578655</v>
      </c>
      <c r="BB18" s="93">
        <f t="shared" si="19"/>
        <v>6.4065540748092786E-4</v>
      </c>
      <c r="BC18" s="93"/>
      <c r="BD18" s="39">
        <f t="shared" si="20"/>
        <v>2.5523204536911814</v>
      </c>
      <c r="BE18" s="93">
        <v>0.13614442022126955</v>
      </c>
      <c r="BF18" s="93">
        <v>-6.3296157131409597E-2</v>
      </c>
      <c r="BG18" s="93">
        <v>3.9023576340022549E-2</v>
      </c>
      <c r="BH18" s="93">
        <f t="shared" si="21"/>
        <v>-2.4272580791387048E-2</v>
      </c>
      <c r="BJ18" s="39">
        <f t="shared" si="22"/>
        <v>2.6286177015529599</v>
      </c>
      <c r="BK18" s="93">
        <v>0.68908932411816504</v>
      </c>
      <c r="BL18" s="93">
        <v>-0.20218556619821521</v>
      </c>
      <c r="BM18" s="93">
        <v>0.20413453714844726</v>
      </c>
      <c r="BN18" s="93">
        <f t="shared" si="23"/>
        <v>1.948970950232054E-3</v>
      </c>
      <c r="BO18" s="106"/>
      <c r="BP18" s="39">
        <f t="shared" si="24"/>
        <v>2.7572901368161595</v>
      </c>
      <c r="BQ18" s="93">
        <v>0.72773615188546292</v>
      </c>
      <c r="BR18" s="93">
        <v>-0.20451291966868082</v>
      </c>
      <c r="BS18" s="93">
        <v>0.22747718491731678</v>
      </c>
      <c r="BT18" s="93">
        <f t="shared" si="25"/>
        <v>2.2964265248635957E-2</v>
      </c>
      <c r="BU18" s="90" t="str">
        <f t="shared" si="26"/>
        <v>Accommodation and food</v>
      </c>
      <c r="BV18" s="39">
        <f t="shared" si="27"/>
        <v>2.2597619936791435</v>
      </c>
      <c r="BW18" s="11">
        <v>2.763662773835291</v>
      </c>
      <c r="BX18" s="93">
        <v>-0.23042163432403942</v>
      </c>
      <c r="BY18" s="93">
        <v>0.69201169643440363</v>
      </c>
      <c r="BZ18" s="93">
        <f t="shared" si="28"/>
        <v>0.46159006211036424</v>
      </c>
      <c r="CA18" s="93"/>
      <c r="CB18" s="39">
        <f t="shared" si="29"/>
        <v>2.2744187655870496</v>
      </c>
      <c r="CC18" s="93">
        <v>0.53420672462394658</v>
      </c>
      <c r="CD18" s="93">
        <v>-0.18314245506199275</v>
      </c>
      <c r="CE18" s="93">
        <v>0.13472154653176011</v>
      </c>
      <c r="CF18" s="93">
        <f t="shared" si="30"/>
        <v>-4.8420908530232648E-2</v>
      </c>
      <c r="CH18" s="39">
        <f t="shared" si="31"/>
        <v>2.2063029939758838</v>
      </c>
      <c r="CI18" s="93">
        <v>1.9276589348892854</v>
      </c>
      <c r="CJ18" s="93">
        <v>-4.5954991332827419E-2</v>
      </c>
      <c r="CK18" s="93">
        <v>0.47010811803984248</v>
      </c>
      <c r="CL18" s="93">
        <f t="shared" si="32"/>
        <v>0.42415312670701505</v>
      </c>
      <c r="CM18" s="106"/>
      <c r="CN18" s="39">
        <f t="shared" si="33"/>
        <v>2.5701813988873834</v>
      </c>
      <c r="CO18" s="93">
        <v>0.30179711432205908</v>
      </c>
      <c r="CP18" s="93">
        <v>-1.3241879292192368E-3</v>
      </c>
      <c r="CQ18" s="93">
        <v>8.7182031862801102E-2</v>
      </c>
      <c r="CR18" s="93">
        <f t="shared" si="34"/>
        <v>8.5857843933581868E-2</v>
      </c>
      <c r="CS18" s="90" t="str">
        <f t="shared" si="35"/>
        <v>Accommodation and food</v>
      </c>
      <c r="CT18" s="39">
        <f t="shared" si="36"/>
        <v>2.2214077027330692</v>
      </c>
      <c r="CU18" s="11">
        <v>0.21921727124574525</v>
      </c>
      <c r="CV18" s="93">
        <v>-0.15176827717845895</v>
      </c>
      <c r="CW18" s="93">
        <v>5.386489625759925E-2</v>
      </c>
      <c r="CX18" s="93">
        <f t="shared" si="37"/>
        <v>-9.7903380920859706E-2</v>
      </c>
      <c r="CY18" s="93"/>
      <c r="CZ18" s="39">
        <f t="shared" si="38"/>
        <v>2.8636185424038896</v>
      </c>
      <c r="DA18" s="93">
        <v>4.9919460732474302E-2</v>
      </c>
      <c r="DB18" s="93">
        <v>-2.6391300940876338E-2</v>
      </c>
      <c r="DC18" s="93">
        <v>1.6285093241777283E-2</v>
      </c>
      <c r="DD18" s="93">
        <f t="shared" si="39"/>
        <v>-1.0106207699099055E-2</v>
      </c>
      <c r="DF18" s="39">
        <f t="shared" si="40"/>
        <v>2.0249088908695478</v>
      </c>
      <c r="DG18" s="93">
        <v>0.16929781051327095</v>
      </c>
      <c r="DH18" s="93">
        <v>-0.12537697623758262</v>
      </c>
      <c r="DI18" s="93">
        <v>3.7579803015821964E-2</v>
      </c>
      <c r="DJ18" s="93">
        <f t="shared" si="41"/>
        <v>-8.7797173221760658E-2</v>
      </c>
      <c r="DK18" s="106"/>
      <c r="DL18" s="39">
        <f t="shared" si="42"/>
        <v>0</v>
      </c>
      <c r="DM18" s="93">
        <v>0</v>
      </c>
      <c r="DN18" s="93">
        <v>0</v>
      </c>
      <c r="DO18" s="93">
        <v>0</v>
      </c>
      <c r="DP18" s="93">
        <f t="shared" si="43"/>
        <v>0</v>
      </c>
    </row>
    <row r="19" spans="1:120" x14ac:dyDescent="0.3">
      <c r="A19" s="90" t="str">
        <f>name!B15</f>
        <v>Media</v>
      </c>
      <c r="B19" s="39">
        <f t="shared" si="1"/>
        <v>2.650879874909351</v>
      </c>
      <c r="C19" s="11">
        <v>16.661999999999964</v>
      </c>
      <c r="D19" s="93">
        <v>-1.8919999999999957</v>
      </c>
      <c r="E19" s="93">
        <v>4.9828157385534926</v>
      </c>
      <c r="F19" s="93">
        <f t="shared" si="2"/>
        <v>3.0908157385534967</v>
      </c>
      <c r="G19" s="93"/>
      <c r="H19" s="39">
        <f t="shared" si="3"/>
        <v>2.421853726448564</v>
      </c>
      <c r="I19" s="93">
        <v>1.9434405643167627</v>
      </c>
      <c r="J19" s="93">
        <v>-0.90855133713639524</v>
      </c>
      <c r="K19" s="93">
        <v>0.52542579270375545</v>
      </c>
      <c r="L19" s="93">
        <f t="shared" si="4"/>
        <v>-0.3831255444326398</v>
      </c>
      <c r="N19" s="39">
        <f t="shared" si="5"/>
        <v>2.4061732586688978</v>
      </c>
      <c r="O19" s="93">
        <v>7.733476770699653</v>
      </c>
      <c r="P19" s="93">
        <v>-1.0294803032346584</v>
      </c>
      <c r="Q19" s="93">
        <v>2.0757813219951484</v>
      </c>
      <c r="R19" s="93">
        <f t="shared" si="6"/>
        <v>1.04630101876049</v>
      </c>
      <c r="S19" s="106"/>
      <c r="T19" s="39">
        <f t="shared" si="7"/>
        <v>2.9772916903296753</v>
      </c>
      <c r="U19" s="93">
        <v>6.9850826649835493</v>
      </c>
      <c r="V19" s="93">
        <v>4.6031640371057968E-2</v>
      </c>
      <c r="W19" s="93">
        <v>2.3816086238545888</v>
      </c>
      <c r="X19" s="93">
        <f t="shared" si="8"/>
        <v>2.4276402642256469</v>
      </c>
      <c r="Y19" s="90" t="str">
        <f t="shared" si="0"/>
        <v>Media</v>
      </c>
      <c r="Z19" s="39">
        <f t="shared" si="9"/>
        <v>2.9185657815322896</v>
      </c>
      <c r="AA19" s="11">
        <v>8.3794062941985281</v>
      </c>
      <c r="AB19" s="93">
        <v>-0.17587640052692693</v>
      </c>
      <c r="AC19" s="93">
        <v>2.7930973117040807</v>
      </c>
      <c r="AD19" s="93">
        <f t="shared" si="10"/>
        <v>2.6172209111771538</v>
      </c>
      <c r="AE19" s="93"/>
      <c r="AF19" s="39">
        <f t="shared" si="11"/>
        <v>2.7459576371490213</v>
      </c>
      <c r="AG19" s="93">
        <v>0.31243496317011898</v>
      </c>
      <c r="AH19" s="93">
        <v>-0.10738960201360218</v>
      </c>
      <c r="AI19" s="93">
        <v>9.7209482795084096E-2</v>
      </c>
      <c r="AJ19" s="93">
        <f t="shared" si="12"/>
        <v>-1.018011921851808E-2</v>
      </c>
      <c r="AL19" s="39">
        <f t="shared" si="13"/>
        <v>2.6372520747176109</v>
      </c>
      <c r="AM19" s="93">
        <v>2.000766979672798</v>
      </c>
      <c r="AN19" s="93">
        <v>-0.14537129206384908</v>
      </c>
      <c r="AO19" s="93">
        <v>0.59488625177063192</v>
      </c>
      <c r="AP19" s="93">
        <f t="shared" si="14"/>
        <v>0.44951495970678285</v>
      </c>
      <c r="AQ19" s="106"/>
      <c r="AR19" s="39">
        <f t="shared" si="15"/>
        <v>3.0186007978292295</v>
      </c>
      <c r="AS19" s="93">
        <v>6.0662043513556112</v>
      </c>
      <c r="AT19" s="93">
        <v>7.6884493550524291E-2</v>
      </c>
      <c r="AU19" s="93">
        <v>2.1010015771383648</v>
      </c>
      <c r="AV19" s="93">
        <f t="shared" si="16"/>
        <v>2.177886070688889</v>
      </c>
      <c r="AW19" s="90" t="str">
        <f t="shared" si="17"/>
        <v>Media</v>
      </c>
      <c r="AX19" s="39">
        <f t="shared" si="18"/>
        <v>2.6651859485115947</v>
      </c>
      <c r="AY19" s="11">
        <v>1.664971822536162</v>
      </c>
      <c r="AZ19" s="93">
        <v>-0.7022088254799439</v>
      </c>
      <c r="BA19" s="93">
        <v>0.50093050963156127</v>
      </c>
      <c r="BB19" s="93">
        <f t="shared" si="19"/>
        <v>-0.20127831584838263</v>
      </c>
      <c r="BC19" s="93"/>
      <c r="BD19" s="39">
        <f t="shared" si="20"/>
        <v>2.581820000482149</v>
      </c>
      <c r="BE19" s="93">
        <v>0.26372544688368038</v>
      </c>
      <c r="BF19" s="93">
        <v>-0.10831956062703628</v>
      </c>
      <c r="BG19" s="93">
        <v>7.6569920735424277E-2</v>
      </c>
      <c r="BH19" s="93">
        <f t="shared" si="21"/>
        <v>-3.1749639891612003E-2</v>
      </c>
      <c r="BJ19" s="39">
        <f t="shared" si="22"/>
        <v>2.6382225672916038</v>
      </c>
      <c r="BK19" s="93">
        <v>0.90622693590093328</v>
      </c>
      <c r="BL19" s="93">
        <v>-0.31112932759164502</v>
      </c>
      <c r="BM19" s="93">
        <v>0.26955881347514621</v>
      </c>
      <c r="BN19" s="93">
        <f t="shared" si="23"/>
        <v>-4.1570514116498813E-2</v>
      </c>
      <c r="BO19" s="106"/>
      <c r="BP19" s="39">
        <f t="shared" si="24"/>
        <v>2.7583597057282416</v>
      </c>
      <c r="BQ19" s="93">
        <v>0.4950194397515485</v>
      </c>
      <c r="BR19" s="93">
        <v>-0.28275993726126269</v>
      </c>
      <c r="BS19" s="93">
        <v>0.15480177542099077</v>
      </c>
      <c r="BT19" s="93">
        <f t="shared" si="25"/>
        <v>-0.12795816184027192</v>
      </c>
      <c r="BU19" s="90" t="str">
        <f t="shared" si="26"/>
        <v>Media</v>
      </c>
      <c r="BV19" s="39">
        <f t="shared" si="27"/>
        <v>2.301250253200271</v>
      </c>
      <c r="BW19" s="11">
        <v>5.9165033698801821</v>
      </c>
      <c r="BX19" s="93">
        <v>-1.0278366832146471</v>
      </c>
      <c r="BY19" s="93">
        <v>1.5115416978807021</v>
      </c>
      <c r="BZ19" s="93">
        <f t="shared" si="28"/>
        <v>0.48370501466605509</v>
      </c>
      <c r="CA19" s="93"/>
      <c r="CB19" s="39">
        <f t="shared" si="29"/>
        <v>2.3115008885774335</v>
      </c>
      <c r="CC19" s="93">
        <v>1.2498018824231734</v>
      </c>
      <c r="CD19" s="93">
        <v>-0.61465964280907215</v>
      </c>
      <c r="CE19" s="93">
        <v>0.32087094919664594</v>
      </c>
      <c r="CF19" s="93">
        <f t="shared" si="30"/>
        <v>-0.29378869361242621</v>
      </c>
      <c r="CH19" s="39">
        <f t="shared" si="31"/>
        <v>2.2668844506140928</v>
      </c>
      <c r="CI19" s="93">
        <v>4.2539717403366248</v>
      </c>
      <c r="CJ19" s="93">
        <v>-0.61145217832122922</v>
      </c>
      <c r="CK19" s="93">
        <v>1.0688859433031883</v>
      </c>
      <c r="CL19" s="93">
        <f t="shared" si="32"/>
        <v>0.45743376498195909</v>
      </c>
      <c r="CM19" s="106"/>
      <c r="CN19" s="39">
        <f t="shared" si="33"/>
        <v>2.6193775887513038</v>
      </c>
      <c r="CO19" s="93">
        <v>0.41272974712038374</v>
      </c>
      <c r="CP19" s="93">
        <v>0.19827513791565432</v>
      </c>
      <c r="CQ19" s="93">
        <v>0.12178480538086794</v>
      </c>
      <c r="CR19" s="93">
        <f t="shared" si="34"/>
        <v>0.32005994329652226</v>
      </c>
      <c r="CS19" s="90" t="str">
        <f t="shared" si="35"/>
        <v>Media</v>
      </c>
      <c r="CT19" s="39">
        <f t="shared" si="36"/>
        <v>2.2794409399427673</v>
      </c>
      <c r="CU19" s="11">
        <v>0.70111851338509235</v>
      </c>
      <c r="CV19" s="93">
        <v>1.3921909221522149E-2</v>
      </c>
      <c r="CW19" s="93">
        <v>0.17724621933714907</v>
      </c>
      <c r="CX19" s="93">
        <f t="shared" si="37"/>
        <v>0.19116812855867121</v>
      </c>
      <c r="CY19" s="93"/>
      <c r="CZ19" s="39">
        <f t="shared" si="38"/>
        <v>2.3539960057005649</v>
      </c>
      <c r="DA19" s="93">
        <v>0.11747827183979</v>
      </c>
      <c r="DB19" s="93">
        <v>-7.8182531686684584E-2</v>
      </c>
      <c r="DC19" s="93">
        <v>3.0775439976601052E-2</v>
      </c>
      <c r="DD19" s="93">
        <f t="shared" si="39"/>
        <v>-4.7407091710083532E-2</v>
      </c>
      <c r="DF19" s="39">
        <f t="shared" si="40"/>
        <v>2.2468339355165234</v>
      </c>
      <c r="DG19" s="93">
        <v>0.57251111478929684</v>
      </c>
      <c r="DH19" s="93">
        <v>3.8472494742064697E-2</v>
      </c>
      <c r="DI19" s="93">
        <v>0.14245031344618231</v>
      </c>
      <c r="DJ19" s="93">
        <f t="shared" si="41"/>
        <v>0.18092280818824702</v>
      </c>
      <c r="DK19" s="106"/>
      <c r="DL19" s="39">
        <f t="shared" si="42"/>
        <v>3.132129843378717</v>
      </c>
      <c r="DM19" s="93">
        <v>1.1129126756005558E-2</v>
      </c>
      <c r="DN19" s="93">
        <v>5.3631946166142037E-2</v>
      </c>
      <c r="DO19" s="93">
        <v>4.0204659143656838E-3</v>
      </c>
      <c r="DP19" s="93">
        <f t="shared" si="43"/>
        <v>5.7652412080507719E-2</v>
      </c>
    </row>
    <row r="20" spans="1:120" x14ac:dyDescent="0.3">
      <c r="A20" s="90" t="str">
        <f>name!B16</f>
        <v>Information technology</v>
      </c>
      <c r="B20" s="39">
        <f t="shared" si="1"/>
        <v>2.630000270050048</v>
      </c>
      <c r="C20" s="11">
        <v>34.601999999999876</v>
      </c>
      <c r="D20" s="93">
        <v>-3.8549999999999471</v>
      </c>
      <c r="E20" s="93">
        <v>10.256474686233423</v>
      </c>
      <c r="F20" s="93">
        <f t="shared" si="2"/>
        <v>6.4014746862334757</v>
      </c>
      <c r="G20" s="93"/>
      <c r="H20" s="39">
        <f t="shared" si="3"/>
        <v>2.4896239324975644</v>
      </c>
      <c r="I20" s="93">
        <v>6.3842523172142389</v>
      </c>
      <c r="J20" s="93">
        <v>-1.3027470433857931</v>
      </c>
      <c r="K20" s="93">
        <v>1.7798612708286927</v>
      </c>
      <c r="L20" s="93">
        <f t="shared" si="4"/>
        <v>0.47711422744289966</v>
      </c>
      <c r="N20" s="39">
        <f t="shared" si="5"/>
        <v>2.5461854565335118</v>
      </c>
      <c r="O20" s="93">
        <v>18.08880807286123</v>
      </c>
      <c r="P20" s="93">
        <v>-2.1012037936311048</v>
      </c>
      <c r="Q20" s="93">
        <v>5.1709423641740262</v>
      </c>
      <c r="R20" s="93">
        <f t="shared" si="6"/>
        <v>3.0697385705429214</v>
      </c>
      <c r="S20" s="106"/>
      <c r="T20" s="39">
        <f t="shared" si="7"/>
        <v>2.8646399549337564</v>
      </c>
      <c r="U20" s="93">
        <v>10.128939609924409</v>
      </c>
      <c r="V20" s="93">
        <v>-0.45104916298304948</v>
      </c>
      <c r="W20" s="93">
        <v>3.3056710512307044</v>
      </c>
      <c r="X20" s="93">
        <f t="shared" si="8"/>
        <v>2.8546218882476548</v>
      </c>
      <c r="Y20" s="90" t="str">
        <f t="shared" si="0"/>
        <v>Information technology</v>
      </c>
      <c r="Z20" s="39">
        <f t="shared" si="9"/>
        <v>2.8552821094793401</v>
      </c>
      <c r="AA20" s="11">
        <v>13.953182859548033</v>
      </c>
      <c r="AB20" s="93">
        <v>-1.67980428374619</v>
      </c>
      <c r="AC20" s="93">
        <v>4.5369181113981396</v>
      </c>
      <c r="AD20" s="93">
        <f t="shared" si="10"/>
        <v>2.8571138276519497</v>
      </c>
      <c r="AE20" s="93"/>
      <c r="AF20" s="39">
        <f t="shared" si="11"/>
        <v>2.798663449076022</v>
      </c>
      <c r="AG20" s="93">
        <v>1.2847958755225881</v>
      </c>
      <c r="AH20" s="93">
        <v>-0.12384047360641834</v>
      </c>
      <c r="AI20" s="93">
        <v>0.40840629030865233</v>
      </c>
      <c r="AJ20" s="93">
        <f t="shared" si="12"/>
        <v>0.28456581670223402</v>
      </c>
      <c r="AL20" s="39">
        <f t="shared" si="13"/>
        <v>2.7559320611477256</v>
      </c>
      <c r="AM20" s="93">
        <v>4.8268191334861674</v>
      </c>
      <c r="AN20" s="93">
        <v>-0.57107107367591969</v>
      </c>
      <c r="AO20" s="93">
        <v>1.5079392492593697</v>
      </c>
      <c r="AP20" s="93">
        <f t="shared" si="14"/>
        <v>0.93686817558345004</v>
      </c>
      <c r="AQ20" s="106"/>
      <c r="AR20" s="39">
        <f t="shared" si="15"/>
        <v>2.9252105333952505</v>
      </c>
      <c r="AS20" s="93">
        <v>7.8415678505392767</v>
      </c>
      <c r="AT20" s="93">
        <v>-0.98489273646385189</v>
      </c>
      <c r="AU20" s="93">
        <v>2.6205725718301167</v>
      </c>
      <c r="AV20" s="93">
        <f t="shared" si="16"/>
        <v>1.6356798353662647</v>
      </c>
      <c r="AW20" s="90" t="str">
        <f t="shared" si="17"/>
        <v>Information technology</v>
      </c>
      <c r="AX20" s="39">
        <f t="shared" si="18"/>
        <v>2.6748514920266198</v>
      </c>
      <c r="AY20" s="11">
        <v>4.2099312351777032</v>
      </c>
      <c r="AZ20" s="93">
        <v>-0.56161412539516631</v>
      </c>
      <c r="BA20" s="93">
        <v>1.2717759825285015</v>
      </c>
      <c r="BB20" s="93">
        <f t="shared" si="19"/>
        <v>0.71016185713333524</v>
      </c>
      <c r="BC20" s="93"/>
      <c r="BD20" s="39">
        <f t="shared" si="20"/>
        <v>2.5994582145060452</v>
      </c>
      <c r="BE20" s="93">
        <v>0.53565838194452042</v>
      </c>
      <c r="BF20" s="93">
        <v>-7.8618004194655866E-2</v>
      </c>
      <c r="BG20" s="93">
        <v>0.15671215650903289</v>
      </c>
      <c r="BH20" s="93">
        <f t="shared" si="21"/>
        <v>7.8094152314377024E-2</v>
      </c>
      <c r="BJ20" s="39">
        <f t="shared" si="22"/>
        <v>2.6483527756445246</v>
      </c>
      <c r="BK20" s="93">
        <v>2.2560634885597532</v>
      </c>
      <c r="BL20" s="93">
        <v>-0.30542322205299727</v>
      </c>
      <c r="BM20" s="93">
        <v>0.67396040804007895</v>
      </c>
      <c r="BN20" s="93">
        <f t="shared" si="23"/>
        <v>0.36853718598708168</v>
      </c>
      <c r="BO20" s="106"/>
      <c r="BP20" s="39">
        <f t="shared" si="24"/>
        <v>2.7451216362557762</v>
      </c>
      <c r="BQ20" s="93">
        <v>1.4182093646734297</v>
      </c>
      <c r="BR20" s="93">
        <v>-0.17757289914751315</v>
      </c>
      <c r="BS20" s="93">
        <v>0.44110341797938962</v>
      </c>
      <c r="BT20" s="93">
        <f t="shared" si="25"/>
        <v>0.2635305188318765</v>
      </c>
      <c r="BU20" s="90" t="str">
        <f t="shared" si="26"/>
        <v>Information technology</v>
      </c>
      <c r="BV20" s="39">
        <f t="shared" si="27"/>
        <v>2.4242377604531073</v>
      </c>
      <c r="BW20" s="11">
        <v>15.223628532016798</v>
      </c>
      <c r="BX20" s="93">
        <v>-1.9724996964398605</v>
      </c>
      <c r="BY20" s="93">
        <v>4.1203403348407761</v>
      </c>
      <c r="BZ20" s="93">
        <f t="shared" si="28"/>
        <v>2.1478406384009157</v>
      </c>
      <c r="CA20" s="93"/>
      <c r="CB20" s="39">
        <f t="shared" si="29"/>
        <v>2.4043230891266143</v>
      </c>
      <c r="CC20" s="93">
        <v>4.0549670831540263</v>
      </c>
      <c r="CD20" s="93">
        <v>-0.87521384736118646</v>
      </c>
      <c r="CE20" s="93">
        <v>1.0874848929554206</v>
      </c>
      <c r="CF20" s="93">
        <f t="shared" si="30"/>
        <v>0.21227104559423415</v>
      </c>
      <c r="CH20" s="39">
        <f t="shared" si="31"/>
        <v>2.4287404250380895</v>
      </c>
      <c r="CI20" s="93">
        <v>10.383652468950638</v>
      </c>
      <c r="CJ20" s="93">
        <v>-1.3016002996443403</v>
      </c>
      <c r="CK20" s="93">
        <v>2.8161814283025186</v>
      </c>
      <c r="CL20" s="93">
        <f t="shared" si="32"/>
        <v>1.5145811286581783</v>
      </c>
      <c r="CM20" s="106"/>
      <c r="CN20" s="39">
        <f t="shared" si="33"/>
        <v>2.4673648385086233</v>
      </c>
      <c r="CO20" s="93">
        <v>0.78500897991213381</v>
      </c>
      <c r="CP20" s="93">
        <v>0.20431445056566661</v>
      </c>
      <c r="CQ20" s="93">
        <v>0.21667401358283661</v>
      </c>
      <c r="CR20" s="93">
        <f t="shared" si="34"/>
        <v>0.42098846414850322</v>
      </c>
      <c r="CS20" s="90" t="str">
        <f t="shared" si="35"/>
        <v>Information technology</v>
      </c>
      <c r="CT20" s="39">
        <f t="shared" si="36"/>
        <v>2.4144541847002987</v>
      </c>
      <c r="CU20" s="11">
        <v>1.2152573732573435</v>
      </c>
      <c r="CV20" s="93">
        <v>0.35891810558126896</v>
      </c>
      <c r="CW20" s="93">
        <v>0.32744025746600702</v>
      </c>
      <c r="CX20" s="93">
        <f t="shared" si="37"/>
        <v>0.68635836304727604</v>
      </c>
      <c r="CY20" s="93"/>
      <c r="CZ20" s="39">
        <f t="shared" si="38"/>
        <v>2.2573250871402939</v>
      </c>
      <c r="DA20" s="93">
        <v>0.50883097659310417</v>
      </c>
      <c r="DB20" s="93">
        <v>-0.22507471822353237</v>
      </c>
      <c r="DC20" s="93">
        <v>0.12725793105558686</v>
      </c>
      <c r="DD20" s="93">
        <f t="shared" si="39"/>
        <v>-9.7816787167945507E-2</v>
      </c>
      <c r="DF20" s="39">
        <f t="shared" si="40"/>
        <v>2.4816129596337833</v>
      </c>
      <c r="DG20" s="93">
        <v>0.62227298186467062</v>
      </c>
      <c r="DH20" s="93">
        <v>7.6890801742152348E-2</v>
      </c>
      <c r="DI20" s="93">
        <v>0.1728612785720591</v>
      </c>
      <c r="DJ20" s="93">
        <f t="shared" si="41"/>
        <v>0.24975208031421145</v>
      </c>
      <c r="DK20" s="106"/>
      <c r="DL20" s="39">
        <f t="shared" si="42"/>
        <v>2.8514371248256065</v>
      </c>
      <c r="DM20" s="93">
        <v>8.4153414799568824E-2</v>
      </c>
      <c r="DN20" s="93">
        <v>0.50710202206264898</v>
      </c>
      <c r="DO20" s="93">
        <v>2.7321047838361107E-2</v>
      </c>
      <c r="DP20" s="93">
        <f t="shared" si="43"/>
        <v>0.53442306990101007</v>
      </c>
    </row>
    <row r="21" spans="1:120" x14ac:dyDescent="0.3">
      <c r="A21" s="90" t="str">
        <f>name!B17</f>
        <v>Finance and insurance</v>
      </c>
      <c r="B21" s="39">
        <f t="shared" si="1"/>
        <v>2.4812804219719098</v>
      </c>
      <c r="C21" s="11">
        <v>33.322999999999901</v>
      </c>
      <c r="D21" s="93">
        <v>-3.4569999999999741</v>
      </c>
      <c r="E21" s="93">
        <v>9.2554181233713848</v>
      </c>
      <c r="F21" s="93">
        <f t="shared" si="2"/>
        <v>5.7984181233714107</v>
      </c>
      <c r="G21" s="93"/>
      <c r="H21" s="39">
        <f t="shared" si="3"/>
        <v>2.3436986854765918</v>
      </c>
      <c r="I21" s="93">
        <v>7.7779668974735596</v>
      </c>
      <c r="J21" s="93">
        <v>-2.1913610207501648</v>
      </c>
      <c r="K21" s="93">
        <v>2.0277008362964004</v>
      </c>
      <c r="L21" s="93">
        <f t="shared" si="4"/>
        <v>-0.1636601844537644</v>
      </c>
      <c r="N21" s="39">
        <f t="shared" si="5"/>
        <v>2.3961637037624106</v>
      </c>
      <c r="O21" s="93">
        <v>18.946833896500934</v>
      </c>
      <c r="P21" s="93">
        <v>-1.9125527829377933</v>
      </c>
      <c r="Q21" s="93">
        <v>5.0621349318084921</v>
      </c>
      <c r="R21" s="93">
        <f t="shared" si="6"/>
        <v>3.1495821488706985</v>
      </c>
      <c r="S21" s="106"/>
      <c r="T21" s="39">
        <f t="shared" si="7"/>
        <v>2.878971077935244</v>
      </c>
      <c r="U21" s="93">
        <v>6.5981992060254084</v>
      </c>
      <c r="V21" s="93">
        <v>0.64691380368798412</v>
      </c>
      <c r="W21" s="93">
        <v>2.1655823552664915</v>
      </c>
      <c r="X21" s="93">
        <f t="shared" si="8"/>
        <v>2.8124961589544757</v>
      </c>
      <c r="Y21" s="90" t="str">
        <f t="shared" si="0"/>
        <v>Finance and insurance</v>
      </c>
      <c r="Z21" s="39">
        <f t="shared" si="9"/>
        <v>2.798959749955654</v>
      </c>
      <c r="AA21" s="11">
        <v>12.270868694716109</v>
      </c>
      <c r="AB21" s="93">
        <v>2.9764862885854111</v>
      </c>
      <c r="AC21" s="93">
        <v>3.9010857145843958</v>
      </c>
      <c r="AD21" s="93">
        <f t="shared" si="10"/>
        <v>6.8775720031698064</v>
      </c>
      <c r="AE21" s="93"/>
      <c r="AF21" s="39">
        <f t="shared" si="11"/>
        <v>2.7178804906447418</v>
      </c>
      <c r="AG21" s="93">
        <v>1.4082979674661906</v>
      </c>
      <c r="AH21" s="93">
        <v>5.2896058974020416E-2</v>
      </c>
      <c r="AI21" s="93">
        <v>0.43313132387053488</v>
      </c>
      <c r="AJ21" s="93">
        <f t="shared" si="12"/>
        <v>0.48602738284455527</v>
      </c>
      <c r="AL21" s="39">
        <f t="shared" si="13"/>
        <v>2.6905674486324749</v>
      </c>
      <c r="AM21" s="93">
        <v>5.7129298402976092</v>
      </c>
      <c r="AN21" s="93">
        <v>2.2476050941027323</v>
      </c>
      <c r="AO21" s="93">
        <v>1.737210049999393</v>
      </c>
      <c r="AP21" s="93">
        <f t="shared" si="14"/>
        <v>3.9848151441021251</v>
      </c>
      <c r="AQ21" s="106"/>
      <c r="AR21" s="39">
        <f t="shared" si="15"/>
        <v>2.939861842779945</v>
      </c>
      <c r="AS21" s="93">
        <v>5.1496408869523096</v>
      </c>
      <c r="AT21" s="93">
        <v>0.67598513550865802</v>
      </c>
      <c r="AU21" s="93">
        <v>1.7307443407144678</v>
      </c>
      <c r="AV21" s="93">
        <f t="shared" si="16"/>
        <v>2.4067294762231257</v>
      </c>
      <c r="AW21" s="90" t="str">
        <f t="shared" si="17"/>
        <v>Finance and insurance</v>
      </c>
      <c r="AX21" s="39">
        <f t="shared" si="18"/>
        <v>2.6672196716569507</v>
      </c>
      <c r="AY21" s="11">
        <v>3.1291828896233556</v>
      </c>
      <c r="AZ21" s="93">
        <v>4.7662543576286416E-2</v>
      </c>
      <c r="BA21" s="93">
        <v>0.94226572050611046</v>
      </c>
      <c r="BB21" s="93">
        <f t="shared" si="19"/>
        <v>0.98992826408239687</v>
      </c>
      <c r="BC21" s="93"/>
      <c r="BD21" s="39">
        <f t="shared" si="20"/>
        <v>2.6037899995889902</v>
      </c>
      <c r="BE21" s="93">
        <v>0.61592438154919227</v>
      </c>
      <c r="BF21" s="93">
        <v>-3.7382232284277769E-2</v>
      </c>
      <c r="BG21" s="93">
        <v>0.18053095656887813</v>
      </c>
      <c r="BH21" s="93">
        <f t="shared" si="21"/>
        <v>0.14314872428460035</v>
      </c>
      <c r="BJ21" s="39">
        <f t="shared" si="22"/>
        <v>2.6401755891724665</v>
      </c>
      <c r="BK21" s="93">
        <v>1.812577752323878</v>
      </c>
      <c r="BL21" s="93">
        <v>-1.6849737964863366E-2</v>
      </c>
      <c r="BM21" s="93">
        <v>0.53960200635034938</v>
      </c>
      <c r="BN21" s="93">
        <f t="shared" si="23"/>
        <v>0.52275226838548605</v>
      </c>
      <c r="BO21" s="106"/>
      <c r="BP21" s="39">
        <f t="shared" si="24"/>
        <v>2.7920140765933743</v>
      </c>
      <c r="BQ21" s="93">
        <v>0.70068075575028521</v>
      </c>
      <c r="BR21" s="93">
        <v>0.10189451382542755</v>
      </c>
      <c r="BS21" s="93">
        <v>0.22213275758688292</v>
      </c>
      <c r="BT21" s="93">
        <f t="shared" si="25"/>
        <v>0.32402727141231047</v>
      </c>
      <c r="BU21" s="90" t="str">
        <f t="shared" si="26"/>
        <v>Finance and insurance</v>
      </c>
      <c r="BV21" s="39">
        <f t="shared" si="27"/>
        <v>2.2225807612637372</v>
      </c>
      <c r="BW21" s="11">
        <v>17.010496310706994</v>
      </c>
      <c r="BX21" s="93">
        <v>-6.2268929517639569</v>
      </c>
      <c r="BY21" s="93">
        <v>4.1821600833902677</v>
      </c>
      <c r="BZ21" s="93">
        <f t="shared" si="28"/>
        <v>-2.0447328683736892</v>
      </c>
      <c r="CA21" s="93"/>
      <c r="CB21" s="39">
        <f t="shared" si="29"/>
        <v>2.2178133748506523</v>
      </c>
      <c r="CC21" s="93">
        <v>5.361386794682045</v>
      </c>
      <c r="CD21" s="93">
        <v>-2.3999699747148724</v>
      </c>
      <c r="CE21" s="93">
        <v>1.3150232829970165</v>
      </c>
      <c r="CF21" s="93">
        <f t="shared" si="30"/>
        <v>-1.0849466917178558</v>
      </c>
      <c r="CH21" s="39">
        <f t="shared" si="31"/>
        <v>2.2046166739490669</v>
      </c>
      <c r="CI21" s="93">
        <v>10.966559197882978</v>
      </c>
      <c r="CJ21" s="93">
        <v>-3.7501749723874718</v>
      </c>
      <c r="CK21" s="93">
        <v>2.6722208134635381</v>
      </c>
      <c r="CL21" s="93">
        <f t="shared" si="32"/>
        <v>-1.0779541589239336</v>
      </c>
      <c r="CM21" s="106"/>
      <c r="CN21" s="39">
        <f t="shared" si="33"/>
        <v>2.5438402112385017</v>
      </c>
      <c r="CO21" s="93">
        <v>0.68255031814196876</v>
      </c>
      <c r="CP21" s="93">
        <v>-7.6748004661612662E-2</v>
      </c>
      <c r="CQ21" s="93">
        <v>0.19491598692971274</v>
      </c>
      <c r="CR21" s="93">
        <f t="shared" si="34"/>
        <v>0.11816798226810007</v>
      </c>
      <c r="CS21" s="90" t="str">
        <f t="shared" si="35"/>
        <v>Finance and insurance</v>
      </c>
      <c r="CT21" s="39">
        <f t="shared" si="36"/>
        <v>2.2725870846393104</v>
      </c>
      <c r="CU21" s="11">
        <v>0.91245210495344775</v>
      </c>
      <c r="CV21" s="93">
        <v>-0.25425588039771407</v>
      </c>
      <c r="CW21" s="93">
        <v>0.22990660489061099</v>
      </c>
      <c r="CX21" s="93">
        <f t="shared" si="37"/>
        <v>-2.4349275507103085E-2</v>
      </c>
      <c r="CY21" s="93"/>
      <c r="CZ21" s="39">
        <f t="shared" si="38"/>
        <v>2.2758052007650242</v>
      </c>
      <c r="DA21" s="93">
        <v>0.3923577537761323</v>
      </c>
      <c r="DB21" s="93">
        <v>0.19309512727496547</v>
      </c>
      <c r="DC21" s="93">
        <v>9.9015272859970554E-2</v>
      </c>
      <c r="DD21" s="93">
        <f t="shared" si="39"/>
        <v>0.29211040013493605</v>
      </c>
      <c r="DF21" s="39">
        <f t="shared" si="40"/>
        <v>2.2459052950809522</v>
      </c>
      <c r="DG21" s="93">
        <v>0.4547671059964703</v>
      </c>
      <c r="DH21" s="93">
        <v>-0.3931331666881907</v>
      </c>
      <c r="DI21" s="93">
        <v>0.11310206199521274</v>
      </c>
      <c r="DJ21" s="93">
        <f t="shared" si="41"/>
        <v>-0.28003110469297798</v>
      </c>
      <c r="DK21" s="106"/>
      <c r="DL21" s="39">
        <f t="shared" si="42"/>
        <v>2.4375771949586511</v>
      </c>
      <c r="DM21" s="93">
        <v>6.5327245180845164E-2</v>
      </c>
      <c r="DN21" s="93">
        <v>-5.4217840984488806E-2</v>
      </c>
      <c r="DO21" s="93">
        <v>1.7789270035427705E-2</v>
      </c>
      <c r="DP21" s="93">
        <f t="shared" si="43"/>
        <v>-3.6428570949061101E-2</v>
      </c>
    </row>
    <row r="22" spans="1:120" x14ac:dyDescent="0.3">
      <c r="A22" s="90" t="str">
        <f>name!B18</f>
        <v>Real estate</v>
      </c>
      <c r="B22" s="39">
        <f t="shared" si="1"/>
        <v>2.6116897758494684</v>
      </c>
      <c r="C22" s="11">
        <v>6.1683349428474763</v>
      </c>
      <c r="D22" s="93">
        <v>0.196627540592925</v>
      </c>
      <c r="E22" s="93">
        <v>1.8141175570326864</v>
      </c>
      <c r="F22" s="93">
        <f t="shared" si="2"/>
        <v>2.0107450976256116</v>
      </c>
      <c r="G22" s="93"/>
      <c r="H22" s="39">
        <f t="shared" si="3"/>
        <v>2.514226030268718</v>
      </c>
      <c r="I22" s="93">
        <v>1.4414399971181822</v>
      </c>
      <c r="J22" s="93">
        <v>-0.35250015246161959</v>
      </c>
      <c r="K22" s="93">
        <v>0.40628757914793828</v>
      </c>
      <c r="L22" s="93">
        <f t="shared" si="4"/>
        <v>5.3787426686318696E-2</v>
      </c>
      <c r="N22" s="39">
        <f t="shared" si="5"/>
        <v>2.6214470082087438</v>
      </c>
      <c r="O22" s="93">
        <v>2.3753843717507803</v>
      </c>
      <c r="P22" s="93">
        <v>0.12579529520222252</v>
      </c>
      <c r="Q22" s="93">
        <v>0.701528764239294</v>
      </c>
      <c r="R22" s="93">
        <f t="shared" si="6"/>
        <v>0.82732405944151655</v>
      </c>
      <c r="S22" s="106"/>
      <c r="T22" s="39">
        <f t="shared" si="7"/>
        <v>2.6612106513108635</v>
      </c>
      <c r="U22" s="93">
        <v>2.3515105739785147</v>
      </c>
      <c r="V22" s="93">
        <v>0.42333239785232213</v>
      </c>
      <c r="W22" s="93">
        <v>0.70630121364545417</v>
      </c>
      <c r="X22" s="93">
        <f t="shared" si="8"/>
        <v>1.1296336114977763</v>
      </c>
      <c r="Y22" s="90" t="str">
        <f t="shared" si="0"/>
        <v>Real estate</v>
      </c>
      <c r="Z22" s="39">
        <f t="shared" si="9"/>
        <v>2.7183631629002836</v>
      </c>
      <c r="AA22" s="11">
        <v>3.1732901245624543</v>
      </c>
      <c r="AB22" s="93">
        <v>0.6841817025054634</v>
      </c>
      <c r="AC22" s="93">
        <v>0.97616127527036756</v>
      </c>
      <c r="AD22" s="93">
        <f t="shared" si="10"/>
        <v>1.660342977775831</v>
      </c>
      <c r="AE22" s="93"/>
      <c r="AF22" s="39">
        <f t="shared" si="11"/>
        <v>2.6131607505413434</v>
      </c>
      <c r="AG22" s="93">
        <v>0.19250680994422617</v>
      </c>
      <c r="AH22" s="93">
        <v>0.16401414967811412</v>
      </c>
      <c r="AI22" s="93">
        <v>5.6652287723932618E-2</v>
      </c>
      <c r="AJ22" s="93">
        <f t="shared" si="12"/>
        <v>0.22066643740204672</v>
      </c>
      <c r="AL22" s="39">
        <f t="shared" si="13"/>
        <v>2.8445633977957741</v>
      </c>
      <c r="AM22" s="93">
        <v>0.85860730100895899</v>
      </c>
      <c r="AN22" s="93">
        <v>4.2190547756578954E-2</v>
      </c>
      <c r="AO22" s="93">
        <v>0.27799351979985232</v>
      </c>
      <c r="AP22" s="93">
        <f t="shared" si="14"/>
        <v>0.32018406755643125</v>
      </c>
      <c r="AQ22" s="106"/>
      <c r="AR22" s="39">
        <f t="shared" si="15"/>
        <v>2.6764431790775811</v>
      </c>
      <c r="AS22" s="93">
        <v>2.1221760136092689</v>
      </c>
      <c r="AT22" s="93">
        <v>0.47797700507077023</v>
      </c>
      <c r="AU22" s="93">
        <v>0.64151546774658263</v>
      </c>
      <c r="AV22" s="93">
        <f t="shared" si="16"/>
        <v>1.119492472817353</v>
      </c>
      <c r="AW22" s="90" t="str">
        <f t="shared" si="17"/>
        <v>Real estate</v>
      </c>
      <c r="AX22" s="39">
        <f t="shared" si="18"/>
        <v>2.6817205379647824</v>
      </c>
      <c r="AY22" s="11">
        <v>0.48397528340046003</v>
      </c>
      <c r="AZ22" s="93">
        <v>-0.12994053725972496</v>
      </c>
      <c r="BA22" s="93">
        <v>0.14662556967400292</v>
      </c>
      <c r="BB22" s="93">
        <f t="shared" si="19"/>
        <v>1.6685032414277962E-2</v>
      </c>
      <c r="BC22" s="93"/>
      <c r="BD22" s="39">
        <f t="shared" si="20"/>
        <v>2.6291172026759568</v>
      </c>
      <c r="BE22" s="93">
        <v>9.4966037850212306E-2</v>
      </c>
      <c r="BF22" s="93">
        <v>-2.1192060628218386E-2</v>
      </c>
      <c r="BG22" s="93">
        <v>2.8138553500052236E-2</v>
      </c>
      <c r="BH22" s="93">
        <f t="shared" si="21"/>
        <v>6.9464928718338502E-3</v>
      </c>
      <c r="BJ22" s="39">
        <f t="shared" si="22"/>
        <v>2.6564659717416284</v>
      </c>
      <c r="BK22" s="93">
        <v>0.28934641044130943</v>
      </c>
      <c r="BL22" s="93">
        <v>-6.9725317303981571E-2</v>
      </c>
      <c r="BM22" s="93">
        <v>8.6734415154016753E-2</v>
      </c>
      <c r="BN22" s="93">
        <f t="shared" si="23"/>
        <v>1.7009097850035182E-2</v>
      </c>
      <c r="BO22" s="106"/>
      <c r="BP22" s="39">
        <f t="shared" si="24"/>
        <v>2.8043080569318812</v>
      </c>
      <c r="BQ22" s="93">
        <v>9.9662835108938322E-2</v>
      </c>
      <c r="BR22" s="93">
        <v>-3.9023159327524995E-2</v>
      </c>
      <c r="BS22" s="93">
        <v>3.1752601019933914E-2</v>
      </c>
      <c r="BT22" s="93">
        <f t="shared" si="25"/>
        <v>-7.270558307591081E-3</v>
      </c>
      <c r="BU22" s="90" t="str">
        <f t="shared" si="26"/>
        <v>Real estate</v>
      </c>
      <c r="BV22" s="39">
        <f t="shared" si="27"/>
        <v>2.4416221739186561</v>
      </c>
      <c r="BW22" s="11">
        <v>2.2997640416194169</v>
      </c>
      <c r="BX22" s="93">
        <v>-0.8033658212946152</v>
      </c>
      <c r="BY22" s="93">
        <v>0.6274046319250105</v>
      </c>
      <c r="BZ22" s="93">
        <f t="shared" si="28"/>
        <v>-0.1759611893696047</v>
      </c>
      <c r="CA22" s="93"/>
      <c r="CB22" s="39">
        <f t="shared" si="29"/>
        <v>2.4552545911513901</v>
      </c>
      <c r="CC22" s="93">
        <v>1.0388676866360598</v>
      </c>
      <c r="CD22" s="93">
        <v>-0.38022277882383149</v>
      </c>
      <c r="CE22" s="93">
        <v>0.285176888828165</v>
      </c>
      <c r="CF22" s="93">
        <f t="shared" si="30"/>
        <v>-9.5045889995666488E-2</v>
      </c>
      <c r="CH22" s="39">
        <f t="shared" si="31"/>
        <v>2.4368885305120269</v>
      </c>
      <c r="CI22" s="93">
        <v>1.1528693059881228</v>
      </c>
      <c r="CJ22" s="93">
        <v>-0.40179371550567344</v>
      </c>
      <c r="CK22" s="93">
        <v>0.31383937301156528</v>
      </c>
      <c r="CL22" s="93">
        <f t="shared" si="32"/>
        <v>-8.7954342494108162E-2</v>
      </c>
      <c r="CM22" s="106"/>
      <c r="CN22" s="39">
        <f t="shared" si="33"/>
        <v>2.3606641104796822</v>
      </c>
      <c r="CO22" s="93">
        <v>0.10802704899523392</v>
      </c>
      <c r="CP22" s="93">
        <v>-2.134932696511032E-2</v>
      </c>
      <c r="CQ22" s="93">
        <v>2.8388370085280102E-2</v>
      </c>
      <c r="CR22" s="93">
        <f t="shared" si="34"/>
        <v>7.0390431201697821E-3</v>
      </c>
      <c r="CS22" s="90" t="str">
        <f t="shared" si="35"/>
        <v>Real estate</v>
      </c>
      <c r="CT22" s="39">
        <f t="shared" si="36"/>
        <v>2.6783181831917302</v>
      </c>
      <c r="CU22" s="11">
        <v>0.21130549326514642</v>
      </c>
      <c r="CV22" s="93">
        <v>0.44575219664180188</v>
      </c>
      <c r="CW22" s="93">
        <v>6.3926080163305615E-2</v>
      </c>
      <c r="CX22" s="93">
        <f t="shared" si="37"/>
        <v>0.50967827680510747</v>
      </c>
      <c r="CY22" s="93"/>
      <c r="CZ22" s="39">
        <f t="shared" si="38"/>
        <v>2.7805168236047173</v>
      </c>
      <c r="DA22" s="93">
        <v>0.11509946268768383</v>
      </c>
      <c r="DB22" s="93">
        <v>-0.11509946268768383</v>
      </c>
      <c r="DC22" s="93">
        <v>3.6319849095788476E-2</v>
      </c>
      <c r="DD22" s="93">
        <f t="shared" si="39"/>
        <v>-7.8779613591895351E-2</v>
      </c>
      <c r="DF22" s="39">
        <f t="shared" si="40"/>
        <v>2.7210008218849335</v>
      </c>
      <c r="DG22" s="93">
        <v>7.4561354312388889E-2</v>
      </c>
      <c r="DH22" s="93">
        <v>0.55512378025529863</v>
      </c>
      <c r="DI22" s="93">
        <v>2.2961456273859673E-2</v>
      </c>
      <c r="DJ22" s="93">
        <f t="shared" si="41"/>
        <v>0.57808523652915833</v>
      </c>
      <c r="DK22" s="106"/>
      <c r="DL22" s="39">
        <f t="shared" si="42"/>
        <v>1.9631026785993377</v>
      </c>
      <c r="DM22" s="93">
        <v>2.1644676265073697E-2</v>
      </c>
      <c r="DN22" s="93">
        <v>5.7278790741871642E-3</v>
      </c>
      <c r="DO22" s="93">
        <v>4.64477479365746E-3</v>
      </c>
      <c r="DP22" s="93">
        <f t="shared" si="43"/>
        <v>1.0372653867844625E-2</v>
      </c>
    </row>
    <row r="23" spans="1:120" x14ac:dyDescent="0.3">
      <c r="A23" s="90" t="str">
        <f>name!B19</f>
        <v>Professional services</v>
      </c>
      <c r="B23" s="39">
        <f t="shared" si="1"/>
        <v>2.6743157766083714</v>
      </c>
      <c r="C23" s="11">
        <v>38.965266386568921</v>
      </c>
      <c r="D23" s="93">
        <v>11.458986137276469</v>
      </c>
      <c r="E23" s="93">
        <v>11.768350327197798</v>
      </c>
      <c r="F23" s="93">
        <f t="shared" si="2"/>
        <v>23.227336464474266</v>
      </c>
      <c r="G23" s="93"/>
      <c r="H23" s="39">
        <f t="shared" si="3"/>
        <v>2.5161455631662166</v>
      </c>
      <c r="I23" s="93">
        <v>10.746753519096059</v>
      </c>
      <c r="J23" s="93">
        <v>0.60470899426028668</v>
      </c>
      <c r="K23" s="93">
        <v>3.0316842468873038</v>
      </c>
      <c r="L23" s="93">
        <f t="shared" si="4"/>
        <v>3.6363932411475903</v>
      </c>
      <c r="N23" s="39">
        <f t="shared" si="5"/>
        <v>2.6382849635641303</v>
      </c>
      <c r="O23" s="93">
        <v>19.377813500619759</v>
      </c>
      <c r="P23" s="93">
        <v>6.3961252707032488</v>
      </c>
      <c r="Q23" s="93">
        <v>5.7641179254827515</v>
      </c>
      <c r="R23" s="93">
        <f t="shared" si="6"/>
        <v>12.160243196186</v>
      </c>
      <c r="S23" s="106"/>
      <c r="T23" s="39">
        <f t="shared" si="7"/>
        <v>2.9409728215002984</v>
      </c>
      <c r="U23" s="93">
        <v>8.8406993668531033</v>
      </c>
      <c r="V23" s="93">
        <v>4.4581518723129312</v>
      </c>
      <c r="W23" s="93">
        <v>2.972548154827741</v>
      </c>
      <c r="X23" s="93">
        <f t="shared" si="8"/>
        <v>7.4307000271406718</v>
      </c>
      <c r="Y23" s="90" t="str">
        <f t="shared" si="0"/>
        <v>Professional services</v>
      </c>
      <c r="Z23" s="39">
        <f t="shared" si="9"/>
        <v>3.0111146972381153</v>
      </c>
      <c r="AA23" s="11">
        <v>12.983727410431358</v>
      </c>
      <c r="AB23" s="93">
        <v>7.3161535468635082</v>
      </c>
      <c r="AC23" s="93">
        <v>4.4841548751658866</v>
      </c>
      <c r="AD23" s="93">
        <f t="shared" si="10"/>
        <v>11.800308422029396</v>
      </c>
      <c r="AE23" s="93"/>
      <c r="AF23" s="39">
        <f t="shared" si="11"/>
        <v>2.8731628500449968</v>
      </c>
      <c r="AG23" s="93">
        <v>1.9378479390650463</v>
      </c>
      <c r="AH23" s="93">
        <v>1.549926671508655</v>
      </c>
      <c r="AI23" s="93">
        <v>0.63456461426776711</v>
      </c>
      <c r="AJ23" s="93">
        <f t="shared" si="12"/>
        <v>2.184491285776422</v>
      </c>
      <c r="AL23" s="39">
        <f t="shared" si="13"/>
        <v>3.0369546647093459</v>
      </c>
      <c r="AM23" s="93">
        <v>4.9791010176174728</v>
      </c>
      <c r="AN23" s="93">
        <v>2.6541784276946645</v>
      </c>
      <c r="AO23" s="93">
        <v>1.7364411510950009</v>
      </c>
      <c r="AP23" s="93">
        <f t="shared" si="14"/>
        <v>4.3906195787896651</v>
      </c>
      <c r="AQ23" s="106"/>
      <c r="AR23" s="39">
        <f t="shared" si="15"/>
        <v>3.0336611731275553</v>
      </c>
      <c r="AS23" s="93">
        <v>6.0667784537488378</v>
      </c>
      <c r="AT23" s="93">
        <v>3.1120484476601886</v>
      </c>
      <c r="AU23" s="93">
        <v>2.113149109803119</v>
      </c>
      <c r="AV23" s="93">
        <f t="shared" si="16"/>
        <v>5.2251975574633072</v>
      </c>
      <c r="AW23" s="90" t="str">
        <f t="shared" si="17"/>
        <v>Professional services</v>
      </c>
      <c r="AX23" s="39">
        <f t="shared" si="18"/>
        <v>2.6662390167296435</v>
      </c>
      <c r="AY23" s="11">
        <v>4.377709221482184</v>
      </c>
      <c r="AZ23" s="93">
        <v>0.80308463988107726</v>
      </c>
      <c r="BA23" s="93">
        <v>1.3176803910698349</v>
      </c>
      <c r="BB23" s="93">
        <f t="shared" si="19"/>
        <v>2.1207650309509121</v>
      </c>
      <c r="BC23" s="93"/>
      <c r="BD23" s="39">
        <f t="shared" si="20"/>
        <v>2.5700639379084178</v>
      </c>
      <c r="BE23" s="93">
        <v>0.73699369082515398</v>
      </c>
      <c r="BF23" s="93">
        <v>8.1502387714943961E-2</v>
      </c>
      <c r="BG23" s="93">
        <v>0.21288912804948243</v>
      </c>
      <c r="BH23" s="93">
        <f t="shared" si="21"/>
        <v>0.2943915157644264</v>
      </c>
      <c r="BJ23" s="39">
        <f t="shared" si="22"/>
        <v>2.6279165568233287</v>
      </c>
      <c r="BK23" s="93">
        <v>2.307013712695364</v>
      </c>
      <c r="BL23" s="93">
        <v>0.55219489458428639</v>
      </c>
      <c r="BM23" s="93">
        <v>0.6832211463125315</v>
      </c>
      <c r="BN23" s="93">
        <f t="shared" si="23"/>
        <v>1.2354160408968178</v>
      </c>
      <c r="BO23" s="106"/>
      <c r="BP23" s="39">
        <f t="shared" si="24"/>
        <v>2.784722232207959</v>
      </c>
      <c r="BQ23" s="93">
        <v>1.3337018179616666</v>
      </c>
      <c r="BR23" s="93">
        <v>0.16938735758184675</v>
      </c>
      <c r="BS23" s="93">
        <v>0.42157011670782107</v>
      </c>
      <c r="BT23" s="93">
        <f t="shared" si="25"/>
        <v>0.59095747428966783</v>
      </c>
      <c r="BU23" s="90" t="str">
        <f t="shared" si="26"/>
        <v>Professional services</v>
      </c>
      <c r="BV23" s="39">
        <f t="shared" si="27"/>
        <v>2.4703617034511627</v>
      </c>
      <c r="BW23" s="11">
        <v>20.365934087380882</v>
      </c>
      <c r="BX23" s="93">
        <v>2.1048678580900813</v>
      </c>
      <c r="BY23" s="93">
        <v>5.6288985612392128</v>
      </c>
      <c r="BZ23" s="93">
        <f t="shared" si="28"/>
        <v>7.7337664193292941</v>
      </c>
      <c r="CA23" s="93"/>
      <c r="CB23" s="39">
        <f t="shared" si="29"/>
        <v>2.4286762007679874</v>
      </c>
      <c r="CC23" s="93">
        <v>7.4477312798356223</v>
      </c>
      <c r="CD23" s="93">
        <v>-0.68225133953011141</v>
      </c>
      <c r="CE23" s="93">
        <v>2.0198621022347334</v>
      </c>
      <c r="CF23" s="93">
        <f t="shared" si="30"/>
        <v>1.3376107627046219</v>
      </c>
      <c r="CH23" s="39">
        <f t="shared" si="31"/>
        <v>2.4720591117074919</v>
      </c>
      <c r="CI23" s="93">
        <v>11.586627461599615</v>
      </c>
      <c r="CJ23" s="93">
        <v>1.943280535192967</v>
      </c>
      <c r="CK23" s="93">
        <v>3.2048540580010663</v>
      </c>
      <c r="CL23" s="93">
        <f t="shared" si="32"/>
        <v>5.1481345931940332</v>
      </c>
      <c r="CM23" s="106"/>
      <c r="CN23" s="39">
        <f t="shared" si="33"/>
        <v>2.6862600536722958</v>
      </c>
      <c r="CO23" s="93">
        <v>1.3315753459456456</v>
      </c>
      <c r="CP23" s="93">
        <v>0.84383866242722605</v>
      </c>
      <c r="CQ23" s="93">
        <v>0.40418240100341252</v>
      </c>
      <c r="CR23" s="93">
        <f t="shared" si="34"/>
        <v>1.2480210634306386</v>
      </c>
      <c r="CS23" s="90" t="str">
        <f t="shared" si="35"/>
        <v>Professional services</v>
      </c>
      <c r="CT23" s="39">
        <f t="shared" si="36"/>
        <v>2.4409911721383182</v>
      </c>
      <c r="CU23" s="11">
        <v>1.2378956672744925</v>
      </c>
      <c r="CV23" s="93">
        <v>1.2348800924418006</v>
      </c>
      <c r="CW23" s="93">
        <v>0.33761649972286273</v>
      </c>
      <c r="CX23" s="93">
        <f t="shared" si="37"/>
        <v>1.5724965921646634</v>
      </c>
      <c r="CY23" s="93"/>
      <c r="CZ23" s="39">
        <f t="shared" si="38"/>
        <v>2.365082760893733</v>
      </c>
      <c r="DA23" s="93">
        <v>0.62418060937023667</v>
      </c>
      <c r="DB23" s="93">
        <v>-0.34446872543320101</v>
      </c>
      <c r="DC23" s="93">
        <v>0.16436840233532063</v>
      </c>
      <c r="DD23" s="93">
        <f t="shared" si="39"/>
        <v>-0.18010032309788038</v>
      </c>
      <c r="DF23" s="39">
        <f t="shared" si="40"/>
        <v>2.4704563056764162</v>
      </c>
      <c r="DG23" s="93">
        <v>0.50507130870730466</v>
      </c>
      <c r="DH23" s="93">
        <v>1.2464714132313313</v>
      </c>
      <c r="DI23" s="93">
        <v>0.13960157007415316</v>
      </c>
      <c r="DJ23" s="93">
        <f t="shared" si="41"/>
        <v>1.3860729833054843</v>
      </c>
      <c r="DK23" s="106"/>
      <c r="DL23" s="39">
        <f t="shared" si="42"/>
        <v>2.7346741769566751</v>
      </c>
      <c r="DM23" s="93">
        <v>0.10864374919695106</v>
      </c>
      <c r="DN23" s="93">
        <v>0.33287740464367022</v>
      </c>
      <c r="DO23" s="93">
        <v>3.3646527313388873E-2</v>
      </c>
      <c r="DP23" s="93">
        <f t="shared" si="43"/>
        <v>0.36652393195705907</v>
      </c>
    </row>
    <row r="24" spans="1:120" x14ac:dyDescent="0.3">
      <c r="A24" s="90" t="str">
        <f>name!B20</f>
        <v>Support services</v>
      </c>
      <c r="B24" s="39">
        <f t="shared" si="1"/>
        <v>2.784566936730104</v>
      </c>
      <c r="C24" s="11">
        <v>18.720999999999954</v>
      </c>
      <c r="D24" s="93">
        <v>-3.057999999999971</v>
      </c>
      <c r="E24" s="93">
        <v>5.9171529721011353</v>
      </c>
      <c r="F24" s="93">
        <f t="shared" si="2"/>
        <v>2.8591529721011644</v>
      </c>
      <c r="G24" s="93"/>
      <c r="H24" s="39">
        <f t="shared" si="3"/>
        <v>2.6966927781337358</v>
      </c>
      <c r="I24" s="93">
        <v>1.8191700717908714</v>
      </c>
      <c r="J24" s="93">
        <v>6.4644504245958259E-2</v>
      </c>
      <c r="K24" s="93">
        <v>0.55459579978511464</v>
      </c>
      <c r="L24" s="93">
        <f t="shared" si="4"/>
        <v>0.61924030403107289</v>
      </c>
      <c r="N24" s="39">
        <f t="shared" si="5"/>
        <v>2.6438542588397285</v>
      </c>
      <c r="O24" s="93">
        <v>7.3253420053436527</v>
      </c>
      <c r="P24" s="93">
        <v>-2.4007825753231029</v>
      </c>
      <c r="Q24" s="93">
        <v>2.1841522273672624</v>
      </c>
      <c r="R24" s="93">
        <f t="shared" si="6"/>
        <v>-0.21663034795584046</v>
      </c>
      <c r="S24" s="106"/>
      <c r="T24" s="39">
        <f t="shared" si="7"/>
        <v>2.9075064601009837</v>
      </c>
      <c r="U24" s="93">
        <v>9.5764879228654252</v>
      </c>
      <c r="V24" s="93">
        <v>-0.72186192892282663</v>
      </c>
      <c r="W24" s="93">
        <v>3.1784049449487575</v>
      </c>
      <c r="X24" s="93">
        <f t="shared" si="8"/>
        <v>2.4565430160259307</v>
      </c>
      <c r="Y24" s="90" t="str">
        <f t="shared" si="0"/>
        <v>Support services</v>
      </c>
      <c r="Z24" s="39">
        <f t="shared" si="9"/>
        <v>2.8851376822058405</v>
      </c>
      <c r="AA24" s="11">
        <v>10.861879630593116</v>
      </c>
      <c r="AB24" s="93">
        <v>-1.2989925832272919</v>
      </c>
      <c r="AC24" s="93">
        <v>3.5736065944117534</v>
      </c>
      <c r="AD24" s="93">
        <f t="shared" si="10"/>
        <v>2.2746140111844615</v>
      </c>
      <c r="AE24" s="93"/>
      <c r="AF24" s="39">
        <f t="shared" si="11"/>
        <v>2.8363041726111371</v>
      </c>
      <c r="AG24" s="93">
        <v>0.7258796023165236</v>
      </c>
      <c r="AH24" s="93">
        <v>0.20317213116103808</v>
      </c>
      <c r="AI24" s="93">
        <v>0.23424852857398526</v>
      </c>
      <c r="AJ24" s="93">
        <f t="shared" si="12"/>
        <v>0.43742065973502331</v>
      </c>
      <c r="AL24" s="39">
        <f t="shared" si="13"/>
        <v>2.7318188913306285</v>
      </c>
      <c r="AM24" s="93">
        <v>2.8702469151779071</v>
      </c>
      <c r="AN24" s="93">
        <v>-1.1155443530893807</v>
      </c>
      <c r="AO24" s="93">
        <v>0.88785915434127438</v>
      </c>
      <c r="AP24" s="93">
        <f t="shared" si="14"/>
        <v>-0.22768519874810633</v>
      </c>
      <c r="AQ24" s="106"/>
      <c r="AR24" s="39">
        <f t="shared" si="15"/>
        <v>2.949983891234198</v>
      </c>
      <c r="AS24" s="93">
        <v>7.2657531130986843</v>
      </c>
      <c r="AT24" s="93">
        <v>-0.38662036129894933</v>
      </c>
      <c r="AU24" s="93">
        <v>2.4514989114964938</v>
      </c>
      <c r="AV24" s="93">
        <f t="shared" si="16"/>
        <v>2.0648785501975446</v>
      </c>
      <c r="AW24" s="90" t="str">
        <f t="shared" si="17"/>
        <v>Support services</v>
      </c>
      <c r="AX24" s="39">
        <f t="shared" si="18"/>
        <v>2.6712682976482327</v>
      </c>
      <c r="AY24" s="11">
        <v>4.6040936604188767</v>
      </c>
      <c r="AZ24" s="93">
        <v>-0.6550004254648718</v>
      </c>
      <c r="BA24" s="93">
        <v>1.3887564948003865</v>
      </c>
      <c r="BB24" s="93">
        <f t="shared" si="19"/>
        <v>0.73375606933551474</v>
      </c>
      <c r="BC24" s="93"/>
      <c r="BD24" s="39">
        <f t="shared" si="20"/>
        <v>2.5535596624300272</v>
      </c>
      <c r="BE24" s="93">
        <v>0.37306162643140794</v>
      </c>
      <c r="BF24" s="93">
        <v>1.7209773799081063E-3</v>
      </c>
      <c r="BG24" s="93">
        <v>0.10699003130978606</v>
      </c>
      <c r="BH24" s="93">
        <f t="shared" si="21"/>
        <v>0.10871100868969416</v>
      </c>
      <c r="BJ24" s="39">
        <f t="shared" si="22"/>
        <v>2.6033003151062717</v>
      </c>
      <c r="BK24" s="93">
        <v>2.3193614224732308</v>
      </c>
      <c r="BL24" s="93">
        <v>-0.3840544144532913</v>
      </c>
      <c r="BM24" s="93">
        <v>0.67967495424035318</v>
      </c>
      <c r="BN24" s="93">
        <f t="shared" si="23"/>
        <v>0.29562053978706188</v>
      </c>
      <c r="BO24" s="106"/>
      <c r="BP24" s="39">
        <f t="shared" si="24"/>
        <v>2.7758580766296781</v>
      </c>
      <c r="BQ24" s="93">
        <v>1.9116706115142377</v>
      </c>
      <c r="BR24" s="93">
        <v>-0.27266698839148851</v>
      </c>
      <c r="BS24" s="93">
        <v>0.60209150925024713</v>
      </c>
      <c r="BT24" s="93">
        <f t="shared" si="25"/>
        <v>0.32942452085875862</v>
      </c>
      <c r="BU24" s="90" t="str">
        <f t="shared" si="26"/>
        <v>Support services</v>
      </c>
      <c r="BV24" s="39">
        <f t="shared" si="27"/>
        <v>2.5698479897015236</v>
      </c>
      <c r="BW24" s="11">
        <v>2.8786585131525628</v>
      </c>
      <c r="BX24" s="93">
        <v>-1.0291019906527104</v>
      </c>
      <c r="BY24" s="93">
        <v>0.83145560121971473</v>
      </c>
      <c r="BZ24" s="93">
        <f t="shared" si="28"/>
        <v>-0.19764638943299562</v>
      </c>
      <c r="CA24" s="93"/>
      <c r="CB24" s="39">
        <f t="shared" si="29"/>
        <v>2.5646022644531197</v>
      </c>
      <c r="CC24" s="93">
        <v>0.59910933522220677</v>
      </c>
      <c r="CD24" s="93">
        <v>-0.12449271037143683</v>
      </c>
      <c r="CE24" s="93">
        <v>0.17264857384459545</v>
      </c>
      <c r="CF24" s="93">
        <f t="shared" si="30"/>
        <v>4.8155863473158617E-2</v>
      </c>
      <c r="CH24" s="39">
        <f t="shared" si="31"/>
        <v>2.551043008047893</v>
      </c>
      <c r="CI24" s="93">
        <v>1.9475203609870202</v>
      </c>
      <c r="CJ24" s="93">
        <v>-0.84938831927492153</v>
      </c>
      <c r="CK24" s="93">
        <v>0.55791281892363431</v>
      </c>
      <c r="CL24" s="93">
        <f t="shared" si="32"/>
        <v>-0.29147550035128722</v>
      </c>
      <c r="CM24" s="106"/>
      <c r="CN24" s="39">
        <f t="shared" si="33"/>
        <v>2.6888973859664045</v>
      </c>
      <c r="CO24" s="93">
        <v>0.33202881694333602</v>
      </c>
      <c r="CP24" s="93">
        <v>-5.5220961006352098E-2</v>
      </c>
      <c r="CQ24" s="93">
        <v>0.10089420845148493</v>
      </c>
      <c r="CR24" s="93">
        <f t="shared" si="34"/>
        <v>4.5673247445132834E-2</v>
      </c>
      <c r="CS24" s="90" t="str">
        <f t="shared" si="35"/>
        <v>Support services</v>
      </c>
      <c r="CT24" s="39">
        <f t="shared" si="36"/>
        <v>2.8750024457964374</v>
      </c>
      <c r="CU24" s="11">
        <v>0.37636819583539599</v>
      </c>
      <c r="CV24" s="93">
        <v>-7.4905000655096768E-2</v>
      </c>
      <c r="CW24" s="93">
        <v>0.12333428166928057</v>
      </c>
      <c r="CX24" s="93">
        <f t="shared" si="37"/>
        <v>4.8429281014183798E-2</v>
      </c>
      <c r="CY24" s="93"/>
      <c r="CZ24" s="39">
        <f t="shared" si="38"/>
        <v>2.9399620026260287</v>
      </c>
      <c r="DA24" s="93">
        <v>0.12111950782073322</v>
      </c>
      <c r="DB24" s="93">
        <v>-1.5755893923551086E-2</v>
      </c>
      <c r="DC24" s="93">
        <v>4.0708666056747972E-2</v>
      </c>
      <c r="DD24" s="93">
        <f t="shared" si="39"/>
        <v>2.4952772133196886E-2</v>
      </c>
      <c r="DF24" s="39">
        <f t="shared" si="40"/>
        <v>2.7520154670829022</v>
      </c>
      <c r="DG24" s="93">
        <v>0.18821330670549469</v>
      </c>
      <c r="DH24" s="93">
        <v>-5.1795488505508955E-2</v>
      </c>
      <c r="DI24" s="93">
        <v>5.8705299862000827E-2</v>
      </c>
      <c r="DJ24" s="93">
        <f t="shared" si="41"/>
        <v>6.9098113564918726E-3</v>
      </c>
      <c r="DK24" s="106"/>
      <c r="DL24" s="39">
        <f t="shared" si="42"/>
        <v>3.0985559180604971</v>
      </c>
      <c r="DM24" s="93">
        <v>6.7035381309168043E-2</v>
      </c>
      <c r="DN24" s="93">
        <v>-7.3536182260367233E-3</v>
      </c>
      <c r="DO24" s="93">
        <v>2.3920315750531766E-2</v>
      </c>
      <c r="DP24" s="93">
        <f t="shared" si="43"/>
        <v>1.6566697524495043E-2</v>
      </c>
    </row>
    <row r="25" spans="1:120" x14ac:dyDescent="0.3">
      <c r="A25" s="90" t="str">
        <f>name!B21</f>
        <v>Public admin. and defence</v>
      </c>
      <c r="B25" s="39">
        <f t="shared" si="1"/>
        <v>2.7845669367305037</v>
      </c>
      <c r="C25" s="11">
        <v>1.4539999999999971</v>
      </c>
      <c r="D25" s="93">
        <v>0.21500000000000094</v>
      </c>
      <c r="E25" s="93">
        <v>0.45956628499740532</v>
      </c>
      <c r="F25" s="93">
        <f t="shared" si="2"/>
        <v>0.67456628499740623</v>
      </c>
      <c r="G25" s="93"/>
      <c r="H25" s="39">
        <f t="shared" si="3"/>
        <v>2.6966927781336025</v>
      </c>
      <c r="I25" s="93">
        <v>0.14128910231210851</v>
      </c>
      <c r="J25" s="93">
        <v>5.9444251924195786E-2</v>
      </c>
      <c r="K25" s="93">
        <v>4.3073676239935618E-2</v>
      </c>
      <c r="L25" s="93">
        <f t="shared" si="4"/>
        <v>0.10251792816413141</v>
      </c>
      <c r="N25" s="39">
        <f t="shared" si="5"/>
        <v>2.6438542588399061</v>
      </c>
      <c r="O25" s="93">
        <v>0.56893580875873839</v>
      </c>
      <c r="P25" s="93">
        <v>-4.4190249880834614E-2</v>
      </c>
      <c r="Q25" s="93">
        <v>0.1696360952189005</v>
      </c>
      <c r="R25" s="93">
        <f t="shared" si="6"/>
        <v>0.12544584533806588</v>
      </c>
      <c r="S25" s="106"/>
      <c r="T25" s="39">
        <f t="shared" si="7"/>
        <v>2.9075064601016942</v>
      </c>
      <c r="U25" s="93">
        <v>0.74377508892915023</v>
      </c>
      <c r="V25" s="93">
        <v>0.1997459979566398</v>
      </c>
      <c r="W25" s="93">
        <v>0.24685651353856922</v>
      </c>
      <c r="X25" s="93">
        <f t="shared" si="8"/>
        <v>0.44660251149520902</v>
      </c>
      <c r="Y25" s="90" t="str">
        <f t="shared" si="0"/>
        <v>Public admin. and defence</v>
      </c>
      <c r="Z25" s="39">
        <f t="shared" si="9"/>
        <v>2.8851376822067953</v>
      </c>
      <c r="AA25" s="11">
        <v>0.84360733843630331</v>
      </c>
      <c r="AB25" s="93">
        <v>0.17538381792273638</v>
      </c>
      <c r="AC25" s="93">
        <v>0.27755055757017433</v>
      </c>
      <c r="AD25" s="93">
        <f t="shared" si="10"/>
        <v>0.45293437549291071</v>
      </c>
      <c r="AE25" s="93"/>
      <c r="AF25" s="39">
        <f t="shared" si="11"/>
        <v>2.8363041726107818</v>
      </c>
      <c r="AG25" s="93">
        <v>5.6376739584906382E-2</v>
      </c>
      <c r="AH25" s="93">
        <v>4.262009008845738E-2</v>
      </c>
      <c r="AI25" s="93">
        <v>1.819333158200891E-2</v>
      </c>
      <c r="AJ25" s="93">
        <f t="shared" si="12"/>
        <v>6.0813421670466286E-2</v>
      </c>
      <c r="AL25" s="39">
        <f t="shared" si="13"/>
        <v>2.7318188913314945</v>
      </c>
      <c r="AM25" s="93">
        <v>0.2229228681509284</v>
      </c>
      <c r="AN25" s="93">
        <v>-3.594728389981916E-2</v>
      </c>
      <c r="AO25" s="93">
        <v>6.895717164724055E-2</v>
      </c>
      <c r="AP25" s="93">
        <f t="shared" si="14"/>
        <v>3.300988774742139E-2</v>
      </c>
      <c r="AQ25" s="106"/>
      <c r="AR25" s="39">
        <f t="shared" si="15"/>
        <v>2.9499838912350862</v>
      </c>
      <c r="AS25" s="93">
        <v>0.56430773070046847</v>
      </c>
      <c r="AT25" s="93">
        <v>0.16871101173409817</v>
      </c>
      <c r="AU25" s="93">
        <v>0.1904000543409248</v>
      </c>
      <c r="AV25" s="93">
        <f t="shared" si="16"/>
        <v>0.35911106607502297</v>
      </c>
      <c r="AW25" s="90" t="str">
        <f t="shared" si="17"/>
        <v>Public admin. and defence</v>
      </c>
      <c r="AX25" s="39">
        <f t="shared" si="18"/>
        <v>2.6712682976481661</v>
      </c>
      <c r="AY25" s="11">
        <v>0.35758518146798612</v>
      </c>
      <c r="AZ25" s="93">
        <v>6.3217768742032318E-2</v>
      </c>
      <c r="BA25" s="93">
        <v>0.10786026085378261</v>
      </c>
      <c r="BB25" s="93">
        <f t="shared" si="19"/>
        <v>0.17107802959581492</v>
      </c>
      <c r="BC25" s="93"/>
      <c r="BD25" s="39">
        <f t="shared" si="20"/>
        <v>2.5535596624299828</v>
      </c>
      <c r="BE25" s="93">
        <v>2.8974499483491539E-2</v>
      </c>
      <c r="BF25" s="93">
        <v>1.0961155611916022E-2</v>
      </c>
      <c r="BG25" s="93">
        <v>8.3095724333202906E-3</v>
      </c>
      <c r="BH25" s="93">
        <f t="shared" si="21"/>
        <v>1.9270728045236312E-2</v>
      </c>
      <c r="BJ25" s="39">
        <f t="shared" si="22"/>
        <v>2.6033003151064049</v>
      </c>
      <c r="BK25" s="93">
        <v>0.18013735955834875</v>
      </c>
      <c r="BL25" s="93">
        <v>2.6082866221255052E-2</v>
      </c>
      <c r="BM25" s="93">
        <v>5.2788172825711882E-2</v>
      </c>
      <c r="BN25" s="93">
        <f t="shared" si="23"/>
        <v>7.8871039046966934E-2</v>
      </c>
      <c r="BO25" s="106"/>
      <c r="BP25" s="39">
        <f t="shared" si="24"/>
        <v>2.7758580766297891</v>
      </c>
      <c r="BQ25" s="93">
        <v>0.1484733224261458</v>
      </c>
      <c r="BR25" s="93">
        <v>2.6173746908861251E-2</v>
      </c>
      <c r="BS25" s="93">
        <v>4.6762515594750455E-2</v>
      </c>
      <c r="BT25" s="93">
        <f t="shared" si="25"/>
        <v>7.293626250361171E-2</v>
      </c>
      <c r="BU25" s="90" t="str">
        <f t="shared" si="26"/>
        <v>Public admin. and defence</v>
      </c>
      <c r="BV25" s="39">
        <f t="shared" si="27"/>
        <v>2.5698479897014792</v>
      </c>
      <c r="BW25" s="11">
        <v>0.22357616997639901</v>
      </c>
      <c r="BX25" s="93">
        <v>-2.6493246139725597E-2</v>
      </c>
      <c r="BY25" s="93">
        <v>6.4576488658442441E-2</v>
      </c>
      <c r="BZ25" s="93">
        <f t="shared" si="28"/>
        <v>3.8083242518716844E-2</v>
      </c>
      <c r="CA25" s="93"/>
      <c r="CB25" s="39">
        <f t="shared" si="29"/>
        <v>2.5646022644530531</v>
      </c>
      <c r="CC25" s="93">
        <v>4.6530899706966611E-2</v>
      </c>
      <c r="CD25" s="93">
        <v>4.0427545658888358E-3</v>
      </c>
      <c r="CE25" s="93">
        <v>1.3409060753716812E-2</v>
      </c>
      <c r="CF25" s="93">
        <f t="shared" si="30"/>
        <v>1.7451815319605646E-2</v>
      </c>
      <c r="CH25" s="39">
        <f t="shared" si="31"/>
        <v>2.5510430080478264</v>
      </c>
      <c r="CI25" s="93">
        <v>0.1512576574370198</v>
      </c>
      <c r="CJ25" s="93">
        <v>-3.4244162090111052E-2</v>
      </c>
      <c r="CK25" s="93">
        <v>4.3331298473152743E-2</v>
      </c>
      <c r="CL25" s="93">
        <f t="shared" si="32"/>
        <v>9.0871363830416912E-3</v>
      </c>
      <c r="CM25" s="106"/>
      <c r="CN25" s="39">
        <f t="shared" si="33"/>
        <v>2.6888973859667598</v>
      </c>
      <c r="CO25" s="93">
        <v>2.5787612832412595E-2</v>
      </c>
      <c r="CP25" s="93">
        <v>3.7081613844966248E-3</v>
      </c>
      <c r="CQ25" s="93">
        <v>7.836129431572891E-3</v>
      </c>
      <c r="CR25" s="93">
        <f t="shared" si="34"/>
        <v>1.1544290816069516E-2</v>
      </c>
      <c r="CS25" s="90" t="str">
        <f t="shared" si="35"/>
        <v>Public admin. and defence</v>
      </c>
      <c r="CT25" s="39">
        <f t="shared" si="36"/>
        <v>2.8750024457971257</v>
      </c>
      <c r="CU25" s="11">
        <v>2.9231310119308785E-2</v>
      </c>
      <c r="CV25" s="93">
        <v>2.8916594749578122E-3</v>
      </c>
      <c r="CW25" s="93">
        <v>9.578977915005971E-3</v>
      </c>
      <c r="CX25" s="93">
        <f t="shared" si="37"/>
        <v>1.2470637389963783E-2</v>
      </c>
      <c r="CY25" s="93"/>
      <c r="CZ25" s="39">
        <f t="shared" si="38"/>
        <v>2.9399620026260287</v>
      </c>
      <c r="DA25" s="93">
        <v>9.4069635367439817E-3</v>
      </c>
      <c r="DB25" s="93">
        <v>1.8202516579335466E-3</v>
      </c>
      <c r="DC25" s="93">
        <v>3.1617114708896062E-3</v>
      </c>
      <c r="DD25" s="93">
        <f t="shared" si="39"/>
        <v>4.9819631288231525E-3</v>
      </c>
      <c r="DF25" s="39">
        <f t="shared" si="40"/>
        <v>2.7520154670842789</v>
      </c>
      <c r="DG25" s="93">
        <v>1.4617923612441512E-2</v>
      </c>
      <c r="DH25" s="93">
        <v>-8.1670112159448079E-5</v>
      </c>
      <c r="DI25" s="93">
        <v>4.5594522727953144E-3</v>
      </c>
      <c r="DJ25" s="93">
        <f t="shared" si="41"/>
        <v>4.4777821606358662E-3</v>
      </c>
      <c r="DK25" s="106"/>
      <c r="DL25" s="39">
        <f t="shared" si="42"/>
        <v>3.0985559180585875</v>
      </c>
      <c r="DM25" s="93">
        <v>5.2064229701232886E-3</v>
      </c>
      <c r="DN25" s="93">
        <v>1.1530779291837137E-3</v>
      </c>
      <c r="DO25" s="93">
        <v>1.8578141713210513E-3</v>
      </c>
      <c r="DP25" s="93">
        <f t="shared" si="43"/>
        <v>3.0108921005047649E-3</v>
      </c>
    </row>
    <row r="26" spans="1:120" x14ac:dyDescent="0.3">
      <c r="A26" s="90" t="str">
        <f>name!B22</f>
        <v>Education</v>
      </c>
      <c r="B26" s="39">
        <f t="shared" si="1"/>
        <v>2.7941946420653396</v>
      </c>
      <c r="C26" s="11">
        <v>27.519999999999932</v>
      </c>
      <c r="D26" s="93">
        <v>5.4400000000000306</v>
      </c>
      <c r="E26" s="93">
        <v>8.7321954612186001</v>
      </c>
      <c r="F26" s="93">
        <f t="shared" si="2"/>
        <v>14.172195461218632</v>
      </c>
      <c r="G26" s="93"/>
      <c r="H26" s="39">
        <f t="shared" si="3"/>
        <v>2.7029013910380817</v>
      </c>
      <c r="I26" s="93">
        <v>4.1940595367848887</v>
      </c>
      <c r="J26" s="93">
        <v>0.48827775119455635</v>
      </c>
      <c r="K26" s="93">
        <v>1.2819187642232284</v>
      </c>
      <c r="L26" s="93">
        <f t="shared" si="4"/>
        <v>1.7701965154177848</v>
      </c>
      <c r="N26" s="39">
        <f t="shared" si="5"/>
        <v>2.6641720196424856</v>
      </c>
      <c r="O26" s="93">
        <v>13.503625138933433</v>
      </c>
      <c r="P26" s="93">
        <v>0.84821921937760381</v>
      </c>
      <c r="Q26" s="93">
        <v>4.0610233469695309</v>
      </c>
      <c r="R26" s="93">
        <f t="shared" si="6"/>
        <v>4.9092425663471344</v>
      </c>
      <c r="S26" s="106"/>
      <c r="T26" s="39">
        <f t="shared" si="7"/>
        <v>3.008734431358584</v>
      </c>
      <c r="U26" s="93">
        <v>9.822315324281611</v>
      </c>
      <c r="V26" s="93">
        <v>4.1035030294278707</v>
      </c>
      <c r="W26" s="93">
        <v>3.3892533500258399</v>
      </c>
      <c r="X26" s="93">
        <f t="shared" si="8"/>
        <v>7.4927563794537111</v>
      </c>
      <c r="Y26" s="90" t="str">
        <f t="shared" si="0"/>
        <v>Education</v>
      </c>
      <c r="Z26" s="39">
        <f t="shared" si="9"/>
        <v>2.9117760664267189</v>
      </c>
      <c r="AA26" s="11">
        <v>12.395569669075353</v>
      </c>
      <c r="AB26" s="93">
        <v>5.0801062397678249</v>
      </c>
      <c r="AC26" s="93">
        <v>4.1209000120001473</v>
      </c>
      <c r="AD26" s="93">
        <f t="shared" si="10"/>
        <v>9.2010062517679714</v>
      </c>
      <c r="AE26" s="93"/>
      <c r="AF26" s="39">
        <f t="shared" si="11"/>
        <v>2.5937636321570645</v>
      </c>
      <c r="AG26" s="93">
        <v>0.81258397047140074</v>
      </c>
      <c r="AH26" s="93">
        <v>0.63966731573933144</v>
      </c>
      <c r="AI26" s="93">
        <v>0.23714666545277929</v>
      </c>
      <c r="AJ26" s="93">
        <f t="shared" si="12"/>
        <v>0.87681398119211074</v>
      </c>
      <c r="AL26" s="39">
        <f t="shared" si="13"/>
        <v>2.6939990649745837</v>
      </c>
      <c r="AM26" s="93">
        <v>4.0463139611233547</v>
      </c>
      <c r="AN26" s="93">
        <v>0.77655527040304539</v>
      </c>
      <c r="AO26" s="93">
        <v>1.2321825690004835</v>
      </c>
      <c r="AP26" s="93">
        <f t="shared" si="14"/>
        <v>2.0087378394035289</v>
      </c>
      <c r="AQ26" s="106"/>
      <c r="AR26" s="39">
        <f t="shared" si="15"/>
        <v>3.0604341026309489</v>
      </c>
      <c r="AS26" s="93">
        <v>7.5366717374805985</v>
      </c>
      <c r="AT26" s="93">
        <v>3.6638836536254487</v>
      </c>
      <c r="AU26" s="93">
        <v>2.6515707775468846</v>
      </c>
      <c r="AV26" s="93">
        <f t="shared" si="16"/>
        <v>6.3154544311723333</v>
      </c>
      <c r="AW26" s="90" t="str">
        <f t="shared" si="17"/>
        <v>Education</v>
      </c>
      <c r="AX26" s="39">
        <f t="shared" si="18"/>
        <v>2.6688337014858732</v>
      </c>
      <c r="AY26" s="11">
        <v>4.0745695684818486</v>
      </c>
      <c r="AZ26" s="93">
        <v>-0.65076923691411093</v>
      </c>
      <c r="BA26" s="93">
        <v>1.227775929825986</v>
      </c>
      <c r="BB26" s="93">
        <f t="shared" si="19"/>
        <v>0.57700669291187512</v>
      </c>
      <c r="BC26" s="93"/>
      <c r="BD26" s="39">
        <f t="shared" si="20"/>
        <v>2.5882032430875057</v>
      </c>
      <c r="BE26" s="93">
        <v>0.26691123725535981</v>
      </c>
      <c r="BF26" s="93">
        <v>-0.19380533282346687</v>
      </c>
      <c r="BG26" s="93">
        <v>7.7709251306618335E-2</v>
      </c>
      <c r="BH26" s="93">
        <f t="shared" si="21"/>
        <v>-0.11609608151684854</v>
      </c>
      <c r="BJ26" s="39">
        <f t="shared" si="22"/>
        <v>2.6104632834062169</v>
      </c>
      <c r="BK26" s="93">
        <v>2.4396136341847261</v>
      </c>
      <c r="BL26" s="93">
        <v>-0.51114595901616455</v>
      </c>
      <c r="BM26" s="93">
        <v>0.7171170827738349</v>
      </c>
      <c r="BN26" s="93">
        <f t="shared" si="23"/>
        <v>0.20597112375767035</v>
      </c>
      <c r="BO26" s="106"/>
      <c r="BP26" s="39">
        <f t="shared" si="24"/>
        <v>2.7877134101330858</v>
      </c>
      <c r="BQ26" s="93">
        <v>1.3680446970417623</v>
      </c>
      <c r="BR26" s="93">
        <v>5.4182054925520501E-2</v>
      </c>
      <c r="BS26" s="93">
        <v>0.43294959574553271</v>
      </c>
      <c r="BT26" s="93">
        <f t="shared" si="25"/>
        <v>0.48713165067105324</v>
      </c>
      <c r="BU26" s="90" t="str">
        <f t="shared" si="26"/>
        <v>Education</v>
      </c>
      <c r="BV26" s="39">
        <f t="shared" si="27"/>
        <v>2.5719174756100083</v>
      </c>
      <c r="BW26" s="11">
        <v>6.5723358416890418</v>
      </c>
      <c r="BX26" s="93">
        <v>-0.15751225654061013</v>
      </c>
      <c r="BY26" s="93">
        <v>1.9000258963583028</v>
      </c>
      <c r="BZ26" s="93">
        <f t="shared" si="28"/>
        <v>1.7425136398176926</v>
      </c>
      <c r="CA26" s="93"/>
      <c r="CB26" s="39">
        <f t="shared" si="29"/>
        <v>2.5863835000538682</v>
      </c>
      <c r="CC26" s="93">
        <v>1.6317851440554909</v>
      </c>
      <c r="CD26" s="93">
        <v>-0.43279551678413736</v>
      </c>
      <c r="CE26" s="93">
        <v>0.47470859686707906</v>
      </c>
      <c r="CF26" s="93">
        <f t="shared" si="30"/>
        <v>4.1913080082941701E-2</v>
      </c>
      <c r="CH26" s="39">
        <f t="shared" si="31"/>
        <v>2.542118825536166</v>
      </c>
      <c r="CI26" s="93">
        <v>4.3810752206434573</v>
      </c>
      <c r="CJ26" s="93">
        <v>2.5793305536142896E-2</v>
      </c>
      <c r="CK26" s="93">
        <v>1.250158852183944</v>
      </c>
      <c r="CL26" s="93">
        <f t="shared" si="32"/>
        <v>1.275952157720087</v>
      </c>
      <c r="CM26" s="106"/>
      <c r="CN26" s="39">
        <f t="shared" si="33"/>
        <v>2.7611586651374198</v>
      </c>
      <c r="CO26" s="93">
        <v>0.55947547699009315</v>
      </c>
      <c r="CP26" s="93">
        <v>0.24948995470738433</v>
      </c>
      <c r="CQ26" s="93">
        <v>0.17515844730727984</v>
      </c>
      <c r="CR26" s="93">
        <f t="shared" si="34"/>
        <v>0.42464840201466414</v>
      </c>
      <c r="CS26" s="90" t="str">
        <f t="shared" si="35"/>
        <v>Education</v>
      </c>
      <c r="CT26" s="39">
        <f t="shared" si="36"/>
        <v>2.9030497321535176</v>
      </c>
      <c r="CU26" s="11">
        <v>4.4775249207536891</v>
      </c>
      <c r="CV26" s="93">
        <v>1.168175253686927</v>
      </c>
      <c r="CW26" s="93">
        <v>1.4834936230341631</v>
      </c>
      <c r="CX26" s="93">
        <f t="shared" si="37"/>
        <v>2.6516688767210903</v>
      </c>
      <c r="CY26" s="93"/>
      <c r="CZ26" s="39">
        <f t="shared" si="38"/>
        <v>2.9086772572280095</v>
      </c>
      <c r="DA26" s="93">
        <v>1.4827791850026377</v>
      </c>
      <c r="DB26" s="93">
        <v>0.47521128506282911</v>
      </c>
      <c r="DC26" s="93">
        <v>0.4923542505967517</v>
      </c>
      <c r="DD26" s="93">
        <f t="shared" si="39"/>
        <v>0.96756553565958081</v>
      </c>
      <c r="DF26" s="39">
        <f t="shared" si="40"/>
        <v>2.8678141931647749</v>
      </c>
      <c r="DG26" s="93">
        <v>2.6366223229818955</v>
      </c>
      <c r="DH26" s="93">
        <v>0.55701660245458018</v>
      </c>
      <c r="DI26" s="93">
        <v>0.86156484301126879</v>
      </c>
      <c r="DJ26" s="93">
        <f t="shared" si="41"/>
        <v>1.418581445465849</v>
      </c>
      <c r="DK26" s="106"/>
      <c r="DL26" s="39">
        <f t="shared" si="42"/>
        <v>3.1363650139041965</v>
      </c>
      <c r="DM26" s="93">
        <v>0.35812341276915594</v>
      </c>
      <c r="DN26" s="93">
        <v>0.13594736616951764</v>
      </c>
      <c r="DO26" s="93">
        <v>0.12957452942614286</v>
      </c>
      <c r="DP26" s="93">
        <f t="shared" si="43"/>
        <v>0.26552189559566053</v>
      </c>
    </row>
    <row r="27" spans="1:120" x14ac:dyDescent="0.3">
      <c r="A27" s="90" t="str">
        <f>name!B23</f>
        <v>Health and social work</v>
      </c>
      <c r="B27" s="39">
        <f t="shared" si="1"/>
        <v>2.5950961839178666</v>
      </c>
      <c r="C27" s="11">
        <v>275.60199999999969</v>
      </c>
      <c r="D27" s="93">
        <v>-1.6730000000003524</v>
      </c>
      <c r="E27" s="93">
        <v>80.47866678861341</v>
      </c>
      <c r="F27" s="93">
        <f t="shared" si="2"/>
        <v>78.805666788613053</v>
      </c>
      <c r="G27" s="93"/>
      <c r="H27" s="39">
        <f t="shared" si="3"/>
        <v>2.4695756737683316</v>
      </c>
      <c r="I27" s="93">
        <v>81.511675089783012</v>
      </c>
      <c r="J27" s="93">
        <v>-19.797720579312639</v>
      </c>
      <c r="K27" s="93">
        <v>22.520863469623457</v>
      </c>
      <c r="L27" s="93">
        <f t="shared" si="4"/>
        <v>2.7231428903108181</v>
      </c>
      <c r="N27" s="39">
        <f t="shared" si="5"/>
        <v>2.5552337751491017</v>
      </c>
      <c r="O27" s="93">
        <v>150.28991841904894</v>
      </c>
      <c r="P27" s="93">
        <v>8.7057795230669974</v>
      </c>
      <c r="Q27" s="93">
        <v>43.133091870505552</v>
      </c>
      <c r="R27" s="93">
        <f t="shared" si="6"/>
        <v>51.838871393572546</v>
      </c>
      <c r="S27" s="106"/>
      <c r="T27" s="39">
        <f t="shared" si="7"/>
        <v>2.9581093378684198</v>
      </c>
      <c r="U27" s="93">
        <v>43.800406491167763</v>
      </c>
      <c r="V27" s="93">
        <v>9.418941056245286</v>
      </c>
      <c r="W27" s="93">
        <v>14.824711448484381</v>
      </c>
      <c r="X27" s="93">
        <f t="shared" si="8"/>
        <v>24.243652504729667</v>
      </c>
      <c r="Y27" s="90" t="str">
        <f t="shared" si="0"/>
        <v>Health and social work</v>
      </c>
      <c r="Z27" s="39">
        <f t="shared" si="9"/>
        <v>3.1186773432537507</v>
      </c>
      <c r="AA27" s="11">
        <v>64.293915126009693</v>
      </c>
      <c r="AB27" s="93">
        <v>17.722549991381833</v>
      </c>
      <c r="AC27" s="93">
        <v>23.112480454512202</v>
      </c>
      <c r="AD27" s="93">
        <f t="shared" si="10"/>
        <v>40.835030445894034</v>
      </c>
      <c r="AE27" s="93"/>
      <c r="AF27" s="39">
        <f t="shared" si="11"/>
        <v>3.0783063740929206</v>
      </c>
      <c r="AG27" s="93">
        <v>9.9195473983854772</v>
      </c>
      <c r="AH27" s="93">
        <v>1.4973424642898829</v>
      </c>
      <c r="AI27" s="93">
        <v>3.5131923201060649</v>
      </c>
      <c r="AJ27" s="93">
        <f t="shared" si="12"/>
        <v>5.010534784395948</v>
      </c>
      <c r="AL27" s="39">
        <f t="shared" si="13"/>
        <v>3.1315372831501653</v>
      </c>
      <c r="AM27" s="93">
        <v>25.525698517196087</v>
      </c>
      <c r="AN27" s="93">
        <v>10.147584573449684</v>
      </c>
      <c r="AO27" s="93">
        <v>9.2193201705336563</v>
      </c>
      <c r="AP27" s="93">
        <f t="shared" si="14"/>
        <v>19.366904743983341</v>
      </c>
      <c r="AQ27" s="106"/>
      <c r="AR27" s="39">
        <f t="shared" si="15"/>
        <v>3.121149070624285</v>
      </c>
      <c r="AS27" s="93">
        <v>28.848669210428131</v>
      </c>
      <c r="AT27" s="93">
        <v>6.0776229536422628</v>
      </c>
      <c r="AU27" s="93">
        <v>10.379967963872479</v>
      </c>
      <c r="AV27" s="93">
        <f t="shared" si="16"/>
        <v>16.457590917514743</v>
      </c>
      <c r="AW27" s="90" t="str">
        <f t="shared" si="17"/>
        <v>Health and social work</v>
      </c>
      <c r="AX27" s="39">
        <f t="shared" si="18"/>
        <v>2.6759668403012915</v>
      </c>
      <c r="AY27" s="11">
        <v>16.521747365931887</v>
      </c>
      <c r="AZ27" s="93">
        <v>-0.90533997621618789</v>
      </c>
      <c r="BA27" s="93">
        <v>4.9933832774217386</v>
      </c>
      <c r="BB27" s="93">
        <f t="shared" si="19"/>
        <v>4.088043301205551</v>
      </c>
      <c r="BC27" s="93"/>
      <c r="BD27" s="39">
        <f t="shared" si="20"/>
        <v>2.5787165892088737</v>
      </c>
      <c r="BE27" s="93">
        <v>2.1756544236878499</v>
      </c>
      <c r="BF27" s="93">
        <v>-0.17162265131127769</v>
      </c>
      <c r="BG27" s="93">
        <v>0.63082928217437373</v>
      </c>
      <c r="BH27" s="93">
        <f t="shared" si="21"/>
        <v>0.45920663086309604</v>
      </c>
      <c r="BJ27" s="39">
        <f t="shared" si="22"/>
        <v>2.6312555462310261</v>
      </c>
      <c r="BK27" s="93">
        <v>8.5774116106248197</v>
      </c>
      <c r="BL27" s="93">
        <v>-1.3110321038488253</v>
      </c>
      <c r="BM27" s="93">
        <v>2.5438144946044696</v>
      </c>
      <c r="BN27" s="93">
        <f t="shared" si="23"/>
        <v>1.2327823907556443</v>
      </c>
      <c r="BO27" s="106"/>
      <c r="BP27" s="39">
        <f t="shared" si="24"/>
        <v>2.7783786676990552</v>
      </c>
      <c r="BQ27" s="93">
        <v>5.7686813316192156</v>
      </c>
      <c r="BR27" s="93">
        <v>0.57731477894391503</v>
      </c>
      <c r="BS27" s="93">
        <v>1.8187395006428966</v>
      </c>
      <c r="BT27" s="93">
        <f t="shared" si="25"/>
        <v>2.3960542795868118</v>
      </c>
      <c r="BU27" s="90" t="str">
        <f t="shared" si="26"/>
        <v>Health and social work</v>
      </c>
      <c r="BV27" s="39">
        <f t="shared" si="27"/>
        <v>2.4185311777933372</v>
      </c>
      <c r="BW27" s="11">
        <v>185.64731569674743</v>
      </c>
      <c r="BX27" s="93">
        <v>-20.042065793695048</v>
      </c>
      <c r="BY27" s="93">
        <v>50.114846449207548</v>
      </c>
      <c r="BZ27" s="93">
        <f t="shared" si="28"/>
        <v>30.072780655512499</v>
      </c>
      <c r="CA27" s="93"/>
      <c r="CB27" s="39">
        <f t="shared" si="29"/>
        <v>2.3870453919311752</v>
      </c>
      <c r="CC27" s="93">
        <v>65.07948365464064</v>
      </c>
      <c r="CD27" s="93">
        <v>-20.422001047817911</v>
      </c>
      <c r="CE27" s="93">
        <v>17.314254108560334</v>
      </c>
      <c r="CF27" s="93">
        <f t="shared" si="30"/>
        <v>-3.1077469392575772</v>
      </c>
      <c r="CH27" s="39">
        <f t="shared" si="31"/>
        <v>2.4258065702267961</v>
      </c>
      <c r="CI27" s="93">
        <v>111.69445579336453</v>
      </c>
      <c r="CJ27" s="93">
        <v>-1.7999732059359685</v>
      </c>
      <c r="CK27" s="93">
        <v>30.252323208272195</v>
      </c>
      <c r="CL27" s="93">
        <f t="shared" si="32"/>
        <v>28.452350002336225</v>
      </c>
      <c r="CM27" s="106"/>
      <c r="CN27" s="39">
        <f t="shared" si="33"/>
        <v>2.5566857264312626</v>
      </c>
      <c r="CO27" s="93">
        <v>8.8733762487422378</v>
      </c>
      <c r="CP27" s="93">
        <v>2.1799084600588299</v>
      </c>
      <c r="CQ27" s="93">
        <v>2.5482691323750268</v>
      </c>
      <c r="CR27" s="93">
        <f t="shared" si="34"/>
        <v>4.7281775924338572</v>
      </c>
      <c r="CS27" s="90" t="str">
        <f t="shared" si="35"/>
        <v>Health and social work</v>
      </c>
      <c r="CT27" s="39">
        <f t="shared" si="36"/>
        <v>2.2325047123997521</v>
      </c>
      <c r="CU27" s="11">
        <v>9.139021811310748</v>
      </c>
      <c r="CV27" s="93">
        <v>1.5518557785290545</v>
      </c>
      <c r="CW27" s="93">
        <v>2.2579566074718973</v>
      </c>
      <c r="CX27" s="93">
        <f t="shared" si="37"/>
        <v>3.8098123860009521</v>
      </c>
      <c r="CY27" s="93"/>
      <c r="CZ27" s="39">
        <f t="shared" si="38"/>
        <v>2.2155897378276945</v>
      </c>
      <c r="DA27" s="93">
        <v>4.3369896130690391</v>
      </c>
      <c r="DB27" s="93">
        <v>-0.70143934447333278</v>
      </c>
      <c r="DC27" s="93">
        <v>1.0625877587826875</v>
      </c>
      <c r="DD27" s="93">
        <f t="shared" si="39"/>
        <v>0.36114841430935474</v>
      </c>
      <c r="DF27" s="39">
        <f t="shared" si="40"/>
        <v>2.2465820104417666</v>
      </c>
      <c r="DG27" s="93">
        <v>4.4923524978635268</v>
      </c>
      <c r="DH27" s="93">
        <v>1.6692002594021076</v>
      </c>
      <c r="DI27" s="93">
        <v>1.1176339970952323</v>
      </c>
      <c r="DJ27" s="93">
        <f t="shared" si="41"/>
        <v>2.7868342564973396</v>
      </c>
      <c r="DK27" s="106"/>
      <c r="DL27" s="39">
        <f t="shared" si="42"/>
        <v>2.2648343335861076</v>
      </c>
      <c r="DM27" s="93">
        <v>0.30967970037818215</v>
      </c>
      <c r="DN27" s="93">
        <v>0.58409486360027985</v>
      </c>
      <c r="DO27" s="93">
        <v>7.7734851593977319E-2</v>
      </c>
      <c r="DP27" s="93">
        <f t="shared" si="43"/>
        <v>0.66182971519425715</v>
      </c>
    </row>
    <row r="28" spans="1:120" x14ac:dyDescent="0.3">
      <c r="A28" s="90" t="str">
        <f>name!B24</f>
        <v>Arts and entertainment</v>
      </c>
      <c r="B28" s="39">
        <f t="shared" si="1"/>
        <v>2.6894345447805668</v>
      </c>
      <c r="C28" s="11">
        <v>583.99199872311158</v>
      </c>
      <c r="D28" s="93">
        <v>22.974992839555728</v>
      </c>
      <c r="E28" s="93">
        <v>177.49855672479771</v>
      </c>
      <c r="F28" s="93">
        <f t="shared" si="2"/>
        <v>200.47354956435345</v>
      </c>
      <c r="G28" s="93"/>
      <c r="H28" s="39">
        <f t="shared" si="3"/>
        <v>2.5241340757117703</v>
      </c>
      <c r="I28" s="93">
        <v>112.61142831364945</v>
      </c>
      <c r="J28" s="93">
        <v>-19.950461975362895</v>
      </c>
      <c r="K28" s="93">
        <v>31.880492992433172</v>
      </c>
      <c r="L28" s="93">
        <f t="shared" si="4"/>
        <v>11.930031017070277</v>
      </c>
      <c r="N28" s="39">
        <f t="shared" si="5"/>
        <v>2.5965813402446081</v>
      </c>
      <c r="O28" s="93">
        <v>322.09728549501801</v>
      </c>
      <c r="P28" s="93">
        <v>22.98072850143604</v>
      </c>
      <c r="Q28" s="93">
        <v>94.116022316887069</v>
      </c>
      <c r="R28" s="93">
        <f t="shared" si="6"/>
        <v>117.0967508183231</v>
      </c>
      <c r="S28" s="106"/>
      <c r="T28" s="39">
        <f t="shared" si="7"/>
        <v>3.0082665428908584</v>
      </c>
      <c r="U28" s="93">
        <v>149.28328491444404</v>
      </c>
      <c r="V28" s="93">
        <v>19.94472631348258</v>
      </c>
      <c r="W28" s="93">
        <v>51.5020414154775</v>
      </c>
      <c r="X28" s="93">
        <f t="shared" si="8"/>
        <v>71.446767728960083</v>
      </c>
      <c r="Y28" s="90" t="str">
        <f t="shared" si="0"/>
        <v>Arts and entertainment</v>
      </c>
      <c r="Z28" s="39">
        <f t="shared" si="9"/>
        <v>3.2588943559272998</v>
      </c>
      <c r="AA28" s="11">
        <v>161.66137310285907</v>
      </c>
      <c r="AB28" s="93">
        <v>1.3326548882882316</v>
      </c>
      <c r="AC28" s="93">
        <v>61.121073231490051</v>
      </c>
      <c r="AD28" s="93">
        <f t="shared" si="10"/>
        <v>62.453728119778283</v>
      </c>
      <c r="AE28" s="93"/>
      <c r="AF28" s="39">
        <f t="shared" si="11"/>
        <v>3.2768095159466437</v>
      </c>
      <c r="AG28" s="93">
        <v>13.303128548274954</v>
      </c>
      <c r="AH28" s="93">
        <v>-1.9338514027227476</v>
      </c>
      <c r="AI28" s="93">
        <v>5.0614902397360089</v>
      </c>
      <c r="AJ28" s="93">
        <f t="shared" si="12"/>
        <v>3.1276388370132615</v>
      </c>
      <c r="AL28" s="39">
        <f t="shared" si="13"/>
        <v>3.2222682296140004</v>
      </c>
      <c r="AM28" s="93">
        <v>61.167755464113846</v>
      </c>
      <c r="AN28" s="93">
        <v>-4.1267654969595462</v>
      </c>
      <c r="AO28" s="93">
        <v>22.827842408062001</v>
      </c>
      <c r="AP28" s="93">
        <f t="shared" si="14"/>
        <v>18.701076911102454</v>
      </c>
      <c r="AQ28" s="106"/>
      <c r="AR28" s="39">
        <f t="shared" si="15"/>
        <v>3.2817897264484586</v>
      </c>
      <c r="AS28" s="93">
        <v>87.190489090470265</v>
      </c>
      <c r="AT28" s="93">
        <v>7.3932717879705248</v>
      </c>
      <c r="AU28" s="93">
        <v>33.231740583692044</v>
      </c>
      <c r="AV28" s="93">
        <f t="shared" si="16"/>
        <v>40.625012371662571</v>
      </c>
      <c r="AW28" s="90" t="str">
        <f t="shared" si="17"/>
        <v>Arts and entertainment</v>
      </c>
      <c r="AX28" s="39">
        <f t="shared" si="18"/>
        <v>2.4581982255185597</v>
      </c>
      <c r="AY28" s="11">
        <v>274.12096692663408</v>
      </c>
      <c r="AZ28" s="93">
        <v>19.909375624336565</v>
      </c>
      <c r="BA28" s="93">
        <v>75.348629505054475</v>
      </c>
      <c r="BB28" s="93">
        <f t="shared" si="19"/>
        <v>95.258005129391037</v>
      </c>
      <c r="BC28" s="93"/>
      <c r="BD28" s="39">
        <f t="shared" si="20"/>
        <v>2.3965751535212299</v>
      </c>
      <c r="BE28" s="93">
        <v>52.434042602494252</v>
      </c>
      <c r="BF28" s="93">
        <v>-10.478560037555006</v>
      </c>
      <c r="BG28" s="93">
        <v>14.01177557326081</v>
      </c>
      <c r="BH28" s="93">
        <f t="shared" si="21"/>
        <v>3.5332155357058035</v>
      </c>
      <c r="BJ28" s="39">
        <f t="shared" si="22"/>
        <v>2.4303568044377055</v>
      </c>
      <c r="BK28" s="93">
        <v>169.82026195600062</v>
      </c>
      <c r="BL28" s="93">
        <v>22.045877770222617</v>
      </c>
      <c r="BM28" s="93">
        <v>46.091529986569107</v>
      </c>
      <c r="BN28" s="93">
        <f t="shared" si="23"/>
        <v>68.137407756791731</v>
      </c>
      <c r="BO28" s="106"/>
      <c r="BP28" s="39">
        <f t="shared" si="24"/>
        <v>2.6103523894776215</v>
      </c>
      <c r="BQ28" s="93">
        <v>51.866662368139195</v>
      </c>
      <c r="BR28" s="93">
        <v>8.3420578916689543</v>
      </c>
      <c r="BS28" s="93">
        <v>15.245323945224559</v>
      </c>
      <c r="BT28" s="93">
        <f t="shared" si="25"/>
        <v>23.587381836893513</v>
      </c>
      <c r="BU28" s="90" t="str">
        <f t="shared" si="26"/>
        <v>Arts and entertainment</v>
      </c>
      <c r="BV28" s="39">
        <f t="shared" si="27"/>
        <v>2.5546872517099084</v>
      </c>
      <c r="BW28" s="11">
        <v>107.2598983032326</v>
      </c>
      <c r="BX28" s="93">
        <v>-4.6347125764802879</v>
      </c>
      <c r="BY28" s="93">
        <v>30.776152696349076</v>
      </c>
      <c r="BZ28" s="93">
        <f t="shared" si="28"/>
        <v>26.14144011986879</v>
      </c>
      <c r="CA28" s="93"/>
      <c r="CB28" s="39">
        <f t="shared" si="29"/>
        <v>2.4937117735407188</v>
      </c>
      <c r="CC28" s="93">
        <v>30.58519142119675</v>
      </c>
      <c r="CD28" s="93">
        <v>-4.9664708583329622</v>
      </c>
      <c r="CE28" s="93">
        <v>8.5424270700257328</v>
      </c>
      <c r="CF28" s="93">
        <f t="shared" si="30"/>
        <v>3.5759562116927706</v>
      </c>
      <c r="CH28" s="39">
        <f t="shared" si="31"/>
        <v>2.5657893609980054</v>
      </c>
      <c r="CI28" s="93">
        <v>68.527793794387208</v>
      </c>
      <c r="CJ28" s="93">
        <v>-2.6111534978573356</v>
      </c>
      <c r="CK28" s="93">
        <v>19.75824225652681</v>
      </c>
      <c r="CL28" s="93">
        <f t="shared" si="32"/>
        <v>17.147088758669476</v>
      </c>
      <c r="CM28" s="106"/>
      <c r="CN28" s="39">
        <f t="shared" si="33"/>
        <v>2.6887677275016175</v>
      </c>
      <c r="CO28" s="93">
        <v>8.1469130876486417</v>
      </c>
      <c r="CP28" s="93">
        <v>2.9429117797100104</v>
      </c>
      <c r="CQ28" s="93">
        <v>2.4754833697965344</v>
      </c>
      <c r="CR28" s="93">
        <f t="shared" si="34"/>
        <v>5.4183951495065443</v>
      </c>
      <c r="CS28" s="90" t="str">
        <f t="shared" si="35"/>
        <v>Arts and entertainment</v>
      </c>
      <c r="CT28" s="39">
        <f t="shared" si="36"/>
        <v>2.2595665716523383</v>
      </c>
      <c r="CU28" s="11">
        <v>40.949760390385762</v>
      </c>
      <c r="CV28" s="93">
        <v>6.3676749034112179</v>
      </c>
      <c r="CW28" s="93">
        <v>10.252701291904129</v>
      </c>
      <c r="CX28" s="93">
        <f t="shared" si="37"/>
        <v>16.620376195315348</v>
      </c>
      <c r="CY28" s="93"/>
      <c r="CZ28" s="39">
        <f t="shared" si="38"/>
        <v>2.3528014807572273</v>
      </c>
      <c r="DA28" s="93">
        <v>16.289065741683487</v>
      </c>
      <c r="DB28" s="93">
        <v>-2.5715796767521768</v>
      </c>
      <c r="DC28" s="93">
        <v>4.264800109410622</v>
      </c>
      <c r="DD28" s="93">
        <f t="shared" si="39"/>
        <v>1.6932204326584452</v>
      </c>
      <c r="DF28" s="39">
        <f t="shared" si="40"/>
        <v>2.1812946342883111</v>
      </c>
      <c r="DG28" s="93">
        <v>22.581474280516332</v>
      </c>
      <c r="DH28" s="93">
        <v>7.6727697260303049</v>
      </c>
      <c r="DI28" s="93">
        <v>5.438407665729156</v>
      </c>
      <c r="DJ28" s="93">
        <f t="shared" si="41"/>
        <v>13.111177391759462</v>
      </c>
      <c r="DK28" s="106"/>
      <c r="DL28" s="39">
        <f t="shared" si="42"/>
        <v>2.372728806531299</v>
      </c>
      <c r="DM28" s="93">
        <v>2.0792203681859425</v>
      </c>
      <c r="DN28" s="93">
        <v>1.2664848541330906</v>
      </c>
      <c r="DO28" s="93">
        <v>0.54949351676435321</v>
      </c>
      <c r="DP28" s="93">
        <f t="shared" si="43"/>
        <v>1.8159783708974437</v>
      </c>
    </row>
    <row r="29" spans="1:120" x14ac:dyDescent="0.3">
      <c r="A29" s="90" t="str">
        <f>name!B25</f>
        <v>Other services</v>
      </c>
      <c r="B29" s="39">
        <f t="shared" si="1"/>
        <v>2.7838069142694266</v>
      </c>
      <c r="C29" s="11">
        <v>108.16125170522943</v>
      </c>
      <c r="D29" s="93">
        <v>8.1774730396989117</v>
      </c>
      <c r="E29" s="93">
        <v>34.176039083117807</v>
      </c>
      <c r="F29" s="93">
        <f t="shared" si="2"/>
        <v>42.353512122816717</v>
      </c>
      <c r="G29" s="93"/>
      <c r="H29" s="39">
        <f t="shared" si="3"/>
        <v>2.6834266880037649</v>
      </c>
      <c r="I29" s="93">
        <v>32.326959698464499</v>
      </c>
      <c r="J29" s="93">
        <v>-6.1167969801013387</v>
      </c>
      <c r="K29" s="93">
        <v>9.8008028887364027</v>
      </c>
      <c r="L29" s="93">
        <f t="shared" si="4"/>
        <v>3.6840059086350641</v>
      </c>
      <c r="N29" s="39">
        <f t="shared" si="5"/>
        <v>2.7760834170330817</v>
      </c>
      <c r="O29" s="93">
        <v>57.398886868822629</v>
      </c>
      <c r="P29" s="93">
        <v>7.6406602287910461</v>
      </c>
      <c r="Q29" s="93">
        <v>18.079760081959783</v>
      </c>
      <c r="R29" s="93">
        <f t="shared" si="6"/>
        <v>25.720420310750828</v>
      </c>
      <c r="S29" s="106"/>
      <c r="T29" s="39">
        <f t="shared" si="7"/>
        <v>2.981376043016648</v>
      </c>
      <c r="U29" s="93">
        <v>18.435405137942325</v>
      </c>
      <c r="V29" s="93">
        <v>6.6536097910092034</v>
      </c>
      <c r="W29" s="93">
        <v>6.2954761124216301</v>
      </c>
      <c r="X29" s="93">
        <f t="shared" si="8"/>
        <v>12.949085903430834</v>
      </c>
      <c r="Y29" s="90" t="str">
        <f t="shared" si="0"/>
        <v>Other services</v>
      </c>
      <c r="Z29" s="39">
        <f t="shared" si="9"/>
        <v>3.3946693153821483</v>
      </c>
      <c r="AA29" s="11">
        <v>18.73707769261355</v>
      </c>
      <c r="AB29" s="93">
        <v>3.9696712217231607</v>
      </c>
      <c r="AC29" s="93">
        <v>7.4256694078981278</v>
      </c>
      <c r="AD29" s="93">
        <f t="shared" si="10"/>
        <v>11.395340629621288</v>
      </c>
      <c r="AE29" s="93"/>
      <c r="AF29" s="39">
        <f t="shared" si="11"/>
        <v>3.6016336348735356</v>
      </c>
      <c r="AG29" s="93">
        <v>2.3415431027696858</v>
      </c>
      <c r="AH29" s="93">
        <v>0.24514900613498003</v>
      </c>
      <c r="AI29" s="93">
        <v>0.99401256180311637</v>
      </c>
      <c r="AJ29" s="93">
        <f t="shared" si="12"/>
        <v>1.2391615679380963</v>
      </c>
      <c r="AL29" s="39">
        <f t="shared" si="13"/>
        <v>3.5014338519299582</v>
      </c>
      <c r="AM29" s="93">
        <v>8.1965364975682427</v>
      </c>
      <c r="AN29" s="93">
        <v>1.8824630168780692</v>
      </c>
      <c r="AO29" s="93">
        <v>3.3670895885720658</v>
      </c>
      <c r="AP29" s="93">
        <f t="shared" si="14"/>
        <v>5.2495526054501349</v>
      </c>
      <c r="AQ29" s="106"/>
      <c r="AR29" s="39">
        <f t="shared" si="15"/>
        <v>3.2265730612790922</v>
      </c>
      <c r="AS29" s="93">
        <v>8.1989980922756232</v>
      </c>
      <c r="AT29" s="93">
        <v>1.8420591987101114</v>
      </c>
      <c r="AU29" s="93">
        <v>3.0645672575229463</v>
      </c>
      <c r="AV29" s="93">
        <f t="shared" si="16"/>
        <v>4.9066264562330577</v>
      </c>
      <c r="AW29" s="90" t="str">
        <f t="shared" si="17"/>
        <v>Other services</v>
      </c>
      <c r="AX29" s="39">
        <f t="shared" si="18"/>
        <v>2.6483238273837584</v>
      </c>
      <c r="AY29" s="11">
        <v>19.032176889267678</v>
      </c>
      <c r="AZ29" s="93">
        <v>1.0956652491419592</v>
      </c>
      <c r="BA29" s="93">
        <v>5.685467852803928</v>
      </c>
      <c r="BB29" s="93">
        <f t="shared" si="19"/>
        <v>6.7811331019458869</v>
      </c>
      <c r="BC29" s="93"/>
      <c r="BD29" s="39">
        <f t="shared" si="20"/>
        <v>2.5698311582555533</v>
      </c>
      <c r="BE29" s="93">
        <v>3.4123327833961343</v>
      </c>
      <c r="BF29" s="93">
        <v>-0.44962292514756064</v>
      </c>
      <c r="BG29" s="93">
        <v>0.9855918713750732</v>
      </c>
      <c r="BH29" s="93">
        <f t="shared" si="21"/>
        <v>0.53596894622751257</v>
      </c>
      <c r="BJ29" s="39">
        <f t="shared" si="22"/>
        <v>2.6113519594407553</v>
      </c>
      <c r="BK29" s="93">
        <v>10.441678809376455</v>
      </c>
      <c r="BL29" s="93">
        <v>0.67813132541245391</v>
      </c>
      <c r="BM29" s="93">
        <v>3.0704702368243959</v>
      </c>
      <c r="BN29" s="93">
        <f t="shared" si="23"/>
        <v>3.7486015622368498</v>
      </c>
      <c r="BO29" s="106"/>
      <c r="BP29" s="39">
        <f t="shared" si="24"/>
        <v>2.7736136732418482</v>
      </c>
      <c r="BQ29" s="93">
        <v>5.1781652964950879</v>
      </c>
      <c r="BR29" s="93">
        <v>0.86715684887706568</v>
      </c>
      <c r="BS29" s="93">
        <v>1.6294057446044583</v>
      </c>
      <c r="BT29" s="93">
        <f t="shared" si="25"/>
        <v>2.4965625934815239</v>
      </c>
      <c r="BU29" s="90" t="str">
        <f t="shared" si="26"/>
        <v>Other services</v>
      </c>
      <c r="BV29" s="39">
        <f t="shared" si="27"/>
        <v>2.6772484709001398</v>
      </c>
      <c r="BW29" s="11">
        <v>66.201397878138252</v>
      </c>
      <c r="BX29" s="93">
        <v>1.2456325163985658</v>
      </c>
      <c r="BY29" s="93">
        <v>20.01887239295467</v>
      </c>
      <c r="BZ29" s="93">
        <f t="shared" si="28"/>
        <v>21.264504909353235</v>
      </c>
      <c r="CA29" s="93"/>
      <c r="CB29" s="39">
        <f t="shared" si="29"/>
        <v>2.6461497895164943</v>
      </c>
      <c r="CC29" s="93">
        <v>24.360601420401576</v>
      </c>
      <c r="CD29" s="93">
        <v>-5.6900213912272246</v>
      </c>
      <c r="CE29" s="93">
        <v>7.2705240080694988</v>
      </c>
      <c r="CF29" s="93">
        <f t="shared" si="30"/>
        <v>1.5805026168422742</v>
      </c>
      <c r="CH29" s="39">
        <f t="shared" si="31"/>
        <v>2.6783758996457463</v>
      </c>
      <c r="CI29" s="93">
        <v>37.050128855405674</v>
      </c>
      <c r="CJ29" s="93">
        <v>3.896536363658667</v>
      </c>
      <c r="CK29" s="93">
        <v>11.209016818125267</v>
      </c>
      <c r="CL29" s="93">
        <f t="shared" si="32"/>
        <v>15.105553181783934</v>
      </c>
      <c r="CM29" s="106"/>
      <c r="CN29" s="39">
        <f t="shared" si="33"/>
        <v>2.8254837692558654</v>
      </c>
      <c r="CO29" s="93">
        <v>4.7906676023310046</v>
      </c>
      <c r="CP29" s="93">
        <v>3.0391175439671234</v>
      </c>
      <c r="CQ29" s="93">
        <v>1.5393315667599037</v>
      </c>
      <c r="CR29" s="93">
        <f t="shared" si="34"/>
        <v>4.5784491107270266</v>
      </c>
      <c r="CS29" s="90" t="str">
        <f t="shared" si="35"/>
        <v>Other services</v>
      </c>
      <c r="CT29" s="39">
        <f t="shared" si="36"/>
        <v>2.2533546481934286</v>
      </c>
      <c r="CU29" s="11">
        <v>4.1905992452099587</v>
      </c>
      <c r="CV29" s="93">
        <v>1.8665040524352257</v>
      </c>
      <c r="CW29" s="93">
        <v>1.046029429461087</v>
      </c>
      <c r="CX29" s="93">
        <f t="shared" si="37"/>
        <v>2.9125334818963129</v>
      </c>
      <c r="CY29" s="93"/>
      <c r="CZ29" s="39">
        <f t="shared" si="38"/>
        <v>2.2474701591650437</v>
      </c>
      <c r="DA29" s="93">
        <v>2.2124823918971015</v>
      </c>
      <c r="DB29" s="93">
        <v>-0.22230166986153393</v>
      </c>
      <c r="DC29" s="93">
        <v>0.55067444748871397</v>
      </c>
      <c r="DD29" s="93">
        <f t="shared" si="39"/>
        <v>0.32837277762718003</v>
      </c>
      <c r="DF29" s="39">
        <f t="shared" si="40"/>
        <v>2.2830190168655617</v>
      </c>
      <c r="DG29" s="93">
        <v>1.7105427064722503</v>
      </c>
      <c r="DH29" s="93">
        <v>1.1835295228418568</v>
      </c>
      <c r="DI29" s="93">
        <v>0.43318343843805091</v>
      </c>
      <c r="DJ29" s="93">
        <f t="shared" si="41"/>
        <v>1.6167129612799076</v>
      </c>
      <c r="DK29" s="106"/>
      <c r="DL29" s="39">
        <f t="shared" si="42"/>
        <v>2.1112277164391235</v>
      </c>
      <c r="DM29" s="93">
        <v>0.26757414684060715</v>
      </c>
      <c r="DN29" s="93">
        <v>0.90527619945490279</v>
      </c>
      <c r="DO29" s="93">
        <v>6.2171543534321853E-2</v>
      </c>
      <c r="DP29" s="93">
        <f t="shared" si="43"/>
        <v>0.96744774298922465</v>
      </c>
    </row>
    <row r="30" spans="1:120" x14ac:dyDescent="0.3">
      <c r="A30" s="90">
        <f>name!B26</f>
        <v>0</v>
      </c>
      <c r="B30" s="39">
        <f t="shared" si="1"/>
        <v>2.81853341281606</v>
      </c>
      <c r="C30" s="11">
        <v>3.6239999999999957</v>
      </c>
      <c r="D30" s="93">
        <v>0.24699999999999425</v>
      </c>
      <c r="E30" s="93">
        <v>1.161223619177874</v>
      </c>
      <c r="F30" s="93">
        <f t="shared" si="2"/>
        <v>1.4082236191778683</v>
      </c>
      <c r="G30" s="93"/>
      <c r="H30" s="39">
        <f t="shared" si="3"/>
        <v>2.6181998345442992</v>
      </c>
      <c r="I30" s="93">
        <v>0.8854137576985297</v>
      </c>
      <c r="J30" s="93">
        <v>-0.37920842251297887</v>
      </c>
      <c r="K30" s="93">
        <v>0.26112881202833382</v>
      </c>
      <c r="L30" s="93">
        <f t="shared" si="4"/>
        <v>-0.11807961048464505</v>
      </c>
      <c r="N30" s="39">
        <f t="shared" si="5"/>
        <v>2.6529788153066836</v>
      </c>
      <c r="O30" s="93">
        <v>1.3832584282800451</v>
      </c>
      <c r="P30" s="93">
        <v>0.23337200314420425</v>
      </c>
      <c r="Q30" s="93">
        <v>0.41403459662136033</v>
      </c>
      <c r="R30" s="93">
        <f t="shared" si="6"/>
        <v>0.64740659976556458</v>
      </c>
      <c r="S30" s="106"/>
      <c r="T30" s="39">
        <f t="shared" si="7"/>
        <v>3.1122102767148885</v>
      </c>
      <c r="U30" s="93">
        <v>1.3553278140214204</v>
      </c>
      <c r="V30" s="93">
        <v>0.39283641936876895</v>
      </c>
      <c r="W30" s="93">
        <v>0.48606021052817994</v>
      </c>
      <c r="X30" s="93">
        <f t="shared" si="8"/>
        <v>0.87889662989694894</v>
      </c>
      <c r="Y30" s="90">
        <f t="shared" si="0"/>
        <v>0</v>
      </c>
      <c r="Z30" s="39">
        <f t="shared" si="9"/>
        <v>2.9443653428279148</v>
      </c>
      <c r="AA30" s="11">
        <v>1.8811280324430137</v>
      </c>
      <c r="AB30" s="93">
        <v>0.12648602226143923</v>
      </c>
      <c r="AC30" s="93">
        <v>0.63332866226922047</v>
      </c>
      <c r="AD30" s="93">
        <f t="shared" si="10"/>
        <v>0.7598146845306597</v>
      </c>
      <c r="AE30" s="93"/>
      <c r="AF30" s="39">
        <f t="shared" si="11"/>
        <v>2.5616056481945648</v>
      </c>
      <c r="AG30" s="93">
        <v>0.39195326978431944</v>
      </c>
      <c r="AH30" s="93">
        <v>-0.20952388317933862</v>
      </c>
      <c r="AI30" s="93">
        <v>0.11280379340146277</v>
      </c>
      <c r="AJ30" s="93">
        <f t="shared" si="12"/>
        <v>-9.6720089777875856E-2</v>
      </c>
      <c r="AL30" s="39">
        <f t="shared" si="13"/>
        <v>2.6346340495356335</v>
      </c>
      <c r="AM30" s="93">
        <v>0.4129117991411031</v>
      </c>
      <c r="AN30" s="93">
        <v>-1.2440580648808345E-2</v>
      </c>
      <c r="AO30" s="93">
        <v>0.1226340711227917</v>
      </c>
      <c r="AP30" s="93">
        <f t="shared" si="14"/>
        <v>0.11019349047398336</v>
      </c>
      <c r="AQ30" s="106"/>
      <c r="AR30" s="39">
        <f t="shared" si="15"/>
        <v>3.1958990333170068</v>
      </c>
      <c r="AS30" s="93">
        <v>1.0762629635175913</v>
      </c>
      <c r="AT30" s="93">
        <v>0.34845048608958623</v>
      </c>
      <c r="AU30" s="93">
        <v>0.39789079774496594</v>
      </c>
      <c r="AV30" s="93">
        <f t="shared" si="16"/>
        <v>0.74634128383455223</v>
      </c>
      <c r="AW30" s="90">
        <f t="shared" si="17"/>
        <v>0</v>
      </c>
      <c r="AX30" s="39">
        <f t="shared" si="18"/>
        <v>2.6556901882889949</v>
      </c>
      <c r="AY30" s="11">
        <v>0.79016052016002847</v>
      </c>
      <c r="AZ30" s="93">
        <v>-5.5512159780558507E-3</v>
      </c>
      <c r="BA30" s="93">
        <v>0.23678073042517134</v>
      </c>
      <c r="BB30" s="93">
        <f t="shared" si="19"/>
        <v>0.23122951444711548</v>
      </c>
      <c r="BC30" s="93"/>
      <c r="BD30" s="39">
        <f t="shared" si="20"/>
        <v>2.6320188411371737</v>
      </c>
      <c r="BE30" s="93">
        <v>0.10890628043772764</v>
      </c>
      <c r="BF30" s="93">
        <v>-3.6714040606319942E-2</v>
      </c>
      <c r="BG30" s="93">
        <v>3.2308984136424024E-2</v>
      </c>
      <c r="BH30" s="93">
        <f t="shared" si="21"/>
        <v>-4.4050564698959183E-3</v>
      </c>
      <c r="BJ30" s="39">
        <f t="shared" si="22"/>
        <v>2.632798184440821</v>
      </c>
      <c r="BK30" s="93">
        <v>0.54343409949213617</v>
      </c>
      <c r="BL30" s="93">
        <v>6.5977065103502874E-2</v>
      </c>
      <c r="BM30" s="93">
        <v>0.16127289650651028</v>
      </c>
      <c r="BN30" s="93">
        <f t="shared" si="23"/>
        <v>0.22724996161001315</v>
      </c>
      <c r="BO30" s="106"/>
      <c r="BP30" s="39">
        <f t="shared" si="24"/>
        <v>2.7640342004974006</v>
      </c>
      <c r="BQ30" s="93">
        <v>0.13782014023016467</v>
      </c>
      <c r="BR30" s="93">
        <v>-3.4814240475238789E-2</v>
      </c>
      <c r="BS30" s="93">
        <v>4.319884978223705E-2</v>
      </c>
      <c r="BT30" s="93">
        <f t="shared" si="25"/>
        <v>8.3846093069982613E-3</v>
      </c>
      <c r="BU30" s="90">
        <f t="shared" si="26"/>
        <v>0</v>
      </c>
      <c r="BV30" s="39">
        <f t="shared" si="27"/>
        <v>2.7443857826882523</v>
      </c>
      <c r="BW30" s="11">
        <v>0.71149816309577474</v>
      </c>
      <c r="BX30" s="93">
        <v>0.24504437900903087</v>
      </c>
      <c r="BY30" s="93">
        <v>0.22122934558787391</v>
      </c>
      <c r="BZ30" s="93">
        <f t="shared" si="28"/>
        <v>0.46627372459690475</v>
      </c>
      <c r="CA30" s="93"/>
      <c r="CB30" s="39">
        <f t="shared" si="29"/>
        <v>2.6198589066564582</v>
      </c>
      <c r="CC30" s="93">
        <v>0.18443335988879814</v>
      </c>
      <c r="CD30" s="93">
        <v>-4.0323210155314967E-2</v>
      </c>
      <c r="CE30" s="93">
        <v>5.4432240278174497E-2</v>
      </c>
      <c r="CF30" s="93">
        <f t="shared" si="30"/>
        <v>1.410903012285953E-2</v>
      </c>
      <c r="CH30" s="39">
        <f t="shared" si="31"/>
        <v>2.782142672137855</v>
      </c>
      <c r="CI30" s="93">
        <v>0.38582009293331226</v>
      </c>
      <c r="CJ30" s="93">
        <v>0.20616741540992439</v>
      </c>
      <c r="CK30" s="93">
        <v>0.12182654230872253</v>
      </c>
      <c r="CL30" s="93">
        <f t="shared" si="32"/>
        <v>0.32799395771864692</v>
      </c>
      <c r="CM30" s="106"/>
      <c r="CN30" s="39">
        <f t="shared" si="33"/>
        <v>2.802650191366185</v>
      </c>
      <c r="CO30" s="93">
        <v>0.14124471027366434</v>
      </c>
      <c r="CP30" s="93">
        <v>7.9200173754421455E-2</v>
      </c>
      <c r="CQ30" s="93">
        <v>4.4970563000976925E-2</v>
      </c>
      <c r="CR30" s="93">
        <f t="shared" si="34"/>
        <v>0.12417073675539839</v>
      </c>
      <c r="CS30" s="90">
        <f t="shared" si="35"/>
        <v>0</v>
      </c>
      <c r="CT30" s="39">
        <f t="shared" si="36"/>
        <v>2.5769124618272299</v>
      </c>
      <c r="CU30" s="11">
        <v>0.24121328430117833</v>
      </c>
      <c r="CV30" s="93">
        <v>-0.11897918529242003</v>
      </c>
      <c r="CW30" s="93">
        <v>6.9884880895608265E-2</v>
      </c>
      <c r="CX30" s="93">
        <f t="shared" si="37"/>
        <v>-4.9094304396811769E-2</v>
      </c>
      <c r="CY30" s="93"/>
      <c r="CZ30" s="39">
        <f t="shared" si="38"/>
        <v>2.7192664271063816</v>
      </c>
      <c r="DA30" s="93">
        <v>0.20012084758768453</v>
      </c>
      <c r="DB30" s="93">
        <v>-9.2647288572005396E-2</v>
      </c>
      <c r="DC30" s="93">
        <v>6.1583794212272509E-2</v>
      </c>
      <c r="DD30" s="93">
        <f t="shared" si="39"/>
        <v>-3.1063494359732886E-2</v>
      </c>
      <c r="DF30" s="39">
        <f t="shared" si="40"/>
        <v>1.8569836908540527</v>
      </c>
      <c r="DG30" s="93">
        <v>4.1092436713493816E-2</v>
      </c>
      <c r="DH30" s="93">
        <v>-2.6331896720414642E-2</v>
      </c>
      <c r="DI30" s="93">
        <v>8.3010866833357552E-3</v>
      </c>
      <c r="DJ30" s="93">
        <f t="shared" si="41"/>
        <v>-1.8030810037078886E-2</v>
      </c>
      <c r="DK30" s="106"/>
      <c r="DL30" s="39">
        <f t="shared" si="42"/>
        <v>0</v>
      </c>
      <c r="DM30" s="93">
        <v>0</v>
      </c>
      <c r="DN30" s="93">
        <v>0</v>
      </c>
      <c r="DO30" s="93">
        <v>0</v>
      </c>
      <c r="DP30" s="93">
        <f t="shared" si="43"/>
        <v>0</v>
      </c>
    </row>
    <row r="31" spans="1:120" x14ac:dyDescent="0.3">
      <c r="A31" s="90">
        <f>name!B27</f>
        <v>0</v>
      </c>
      <c r="B31" s="39">
        <f t="shared" si="1"/>
        <v>2.6734729787020628</v>
      </c>
      <c r="C31" s="11">
        <v>5.3973840679838156</v>
      </c>
      <c r="D31" s="93">
        <v>1.1408021816129781</v>
      </c>
      <c r="E31" s="93">
        <v>1.6295494976716494</v>
      </c>
      <c r="F31" s="93">
        <f t="shared" si="2"/>
        <v>2.7703516792846274</v>
      </c>
      <c r="G31" s="93"/>
      <c r="H31" s="39">
        <f t="shared" si="3"/>
        <v>2.4242144760953321</v>
      </c>
      <c r="I31" s="93">
        <v>0.66792410715744144</v>
      </c>
      <c r="J31" s="93">
        <v>8.7081733597755159E-2</v>
      </c>
      <c r="K31" s="93">
        <v>0.18077459401533136</v>
      </c>
      <c r="L31" s="93">
        <f t="shared" si="4"/>
        <v>0.26785632761308653</v>
      </c>
      <c r="N31" s="39">
        <f t="shared" si="5"/>
        <v>2.609263332573919</v>
      </c>
      <c r="O31" s="93">
        <v>2.0775695012091084</v>
      </c>
      <c r="P31" s="93">
        <v>0.2544737074116219</v>
      </c>
      <c r="Q31" s="93">
        <v>0.6103809444492555</v>
      </c>
      <c r="R31" s="93">
        <f t="shared" si="6"/>
        <v>0.8648546518608774</v>
      </c>
      <c r="S31" s="106"/>
      <c r="T31" s="39">
        <f t="shared" si="7"/>
        <v>2.7851854419137734</v>
      </c>
      <c r="U31" s="93">
        <v>2.6518904596172663</v>
      </c>
      <c r="V31" s="93">
        <v>0.79924674060360146</v>
      </c>
      <c r="W31" s="93">
        <v>0.83839395920706195</v>
      </c>
      <c r="X31" s="93">
        <f t="shared" si="8"/>
        <v>1.6376406998106634</v>
      </c>
      <c r="Y31" s="90">
        <f t="shared" si="0"/>
        <v>0</v>
      </c>
      <c r="Z31" s="39">
        <f t="shared" si="9"/>
        <v>2.8165513572584899</v>
      </c>
      <c r="AA31" s="11">
        <v>2.214362158393115</v>
      </c>
      <c r="AB31" s="93">
        <v>0.76697330164247091</v>
      </c>
      <c r="AC31" s="93">
        <v>0.7089754858112105</v>
      </c>
      <c r="AD31" s="93">
        <f t="shared" si="10"/>
        <v>1.4759487874536814</v>
      </c>
      <c r="AE31" s="93"/>
      <c r="AF31" s="39">
        <f t="shared" si="11"/>
        <v>2.4947991741868014</v>
      </c>
      <c r="AG31" s="93">
        <v>9.3295900311954727E-2</v>
      </c>
      <c r="AH31" s="93">
        <v>7.3611029159494539E-3</v>
      </c>
      <c r="AI31" s="93">
        <v>2.6070156753053058E-2</v>
      </c>
      <c r="AJ31" s="93">
        <f t="shared" si="12"/>
        <v>3.3431259669002511E-2</v>
      </c>
      <c r="AL31" s="39">
        <f t="shared" si="13"/>
        <v>2.7753358006801676</v>
      </c>
      <c r="AM31" s="93">
        <v>0.4972447918516455</v>
      </c>
      <c r="AN31" s="93">
        <v>9.6394295735497987E-2</v>
      </c>
      <c r="AO31" s="93">
        <v>0.15657684325353696</v>
      </c>
      <c r="AP31" s="93">
        <f t="shared" si="14"/>
        <v>0.25297113898903495</v>
      </c>
      <c r="AQ31" s="106"/>
      <c r="AR31" s="39">
        <f t="shared" si="15"/>
        <v>2.8473360407721415</v>
      </c>
      <c r="AS31" s="93">
        <v>1.6238214662295147</v>
      </c>
      <c r="AT31" s="93">
        <v>0.66321790299102346</v>
      </c>
      <c r="AU31" s="93">
        <v>0.52632848580462055</v>
      </c>
      <c r="AV31" s="93">
        <f t="shared" si="16"/>
        <v>1.1895463887956441</v>
      </c>
      <c r="AW31" s="90">
        <f t="shared" si="17"/>
        <v>0</v>
      </c>
      <c r="AX31" s="39">
        <f t="shared" si="18"/>
        <v>2.6299606183572521</v>
      </c>
      <c r="AY31" s="11">
        <v>2.2783095768098032</v>
      </c>
      <c r="AZ31" s="93">
        <v>0.28087299486229567</v>
      </c>
      <c r="BA31" s="93">
        <v>0.67530864231188981</v>
      </c>
      <c r="BB31" s="93">
        <f t="shared" si="19"/>
        <v>0.95618163717418547</v>
      </c>
      <c r="BC31" s="93"/>
      <c r="BD31" s="39">
        <f t="shared" si="20"/>
        <v>2.5631080985660804</v>
      </c>
      <c r="BE31" s="93">
        <v>0.22101247964060855</v>
      </c>
      <c r="BF31" s="93">
        <v>-1.6947941898083588E-2</v>
      </c>
      <c r="BG31" s="93">
        <v>6.3648887364331108E-2</v>
      </c>
      <c r="BH31" s="93">
        <f t="shared" si="21"/>
        <v>4.670094546624752E-2</v>
      </c>
      <c r="BJ31" s="39">
        <f t="shared" si="22"/>
        <v>2.5856877347969265</v>
      </c>
      <c r="BK31" s="93">
        <v>1.1148096584511451</v>
      </c>
      <c r="BL31" s="93">
        <v>0.19268434666122614</v>
      </c>
      <c r="BM31" s="93">
        <v>0.32421576182958223</v>
      </c>
      <c r="BN31" s="93">
        <f t="shared" si="23"/>
        <v>0.51690010849080836</v>
      </c>
      <c r="BO31" s="106"/>
      <c r="BP31" s="39">
        <f t="shared" si="24"/>
        <v>2.6976564051442775</v>
      </c>
      <c r="BQ31" s="93">
        <v>0.94248743871804974</v>
      </c>
      <c r="BR31" s="93">
        <v>0.10513659009915316</v>
      </c>
      <c r="BS31" s="93">
        <v>0.28744399311797653</v>
      </c>
      <c r="BT31" s="93">
        <f t="shared" si="25"/>
        <v>0.39258058321712969</v>
      </c>
      <c r="BU31" s="90">
        <f t="shared" si="26"/>
        <v>0</v>
      </c>
      <c r="BV31" s="39">
        <f t="shared" si="27"/>
        <v>2.6073314286228833</v>
      </c>
      <c r="BW31" s="11">
        <v>0.44551231145339021</v>
      </c>
      <c r="BX31" s="93">
        <v>-8.3373030656131442E-3</v>
      </c>
      <c r="BY31" s="93">
        <v>0.13078107806231981</v>
      </c>
      <c r="BZ31" s="93">
        <f t="shared" si="28"/>
        <v>0.12244377499670667</v>
      </c>
      <c r="CA31" s="93"/>
      <c r="CB31" s="39">
        <f t="shared" si="29"/>
        <v>2.4365291604826034</v>
      </c>
      <c r="CC31" s="93">
        <v>8.6276945213152031E-2</v>
      </c>
      <c r="CD31" s="93">
        <v>-4.2074055456051036E-2</v>
      </c>
      <c r="CE31" s="93">
        <v>2.3482855274529982E-2</v>
      </c>
      <c r="CF31" s="93">
        <f t="shared" si="30"/>
        <v>-1.8591200181521054E-2</v>
      </c>
      <c r="CH31" s="39">
        <f t="shared" si="31"/>
        <v>2.6262299218310803</v>
      </c>
      <c r="CI31" s="93">
        <v>0.29498731949520918</v>
      </c>
      <c r="CJ31" s="93">
        <v>2.0855293533474064E-2</v>
      </c>
      <c r="CK31" s="93">
        <v>8.7297539162572352E-2</v>
      </c>
      <c r="CL31" s="93">
        <f t="shared" si="32"/>
        <v>0.10815283269604642</v>
      </c>
      <c r="CM31" s="106"/>
      <c r="CN31" s="39">
        <f t="shared" si="33"/>
        <v>2.7472823291570414</v>
      </c>
      <c r="CO31" s="93">
        <v>6.4248046745029E-2</v>
      </c>
      <c r="CP31" s="93">
        <v>1.2881458856963826E-2</v>
      </c>
      <c r="CQ31" s="93">
        <v>2.000068362521747E-2</v>
      </c>
      <c r="CR31" s="93">
        <f t="shared" si="34"/>
        <v>3.2882142482181298E-2</v>
      </c>
      <c r="CS31" s="90">
        <f t="shared" si="35"/>
        <v>0</v>
      </c>
      <c r="CT31" s="39">
        <f t="shared" si="36"/>
        <v>2.2508925088840614</v>
      </c>
      <c r="CU31" s="11">
        <v>0.45920002132750753</v>
      </c>
      <c r="CV31" s="93">
        <v>0.10129318817382489</v>
      </c>
      <c r="CW31" s="93">
        <v>0.11448429148622874</v>
      </c>
      <c r="CX31" s="93">
        <f t="shared" si="37"/>
        <v>0.21577747966005362</v>
      </c>
      <c r="CY31" s="93"/>
      <c r="CZ31" s="39">
        <f t="shared" si="38"/>
        <v>2.2790784934704211</v>
      </c>
      <c r="DA31" s="93">
        <v>0.26733878199172612</v>
      </c>
      <c r="DB31" s="93">
        <v>0.13874262803594034</v>
      </c>
      <c r="DC31" s="93">
        <v>6.7572694623417223E-2</v>
      </c>
      <c r="DD31" s="93">
        <f t="shared" si="39"/>
        <v>0.20631532265935756</v>
      </c>
      <c r="DF31" s="39">
        <f t="shared" si="40"/>
        <v>2.2401417134240154</v>
      </c>
      <c r="DG31" s="93">
        <v>0.17052773141110822</v>
      </c>
      <c r="DH31" s="93">
        <v>-5.5460228518576328E-2</v>
      </c>
      <c r="DI31" s="93">
        <v>4.2290800203563968E-2</v>
      </c>
      <c r="DJ31" s="93">
        <f t="shared" si="41"/>
        <v>-1.316942831501236E-2</v>
      </c>
      <c r="DK31" s="106"/>
      <c r="DL31" s="39">
        <f t="shared" si="42"/>
        <v>1.9799306613629053</v>
      </c>
      <c r="DM31" s="93">
        <v>2.1333507924673225E-2</v>
      </c>
      <c r="DN31" s="93">
        <v>1.8010788656460896E-2</v>
      </c>
      <c r="DO31" s="93">
        <v>4.6207966592475454E-3</v>
      </c>
      <c r="DP31" s="93">
        <f t="shared" si="43"/>
        <v>2.2631585315708441E-2</v>
      </c>
    </row>
    <row r="32" spans="1:120" x14ac:dyDescent="0.3">
      <c r="A32" s="90">
        <f>name!B28</f>
        <v>0</v>
      </c>
      <c r="B32" s="39">
        <f t="shared" si="1"/>
        <v>2.7212419765566098</v>
      </c>
      <c r="C32" s="11">
        <v>123.7608458367669</v>
      </c>
      <c r="D32" s="93">
        <v>13.119074771958418</v>
      </c>
      <c r="E32" s="93">
        <v>38.116429497024313</v>
      </c>
      <c r="F32" s="93">
        <f t="shared" si="2"/>
        <v>51.23550426898273</v>
      </c>
      <c r="G32" s="93"/>
      <c r="H32" s="39">
        <f t="shared" si="3"/>
        <v>2.5243885852895165</v>
      </c>
      <c r="I32" s="93">
        <v>26.847077802333636</v>
      </c>
      <c r="J32" s="93">
        <v>-7.8031435741815161</v>
      </c>
      <c r="K32" s="93">
        <v>7.6013099907891046</v>
      </c>
      <c r="L32" s="93">
        <f t="shared" si="4"/>
        <v>-0.20183358339241142</v>
      </c>
      <c r="N32" s="39">
        <f t="shared" si="5"/>
        <v>2.6624455318525975</v>
      </c>
      <c r="O32" s="93">
        <v>63.941359181744446</v>
      </c>
      <c r="P32" s="93">
        <v>7.8349731558739144</v>
      </c>
      <c r="Q32" s="93">
        <v>19.215469387990549</v>
      </c>
      <c r="R32" s="93">
        <f t="shared" si="6"/>
        <v>27.050442543864463</v>
      </c>
      <c r="S32" s="106"/>
      <c r="T32" s="39">
        <f t="shared" si="7"/>
        <v>2.9906749697417023</v>
      </c>
      <c r="U32" s="93">
        <v>32.972408852688829</v>
      </c>
      <c r="V32" s="93">
        <v>13.087245190266019</v>
      </c>
      <c r="W32" s="93">
        <v>11.299650118244649</v>
      </c>
      <c r="X32" s="93">
        <f t="shared" si="8"/>
        <v>24.386895308510667</v>
      </c>
      <c r="Y32" s="90">
        <f t="shared" si="0"/>
        <v>0</v>
      </c>
      <c r="Z32" s="39">
        <f t="shared" si="9"/>
        <v>3.0765850108950499</v>
      </c>
      <c r="AA32" s="11">
        <v>38.83635765848959</v>
      </c>
      <c r="AB32" s="93">
        <v>9.7986800365741935</v>
      </c>
      <c r="AC32" s="93">
        <v>13.745837027625093</v>
      </c>
      <c r="AD32" s="93">
        <f t="shared" si="10"/>
        <v>23.544517064199287</v>
      </c>
      <c r="AE32" s="93"/>
      <c r="AF32" s="39">
        <f t="shared" si="11"/>
        <v>3.0191901547181432</v>
      </c>
      <c r="AG32" s="93">
        <v>2.7303033528832836</v>
      </c>
      <c r="AH32" s="93">
        <v>7.5430584829441968E-2</v>
      </c>
      <c r="AI32" s="93">
        <v>0.94583812987341553</v>
      </c>
      <c r="AJ32" s="93">
        <f t="shared" si="12"/>
        <v>1.0212687147028574</v>
      </c>
      <c r="AL32" s="39">
        <f t="shared" si="13"/>
        <v>3.0173281094963533</v>
      </c>
      <c r="AM32" s="93">
        <v>15.834000720976697</v>
      </c>
      <c r="AN32" s="93">
        <v>4.2727073292572078</v>
      </c>
      <c r="AO32" s="93">
        <v>5.4813988049700901</v>
      </c>
      <c r="AP32" s="93">
        <f t="shared" si="14"/>
        <v>9.7541061342272979</v>
      </c>
      <c r="AQ32" s="106"/>
      <c r="AR32" s="39">
        <f t="shared" si="15"/>
        <v>3.1303340410858471</v>
      </c>
      <c r="AS32" s="93">
        <v>20.272053584629607</v>
      </c>
      <c r="AT32" s="93">
        <v>5.4505421224875432</v>
      </c>
      <c r="AU32" s="93">
        <v>7.3186000927815886</v>
      </c>
      <c r="AV32" s="93">
        <f t="shared" si="16"/>
        <v>12.769142215269131</v>
      </c>
      <c r="AW32" s="90">
        <f t="shared" si="17"/>
        <v>0</v>
      </c>
      <c r="AX32" s="39">
        <f t="shared" si="18"/>
        <v>2.6584881857450782</v>
      </c>
      <c r="AY32" s="11">
        <v>47.806403154901318</v>
      </c>
      <c r="AZ32" s="93">
        <v>-7.0421609841178725</v>
      </c>
      <c r="BA32" s="93">
        <v>14.342678022761262</v>
      </c>
      <c r="BB32" s="93">
        <f t="shared" si="19"/>
        <v>7.30051703864339</v>
      </c>
      <c r="BC32" s="93"/>
      <c r="BD32" s="39">
        <f t="shared" si="20"/>
        <v>2.6161806421257428</v>
      </c>
      <c r="BE32" s="93">
        <v>10.847301910693686</v>
      </c>
      <c r="BF32" s="93">
        <v>-4.5098176413100948</v>
      </c>
      <c r="BG32" s="93">
        <v>3.196354334448817</v>
      </c>
      <c r="BH32" s="93">
        <f t="shared" si="21"/>
        <v>-1.3134633068612778</v>
      </c>
      <c r="BJ32" s="39">
        <f t="shared" si="22"/>
        <v>2.6374751567947108</v>
      </c>
      <c r="BK32" s="93">
        <v>28.371369231702417</v>
      </c>
      <c r="BL32" s="93">
        <v>-3.0931884379730161</v>
      </c>
      <c r="BM32" s="93">
        <v>8.4364337781793513</v>
      </c>
      <c r="BN32" s="93">
        <f t="shared" si="23"/>
        <v>5.3432453402063356</v>
      </c>
      <c r="BO32" s="106"/>
      <c r="BP32" s="39">
        <f t="shared" si="24"/>
        <v>2.7805305911498435</v>
      </c>
      <c r="BQ32" s="93">
        <v>8.5877320125052172</v>
      </c>
      <c r="BR32" s="93">
        <v>0.56084509516523873</v>
      </c>
      <c r="BS32" s="93">
        <v>2.7098899101330933</v>
      </c>
      <c r="BT32" s="93">
        <f t="shared" si="25"/>
        <v>3.2707350052983322</v>
      </c>
      <c r="BU32" s="90">
        <f t="shared" si="26"/>
        <v>0</v>
      </c>
      <c r="BV32" s="39">
        <f t="shared" si="27"/>
        <v>2.6565095608896083</v>
      </c>
      <c r="BW32" s="11">
        <v>19.849533341962385</v>
      </c>
      <c r="BX32" s="93">
        <v>1.9836189361300114</v>
      </c>
      <c r="BY32" s="93">
        <v>5.9502012149531671</v>
      </c>
      <c r="BZ32" s="93">
        <f t="shared" si="28"/>
        <v>7.9338201510831787</v>
      </c>
      <c r="CA32" s="93"/>
      <c r="CB32" s="39">
        <f t="shared" si="29"/>
        <v>2.6205599538537738</v>
      </c>
      <c r="CC32" s="93">
        <v>6.8203543745401731</v>
      </c>
      <c r="CD32" s="93">
        <v>-1.6267924145713057</v>
      </c>
      <c r="CE32" s="93">
        <v>2.0135102832400635</v>
      </c>
      <c r="CF32" s="93">
        <f t="shared" si="30"/>
        <v>0.38671786866875779</v>
      </c>
      <c r="CH32" s="39">
        <f t="shared" si="31"/>
        <v>2.6438862721386736</v>
      </c>
      <c r="CI32" s="93">
        <v>10.586487257709154</v>
      </c>
      <c r="CJ32" s="93">
        <v>1.7602610215326151</v>
      </c>
      <c r="CK32" s="93">
        <v>3.1565507372840993</v>
      </c>
      <c r="CL32" s="93">
        <f t="shared" si="32"/>
        <v>4.9168117588167144</v>
      </c>
      <c r="CM32" s="106"/>
      <c r="CN32" s="39">
        <f t="shared" si="33"/>
        <v>2.8103646649090264</v>
      </c>
      <c r="CO32" s="93">
        <v>2.4426917097130554</v>
      </c>
      <c r="CP32" s="93">
        <v>1.850150329168702</v>
      </c>
      <c r="CQ32" s="93">
        <v>0.78014019442900417</v>
      </c>
      <c r="CR32" s="93">
        <f t="shared" si="34"/>
        <v>2.6302905235977061</v>
      </c>
      <c r="CS32" s="90">
        <f t="shared" si="35"/>
        <v>0</v>
      </c>
      <c r="CT32" s="39">
        <f t="shared" si="36"/>
        <v>2.1425269866725216</v>
      </c>
      <c r="CU32" s="11">
        <v>17.268551681413616</v>
      </c>
      <c r="CV32" s="93">
        <v>8.3789367833720867</v>
      </c>
      <c r="CW32" s="93">
        <v>4.0777132316847844</v>
      </c>
      <c r="CX32" s="93">
        <f t="shared" si="37"/>
        <v>12.456650015056871</v>
      </c>
      <c r="CY32" s="93"/>
      <c r="CZ32" s="39">
        <f t="shared" si="38"/>
        <v>2.0431060525095246</v>
      </c>
      <c r="DA32" s="93">
        <v>6.4491181642164932</v>
      </c>
      <c r="DB32" s="93">
        <v>-1.7419641031295572</v>
      </c>
      <c r="DC32" s="93">
        <v>1.4456072432268086</v>
      </c>
      <c r="DD32" s="93">
        <f t="shared" si="39"/>
        <v>-0.29635685990274863</v>
      </c>
      <c r="DF32" s="39">
        <f t="shared" si="40"/>
        <v>2.1249626362792373</v>
      </c>
      <c r="DG32" s="93">
        <v>9.1495019713561767</v>
      </c>
      <c r="DH32" s="93">
        <v>4.8951932430571077</v>
      </c>
      <c r="DI32" s="93">
        <v>2.1410860675570116</v>
      </c>
      <c r="DJ32" s="93">
        <f t="shared" si="41"/>
        <v>7.0362793106141197</v>
      </c>
      <c r="DK32" s="106"/>
      <c r="DL32" s="39">
        <f t="shared" si="42"/>
        <v>2.6111687821135154</v>
      </c>
      <c r="DM32" s="93">
        <v>1.6699315458409487</v>
      </c>
      <c r="DN32" s="93">
        <v>5.2257076434445349</v>
      </c>
      <c r="DO32" s="93">
        <v>0.49101992090096452</v>
      </c>
      <c r="DP32" s="93">
        <f t="shared" si="43"/>
        <v>5.7167275643454998</v>
      </c>
    </row>
    <row r="33" spans="1:120" x14ac:dyDescent="0.3">
      <c r="A33" s="90">
        <f>name!B29</f>
        <v>0</v>
      </c>
      <c r="B33" s="39">
        <f t="shared" si="1"/>
        <v>3.0653273318685947</v>
      </c>
      <c r="C33" s="11">
        <v>154.97099999999972</v>
      </c>
      <c r="D33" s="93">
        <v>3.3030000000000879</v>
      </c>
      <c r="E33" s="93">
        <v>54.621773436017577</v>
      </c>
      <c r="F33" s="93">
        <f t="shared" si="2"/>
        <v>57.924773436017666</v>
      </c>
      <c r="G33" s="93"/>
      <c r="H33" s="39">
        <f t="shared" si="3"/>
        <v>2.9436319407800893</v>
      </c>
      <c r="I33" s="93">
        <v>50.957790570188273</v>
      </c>
      <c r="J33" s="93">
        <v>-5.207332958391917</v>
      </c>
      <c r="K33" s="93">
        <v>17.151358481765701</v>
      </c>
      <c r="L33" s="93">
        <f t="shared" si="4"/>
        <v>11.944025523373785</v>
      </c>
      <c r="N33" s="39">
        <f t="shared" si="5"/>
        <v>3.080091904459592</v>
      </c>
      <c r="O33" s="93">
        <v>82.75191339584687</v>
      </c>
      <c r="P33" s="93">
        <v>5.6365125249630674</v>
      </c>
      <c r="Q33" s="93">
        <v>29.327542834156286</v>
      </c>
      <c r="R33" s="93">
        <f t="shared" si="6"/>
        <v>34.964055359119357</v>
      </c>
      <c r="S33" s="106"/>
      <c r="T33" s="39">
        <f t="shared" si="7"/>
        <v>3.2956222869682472</v>
      </c>
      <c r="U33" s="93">
        <v>21.261296033964598</v>
      </c>
      <c r="V33" s="93">
        <v>2.873820433428937</v>
      </c>
      <c r="W33" s="93">
        <v>8.1428721200955785</v>
      </c>
      <c r="X33" s="93">
        <f t="shared" si="8"/>
        <v>11.016692553524516</v>
      </c>
      <c r="Y33" s="90">
        <f t="shared" si="0"/>
        <v>0</v>
      </c>
      <c r="Z33" s="39">
        <f t="shared" si="9"/>
        <v>4.0504340600003408</v>
      </c>
      <c r="AA33" s="11">
        <v>43.296648877844632</v>
      </c>
      <c r="AB33" s="93">
        <v>-7.3473712231151156</v>
      </c>
      <c r="AC33" s="93">
        <v>21.104445332065058</v>
      </c>
      <c r="AD33" s="93">
        <f t="shared" si="10"/>
        <v>13.757074108949944</v>
      </c>
      <c r="AE33" s="93"/>
      <c r="AF33" s="39">
        <f t="shared" si="11"/>
        <v>4.0754800931313673</v>
      </c>
      <c r="AG33" s="93">
        <v>10.106732188154798</v>
      </c>
      <c r="AH33" s="93">
        <v>-4.7657768055697005</v>
      </c>
      <c r="AI33" s="93">
        <v>4.9626340231866539</v>
      </c>
      <c r="AJ33" s="93">
        <f t="shared" si="12"/>
        <v>0.19685721761695341</v>
      </c>
      <c r="AL33" s="39">
        <f t="shared" si="13"/>
        <v>4.032928627335286</v>
      </c>
      <c r="AM33" s="93">
        <v>24.904995907126381</v>
      </c>
      <c r="AN33" s="93">
        <v>-2.8493267756162344</v>
      </c>
      <c r="AO33" s="93">
        <v>12.077372396997415</v>
      </c>
      <c r="AP33" s="93">
        <f t="shared" si="14"/>
        <v>9.228045621381181</v>
      </c>
      <c r="AQ33" s="106"/>
      <c r="AR33" s="39">
        <f t="shared" si="15"/>
        <v>4.0724091362593917</v>
      </c>
      <c r="AS33" s="93">
        <v>8.2849207825634537</v>
      </c>
      <c r="AT33" s="93">
        <v>0.26773235807081874</v>
      </c>
      <c r="AU33" s="93">
        <v>4.0644389118809876</v>
      </c>
      <c r="AV33" s="93">
        <f t="shared" si="16"/>
        <v>4.3321712699518065</v>
      </c>
      <c r="AW33" s="90">
        <f t="shared" si="17"/>
        <v>0</v>
      </c>
      <c r="AX33" s="39">
        <f t="shared" si="18"/>
        <v>2.5547598396461035</v>
      </c>
      <c r="AY33" s="11">
        <v>78.997845710276223</v>
      </c>
      <c r="AZ33" s="93">
        <v>9.7021663700437788</v>
      </c>
      <c r="BA33" s="93">
        <v>22.667623064076533</v>
      </c>
      <c r="BB33" s="93">
        <f t="shared" si="19"/>
        <v>32.369789434120314</v>
      </c>
      <c r="BC33" s="93"/>
      <c r="BD33" s="39">
        <f t="shared" si="20"/>
        <v>2.5174195387168252</v>
      </c>
      <c r="BE33" s="93">
        <v>26.37395315468379</v>
      </c>
      <c r="BF33" s="93">
        <v>1.6686028083983007</v>
      </c>
      <c r="BG33" s="93">
        <v>7.4443560709851919</v>
      </c>
      <c r="BH33" s="93">
        <f t="shared" si="21"/>
        <v>9.112958879383493</v>
      </c>
      <c r="BJ33" s="39">
        <f t="shared" si="22"/>
        <v>2.5486671581746334</v>
      </c>
      <c r="BK33" s="93">
        <v>42.663657472306795</v>
      </c>
      <c r="BL33" s="93">
        <v>6.2773062085895344</v>
      </c>
      <c r="BM33" s="93">
        <v>12.209289576322305</v>
      </c>
      <c r="BN33" s="93">
        <f t="shared" si="23"/>
        <v>18.486595784911842</v>
      </c>
      <c r="BO33" s="106"/>
      <c r="BP33" s="39">
        <f t="shared" si="24"/>
        <v>2.6788844840362147</v>
      </c>
      <c r="BQ33" s="93">
        <v>9.9602350832856388</v>
      </c>
      <c r="BR33" s="93">
        <v>1.7562573530559429</v>
      </c>
      <c r="BS33" s="93">
        <v>3.0139774167690323</v>
      </c>
      <c r="BT33" s="93">
        <f t="shared" si="25"/>
        <v>4.7702347698249756</v>
      </c>
      <c r="BU33" s="90">
        <f t="shared" si="26"/>
        <v>0</v>
      </c>
      <c r="BV33" s="39">
        <f t="shared" si="27"/>
        <v>2.6173395636761576</v>
      </c>
      <c r="BW33" s="11">
        <v>3.1913404184740064</v>
      </c>
      <c r="BX33" s="93">
        <v>1.1226335486044625</v>
      </c>
      <c r="BY33" s="93">
        <v>0.94085301244670572</v>
      </c>
      <c r="BZ33" s="93">
        <f t="shared" si="28"/>
        <v>2.0634865610511683</v>
      </c>
      <c r="CA33" s="93"/>
      <c r="CB33" s="39">
        <f t="shared" si="29"/>
        <v>2.5929383707474774</v>
      </c>
      <c r="CC33" s="93">
        <v>1.3470262007787908</v>
      </c>
      <c r="CD33" s="93">
        <v>-0.26599294418410591</v>
      </c>
      <c r="CE33" s="93">
        <v>0.39297973448013812</v>
      </c>
      <c r="CF33" s="93">
        <f t="shared" si="30"/>
        <v>0.12698679029603221</v>
      </c>
      <c r="CH33" s="39">
        <f t="shared" si="31"/>
        <v>2.6512654768499289</v>
      </c>
      <c r="CI33" s="93">
        <v>1.6842985207880887</v>
      </c>
      <c r="CJ33" s="93">
        <v>1.2839192112138034</v>
      </c>
      <c r="CK33" s="93">
        <v>0.50377617701394806</v>
      </c>
      <c r="CL33" s="93">
        <f t="shared" si="32"/>
        <v>1.7876953882277515</v>
      </c>
      <c r="CM33" s="106"/>
      <c r="CN33" s="39">
        <f t="shared" si="33"/>
        <v>2.4638723480357561</v>
      </c>
      <c r="CO33" s="93">
        <v>0.16001569690712689</v>
      </c>
      <c r="CP33" s="93">
        <v>0.10470728157476483</v>
      </c>
      <c r="CQ33" s="93">
        <v>4.4097100952619553E-2</v>
      </c>
      <c r="CR33" s="93">
        <f t="shared" si="34"/>
        <v>0.14880438252738437</v>
      </c>
      <c r="CS33" s="90">
        <f t="shared" si="35"/>
        <v>0</v>
      </c>
      <c r="CT33" s="39">
        <f t="shared" si="36"/>
        <v>2.939646040038868</v>
      </c>
      <c r="CU33" s="11">
        <v>29.485164993404876</v>
      </c>
      <c r="CV33" s="93">
        <v>-0.17442869553303728</v>
      </c>
      <c r="CW33" s="93">
        <v>9.9088520274292744</v>
      </c>
      <c r="CX33" s="93">
        <f t="shared" si="37"/>
        <v>9.7344233318962363</v>
      </c>
      <c r="CY33" s="93"/>
      <c r="CZ33" s="39">
        <f t="shared" si="38"/>
        <v>2.9037153176336705</v>
      </c>
      <c r="DA33" s="93">
        <v>13.13007902657089</v>
      </c>
      <c r="DB33" s="93">
        <v>-1.8441660170364109</v>
      </c>
      <c r="DC33" s="93">
        <v>4.3513886531137187</v>
      </c>
      <c r="DD33" s="93">
        <f t="shared" si="39"/>
        <v>2.5072226360773078</v>
      </c>
      <c r="DF33" s="39">
        <f t="shared" si="40"/>
        <v>2.9399957923162523</v>
      </c>
      <c r="DG33" s="93">
        <v>13.498961495625606</v>
      </c>
      <c r="DH33" s="93">
        <v>0.92461388077596329</v>
      </c>
      <c r="DI33" s="93">
        <v>4.5371046838226157</v>
      </c>
      <c r="DJ33" s="93">
        <f t="shared" si="41"/>
        <v>5.4617185645985789</v>
      </c>
      <c r="DK33" s="106"/>
      <c r="DL33" s="39">
        <f t="shared" si="42"/>
        <v>3.1017595685842725</v>
      </c>
      <c r="DM33" s="93">
        <v>2.856124471208378</v>
      </c>
      <c r="DN33" s="93">
        <v>0.74512344072741044</v>
      </c>
      <c r="DO33" s="93">
        <v>1.0203586904929389</v>
      </c>
      <c r="DP33" s="93">
        <f t="shared" si="43"/>
        <v>1.7654821312203492</v>
      </c>
    </row>
    <row r="34" spans="1:120" x14ac:dyDescent="0.3">
      <c r="A34" s="90">
        <f>name!B30</f>
        <v>0</v>
      </c>
      <c r="B34" s="39">
        <f t="shared" si="1"/>
        <v>2.9160956930703641</v>
      </c>
      <c r="C34" s="11">
        <v>23.473999999999943</v>
      </c>
      <c r="D34" s="93">
        <v>1.4800000000000508</v>
      </c>
      <c r="E34" s="93">
        <v>7.8170489049169243</v>
      </c>
      <c r="F34" s="93">
        <f t="shared" si="2"/>
        <v>9.2970489049169753</v>
      </c>
      <c r="G34" s="93"/>
      <c r="H34" s="39">
        <f t="shared" si="3"/>
        <v>2.8413998152179376</v>
      </c>
      <c r="I34" s="93">
        <v>1.0959429864268337</v>
      </c>
      <c r="J34" s="93">
        <v>-0.1037259015403591</v>
      </c>
      <c r="K34" s="93">
        <v>0.35439010241011099</v>
      </c>
      <c r="L34" s="93">
        <f t="shared" si="4"/>
        <v>0.25066420086975189</v>
      </c>
      <c r="N34" s="39">
        <f t="shared" si="5"/>
        <v>2.7368083593868553</v>
      </c>
      <c r="O34" s="93">
        <v>5.7095877901633001</v>
      </c>
      <c r="P34" s="93">
        <v>-0.37327834266091714</v>
      </c>
      <c r="Q34" s="93">
        <v>1.7697896880944277</v>
      </c>
      <c r="R34" s="93">
        <f t="shared" si="6"/>
        <v>1.3965113454335105</v>
      </c>
      <c r="S34" s="106"/>
      <c r="T34" s="39">
        <f t="shared" si="7"/>
        <v>2.9817357423914226</v>
      </c>
      <c r="U34" s="93">
        <v>16.668469223409804</v>
      </c>
      <c r="V34" s="93">
        <v>1.9570042442013271</v>
      </c>
      <c r="W34" s="93">
        <v>5.6928691144123853</v>
      </c>
      <c r="X34" s="93">
        <f t="shared" si="8"/>
        <v>7.6498733586137124</v>
      </c>
      <c r="Y34" s="90">
        <f t="shared" si="0"/>
        <v>0</v>
      </c>
      <c r="Z34" s="39">
        <f t="shared" si="9"/>
        <v>2.9622047611067126</v>
      </c>
      <c r="AA34" s="11">
        <v>19.751750114413298</v>
      </c>
      <c r="AB34" s="93">
        <v>1.9847428369989049</v>
      </c>
      <c r="AC34" s="93">
        <v>6.6957068627363743</v>
      </c>
      <c r="AD34" s="93">
        <f t="shared" si="10"/>
        <v>8.6804496997352789</v>
      </c>
      <c r="AE34" s="93"/>
      <c r="AF34" s="39">
        <f t="shared" si="11"/>
        <v>2.8503434562277441</v>
      </c>
      <c r="AG34" s="93">
        <v>0.53141404120681335</v>
      </c>
      <c r="AH34" s="93">
        <v>5.7773207866578854E-3</v>
      </c>
      <c r="AI34" s="93">
        <v>0.17245277094298822</v>
      </c>
      <c r="AJ34" s="93">
        <f t="shared" si="12"/>
        <v>0.1782300917296461</v>
      </c>
      <c r="AL34" s="39">
        <f t="shared" si="13"/>
        <v>2.8052118952712313</v>
      </c>
      <c r="AM34" s="93">
        <v>3.8176590294715562</v>
      </c>
      <c r="AN34" s="93">
        <v>-9.3651610208796005E-2</v>
      </c>
      <c r="AO34" s="93">
        <v>1.2167495955135688</v>
      </c>
      <c r="AP34" s="93">
        <f t="shared" si="14"/>
        <v>1.1230979853047727</v>
      </c>
      <c r="AQ34" s="106"/>
      <c r="AR34" s="39">
        <f t="shared" si="15"/>
        <v>3.0046124829515852</v>
      </c>
      <c r="AS34" s="93">
        <v>15.402677043734929</v>
      </c>
      <c r="AT34" s="93">
        <v>2.0726171264210431</v>
      </c>
      <c r="AU34" s="93">
        <v>5.3065044962798176</v>
      </c>
      <c r="AV34" s="93">
        <f t="shared" si="16"/>
        <v>7.3791216227008611</v>
      </c>
      <c r="AW34" s="90">
        <f t="shared" si="17"/>
        <v>0</v>
      </c>
      <c r="AX34" s="39">
        <f t="shared" si="18"/>
        <v>2.6373612310459427</v>
      </c>
      <c r="AY34" s="11">
        <v>2.374731535280187</v>
      </c>
      <c r="AZ34" s="93">
        <v>-0.52610301968475415</v>
      </c>
      <c r="BA34" s="93">
        <v>0.70610956275344761</v>
      </c>
      <c r="BB34" s="93">
        <f t="shared" si="19"/>
        <v>0.18000654306869346</v>
      </c>
      <c r="BC34" s="93"/>
      <c r="BD34" s="39">
        <f t="shared" si="20"/>
        <v>2.6142974667533903</v>
      </c>
      <c r="BE34" s="93">
        <v>0.19374258077031151</v>
      </c>
      <c r="BF34" s="93">
        <v>-6.9067346278153099E-2</v>
      </c>
      <c r="BG34" s="93">
        <v>5.7043738869553398E-2</v>
      </c>
      <c r="BH34" s="93">
        <f t="shared" si="21"/>
        <v>-1.2023607408599701E-2</v>
      </c>
      <c r="BJ34" s="39">
        <f t="shared" si="22"/>
        <v>2.5779959595980673</v>
      </c>
      <c r="BK34" s="93">
        <v>1.3032102618231316</v>
      </c>
      <c r="BL34" s="93">
        <v>-0.29057782168208351</v>
      </c>
      <c r="BM34" s="93">
        <v>0.37774669225068269</v>
      </c>
      <c r="BN34" s="93">
        <f t="shared" si="23"/>
        <v>8.7168870568599177E-2</v>
      </c>
      <c r="BO34" s="106"/>
      <c r="BP34" s="39">
        <f t="shared" si="24"/>
        <v>2.7299783965388569</v>
      </c>
      <c r="BQ34" s="93">
        <v>0.87777869268674391</v>
      </c>
      <c r="BR34" s="93">
        <v>-0.16645785172451752</v>
      </c>
      <c r="BS34" s="93">
        <v>0.27131913163321136</v>
      </c>
      <c r="BT34" s="93">
        <f t="shared" si="25"/>
        <v>0.10486127990869384</v>
      </c>
      <c r="BU34" s="90">
        <f t="shared" si="26"/>
        <v>0</v>
      </c>
      <c r="BV34" s="39">
        <f t="shared" si="27"/>
        <v>2.6468617353205159</v>
      </c>
      <c r="BW34" s="11">
        <v>1.0085113638560528</v>
      </c>
      <c r="BX34" s="93">
        <v>-2.6892226884003306E-2</v>
      </c>
      <c r="BY34" s="93">
        <v>0.30108528970707676</v>
      </c>
      <c r="BZ34" s="93">
        <f t="shared" si="28"/>
        <v>0.27419306282307343</v>
      </c>
      <c r="CA34" s="93"/>
      <c r="CB34" s="39">
        <f t="shared" si="29"/>
        <v>2.9715317472071456</v>
      </c>
      <c r="CC34" s="93">
        <v>0.11005468485323042</v>
      </c>
      <c r="CD34" s="93">
        <v>-1.7792453645316623E-2</v>
      </c>
      <c r="CE34" s="93">
        <v>3.7441322944962968E-2</v>
      </c>
      <c r="CF34" s="93">
        <f t="shared" si="30"/>
        <v>1.9648869299646345E-2</v>
      </c>
      <c r="CH34" s="39">
        <f t="shared" si="31"/>
        <v>2.6078916675794428</v>
      </c>
      <c r="CI34" s="93">
        <v>0.53681981591731076</v>
      </c>
      <c r="CJ34" s="93">
        <v>-2.205025681449153E-2</v>
      </c>
      <c r="CK34" s="93">
        <v>0.1576225040625937</v>
      </c>
      <c r="CL34" s="93">
        <f t="shared" si="32"/>
        <v>0.13557224724810218</v>
      </c>
      <c r="CM34" s="106"/>
      <c r="CN34" s="39">
        <f t="shared" si="33"/>
        <v>2.604308479860018</v>
      </c>
      <c r="CO34" s="93">
        <v>0.36163686308551168</v>
      </c>
      <c r="CP34" s="93">
        <v>1.2950483575804845E-2</v>
      </c>
      <c r="CQ34" s="93">
        <v>0.10602146269952011</v>
      </c>
      <c r="CR34" s="93">
        <f t="shared" si="34"/>
        <v>0.11897194627532495</v>
      </c>
      <c r="CS34" s="90">
        <f t="shared" si="35"/>
        <v>0</v>
      </c>
      <c r="CT34" s="39">
        <f t="shared" si="36"/>
        <v>2.9446387229132842</v>
      </c>
      <c r="CU34" s="11">
        <v>0.33900698645039778</v>
      </c>
      <c r="CV34" s="93">
        <v>4.8252409569903426E-2</v>
      </c>
      <c r="CW34" s="93">
        <v>0.11414718972002513</v>
      </c>
      <c r="CX34" s="93">
        <f t="shared" si="37"/>
        <v>0.16239959928992856</v>
      </c>
      <c r="CY34" s="93"/>
      <c r="CZ34" s="39">
        <f t="shared" si="38"/>
        <v>2.9346268426516664</v>
      </c>
      <c r="DA34" s="93">
        <v>0.26073167959647875</v>
      </c>
      <c r="DB34" s="93">
        <v>-2.2643422403547261E-2</v>
      </c>
      <c r="DC34" s="93">
        <v>8.7452269652606385E-2</v>
      </c>
      <c r="DD34" s="93">
        <f t="shared" si="39"/>
        <v>6.4808847249059123E-2</v>
      </c>
      <c r="DF34" s="39">
        <f t="shared" si="40"/>
        <v>2.9736967059325492</v>
      </c>
      <c r="DG34" s="93">
        <v>5.1898682951301692E-2</v>
      </c>
      <c r="DH34" s="93">
        <v>3.3001346044453983E-2</v>
      </c>
      <c r="DI34" s="93">
        <v>1.7670896267582607E-2</v>
      </c>
      <c r="DJ34" s="93">
        <f t="shared" si="41"/>
        <v>5.067224231203659E-2</v>
      </c>
      <c r="DK34" s="106"/>
      <c r="DL34" s="39">
        <f t="shared" si="42"/>
        <v>2.986239445321015</v>
      </c>
      <c r="DM34" s="93">
        <v>2.637662390261741E-2</v>
      </c>
      <c r="DN34" s="93">
        <v>3.7894485928996711E-2</v>
      </c>
      <c r="DO34" s="93">
        <v>9.0240237998361478E-3</v>
      </c>
      <c r="DP34" s="93">
        <f t="shared" si="43"/>
        <v>4.6918509728832859E-2</v>
      </c>
    </row>
    <row r="35" spans="1:120" x14ac:dyDescent="0.3">
      <c r="A35" s="90">
        <f>name!B31</f>
        <v>0</v>
      </c>
      <c r="B35" s="39">
        <f t="shared" si="1"/>
        <v>2.8621080323697479</v>
      </c>
      <c r="C35" s="11">
        <v>28.894999999999936</v>
      </c>
      <c r="D35" s="93">
        <v>1.6460000000000381</v>
      </c>
      <c r="E35" s="93">
        <v>9.420712233917067</v>
      </c>
      <c r="F35" s="93">
        <f t="shared" si="2"/>
        <v>11.066712233917105</v>
      </c>
      <c r="G35" s="93"/>
      <c r="H35" s="39">
        <f t="shared" si="3"/>
        <v>2.6633825373017173</v>
      </c>
      <c r="I35" s="93">
        <v>1.9794220652335754</v>
      </c>
      <c r="J35" s="93">
        <v>-0.35248216003289656</v>
      </c>
      <c r="K35" s="93">
        <v>0.59508506788336712</v>
      </c>
      <c r="L35" s="93">
        <f t="shared" si="4"/>
        <v>0.24260290785047056</v>
      </c>
      <c r="N35" s="39">
        <f t="shared" si="5"/>
        <v>2.6696771260062091</v>
      </c>
      <c r="O35" s="93">
        <v>10.289648262531291</v>
      </c>
      <c r="P35" s="93">
        <v>0.71798490602012099</v>
      </c>
      <c r="Q35" s="93">
        <v>3.1016441026996522</v>
      </c>
      <c r="R35" s="93">
        <f t="shared" si="6"/>
        <v>3.8196290087197733</v>
      </c>
      <c r="S35" s="106"/>
      <c r="T35" s="39">
        <f t="shared" si="7"/>
        <v>3.0027901952621061</v>
      </c>
      <c r="U35" s="93">
        <v>16.625929672235067</v>
      </c>
      <c r="V35" s="93">
        <v>1.2804972540128137</v>
      </c>
      <c r="W35" s="93">
        <v>5.7239830633340478</v>
      </c>
      <c r="X35" s="93">
        <f t="shared" si="8"/>
        <v>7.0044803173468617</v>
      </c>
      <c r="Y35" s="90">
        <f t="shared" si="0"/>
        <v>0</v>
      </c>
      <c r="Z35" s="39">
        <f t="shared" si="9"/>
        <v>3.0215443790052143</v>
      </c>
      <c r="AA35" s="11">
        <v>17.580481963655998</v>
      </c>
      <c r="AB35" s="93">
        <v>2.8098087008328023</v>
      </c>
      <c r="AC35" s="93">
        <v>6.095681909765899</v>
      </c>
      <c r="AD35" s="93">
        <f t="shared" si="10"/>
        <v>8.9054906105987008</v>
      </c>
      <c r="AE35" s="93"/>
      <c r="AF35" s="39">
        <f t="shared" si="11"/>
        <v>2.9707695648767851</v>
      </c>
      <c r="AG35" s="93">
        <v>0.5967101275394916</v>
      </c>
      <c r="AH35" s="93">
        <v>0.21095192443473093</v>
      </c>
      <c r="AI35" s="93">
        <v>0.20294549270816775</v>
      </c>
      <c r="AJ35" s="93">
        <f t="shared" si="12"/>
        <v>0.41389741714289868</v>
      </c>
      <c r="AL35" s="39">
        <f t="shared" si="13"/>
        <v>2.828445336027241</v>
      </c>
      <c r="AM35" s="93">
        <v>4.2778021615675197</v>
      </c>
      <c r="AN35" s="93">
        <v>1.1605153808737563</v>
      </c>
      <c r="AO35" s="93">
        <v>1.3761664496642632</v>
      </c>
      <c r="AP35" s="93">
        <f t="shared" si="14"/>
        <v>2.5366818305380194</v>
      </c>
      <c r="AQ35" s="106"/>
      <c r="AR35" s="39">
        <f t="shared" si="15"/>
        <v>3.0881955582803711</v>
      </c>
      <c r="AS35" s="93">
        <v>12.705969674548985</v>
      </c>
      <c r="AT35" s="93">
        <v>1.4383413955243152</v>
      </c>
      <c r="AU35" s="93">
        <v>4.5165699673934689</v>
      </c>
      <c r="AV35" s="93">
        <f t="shared" si="16"/>
        <v>5.9549113629177839</v>
      </c>
      <c r="AW35" s="90">
        <f t="shared" si="17"/>
        <v>0</v>
      </c>
      <c r="AX35" s="39">
        <f t="shared" si="18"/>
        <v>2.6020134806948869</v>
      </c>
      <c r="AY35" s="11">
        <v>7.0600510279774715</v>
      </c>
      <c r="AZ35" s="93">
        <v>-0.82070299664328927</v>
      </c>
      <c r="BA35" s="93">
        <v>2.067760735617695</v>
      </c>
      <c r="BB35" s="93">
        <f t="shared" si="19"/>
        <v>1.2470577389744057</v>
      </c>
      <c r="BC35" s="93"/>
      <c r="BD35" s="39">
        <f t="shared" si="20"/>
        <v>2.5053318006841074</v>
      </c>
      <c r="BE35" s="93">
        <v>0.58242692656334427</v>
      </c>
      <c r="BF35" s="93">
        <v>-0.32828833435573068</v>
      </c>
      <c r="BG35" s="93">
        <v>0.16351669099146005</v>
      </c>
      <c r="BH35" s="93">
        <f t="shared" si="21"/>
        <v>-0.16477164336427064</v>
      </c>
      <c r="BJ35" s="39">
        <f t="shared" si="22"/>
        <v>2.528922957277846</v>
      </c>
      <c r="BK35" s="93">
        <v>3.4980513979754475</v>
      </c>
      <c r="BL35" s="93">
        <v>-0.21403758136916518</v>
      </c>
      <c r="BM35" s="93">
        <v>0.99240143264883662</v>
      </c>
      <c r="BN35" s="93">
        <f t="shared" si="23"/>
        <v>0.77836385127967145</v>
      </c>
      <c r="BO35" s="106"/>
      <c r="BP35" s="39">
        <f t="shared" si="24"/>
        <v>2.7058922134773455</v>
      </c>
      <c r="BQ35" s="93">
        <v>2.9795727034386803</v>
      </c>
      <c r="BR35" s="93">
        <v>-0.27837708091839342</v>
      </c>
      <c r="BS35" s="93">
        <v>0.91184261197739835</v>
      </c>
      <c r="BT35" s="93">
        <f t="shared" si="25"/>
        <v>0.63346553105900494</v>
      </c>
      <c r="BU35" s="90">
        <f t="shared" si="26"/>
        <v>0</v>
      </c>
      <c r="BV35" s="39">
        <f t="shared" si="27"/>
        <v>2.6025333799874595</v>
      </c>
      <c r="BW35" s="11">
        <v>3.9916086369088277</v>
      </c>
      <c r="BX35" s="93">
        <v>-0.36860749517507152</v>
      </c>
      <c r="BY35" s="93">
        <v>1.1693311871886336</v>
      </c>
      <c r="BZ35" s="93">
        <f t="shared" si="28"/>
        <v>0.80072369201356208</v>
      </c>
      <c r="CA35" s="93"/>
      <c r="CB35" s="39">
        <f t="shared" si="29"/>
        <v>2.5262794249925946</v>
      </c>
      <c r="CC35" s="93">
        <v>0.76479151317239202</v>
      </c>
      <c r="CD35" s="93">
        <v>-0.20773686960970486</v>
      </c>
      <c r="CE35" s="93">
        <v>0.21671918013294533</v>
      </c>
      <c r="CF35" s="93">
        <f t="shared" si="30"/>
        <v>8.9823105232404721E-3</v>
      </c>
      <c r="CH35" s="39">
        <f t="shared" si="31"/>
        <v>2.5896950806788999</v>
      </c>
      <c r="CI35" s="93">
        <v>2.4153471822787229</v>
      </c>
      <c r="CJ35" s="93">
        <v>-0.2502303844660983</v>
      </c>
      <c r="CK35" s="93">
        <v>0.70366416736616388</v>
      </c>
      <c r="CL35" s="93">
        <f t="shared" si="32"/>
        <v>0.45343378290006559</v>
      </c>
      <c r="CM35" s="106"/>
      <c r="CN35" s="39">
        <f t="shared" si="33"/>
        <v>2.7118274856430702</v>
      </c>
      <c r="CO35" s="93">
        <v>0.81146994145771245</v>
      </c>
      <c r="CP35" s="93">
        <v>8.9359758900731598E-2</v>
      </c>
      <c r="CQ35" s="93">
        <v>0.24894783968952428</v>
      </c>
      <c r="CR35" s="93">
        <f t="shared" si="34"/>
        <v>0.33830759859025589</v>
      </c>
      <c r="CS35" s="90">
        <f t="shared" si="35"/>
        <v>0</v>
      </c>
      <c r="CT35" s="39">
        <f t="shared" si="36"/>
        <v>2.9279629310322131</v>
      </c>
      <c r="CU35" s="11">
        <v>0.26285837145763702</v>
      </c>
      <c r="CV35" s="93">
        <v>2.5501790985596576E-2</v>
      </c>
      <c r="CW35" s="93">
        <v>8.7938401344838837E-2</v>
      </c>
      <c r="CX35" s="93">
        <f t="shared" si="37"/>
        <v>0.11344019233043541</v>
      </c>
      <c r="CY35" s="93"/>
      <c r="CZ35" s="39">
        <f t="shared" si="38"/>
        <v>2.9343651326463327</v>
      </c>
      <c r="DA35" s="93">
        <v>3.5493497958347456E-2</v>
      </c>
      <c r="DB35" s="93">
        <v>-2.740888050219192E-2</v>
      </c>
      <c r="DC35" s="93">
        <v>1.1903704050793999E-2</v>
      </c>
      <c r="DD35" s="93">
        <f t="shared" si="39"/>
        <v>-1.5505176451397921E-2</v>
      </c>
      <c r="DF35" s="39">
        <f t="shared" si="40"/>
        <v>2.6485565988142667</v>
      </c>
      <c r="DG35" s="93">
        <v>9.8447520709600847E-2</v>
      </c>
      <c r="DH35" s="93">
        <v>2.1737490981628024E-2</v>
      </c>
      <c r="DI35" s="93">
        <v>2.941205302038874E-2</v>
      </c>
      <c r="DJ35" s="93">
        <f t="shared" si="41"/>
        <v>5.1149544002016767E-2</v>
      </c>
      <c r="DK35" s="106"/>
      <c r="DL35" s="39">
        <f t="shared" si="42"/>
        <v>3.1350944801386671</v>
      </c>
      <c r="DM35" s="93">
        <v>0.12891735278968872</v>
      </c>
      <c r="DN35" s="93">
        <v>3.1173180506160469E-2</v>
      </c>
      <c r="DO35" s="93">
        <v>4.6622644273656109E-2</v>
      </c>
      <c r="DP35" s="93">
        <f t="shared" si="43"/>
        <v>7.7795824779816586E-2</v>
      </c>
    </row>
    <row r="36" spans="1:120" x14ac:dyDescent="0.3">
      <c r="A36" s="90">
        <f>name!B32</f>
        <v>0</v>
      </c>
      <c r="B36" s="39">
        <f t="shared" si="1"/>
        <v>2.9945367077332863</v>
      </c>
      <c r="C36" s="11">
        <v>56.486999999999881</v>
      </c>
      <c r="D36" s="93">
        <v>9.4270000000000458</v>
      </c>
      <c r="E36" s="93">
        <v>19.386548178062384</v>
      </c>
      <c r="F36" s="93">
        <f t="shared" si="2"/>
        <v>28.81354817806243</v>
      </c>
      <c r="G36" s="93"/>
      <c r="H36" s="39">
        <f t="shared" si="3"/>
        <v>2.6683655064911882</v>
      </c>
      <c r="I36" s="93">
        <v>3.0739661220094856</v>
      </c>
      <c r="J36" s="93">
        <v>1.6985913874363638</v>
      </c>
      <c r="K36" s="93">
        <v>0.92608514366015537</v>
      </c>
      <c r="L36" s="93">
        <f t="shared" si="4"/>
        <v>2.6246765310965192</v>
      </c>
      <c r="N36" s="39">
        <f t="shared" si="5"/>
        <v>2.7983270973520824</v>
      </c>
      <c r="O36" s="93">
        <v>10.80483185043264</v>
      </c>
      <c r="P36" s="93">
        <v>0.32429358730751345</v>
      </c>
      <c r="Q36" s="93">
        <v>3.4341351738504251</v>
      </c>
      <c r="R36" s="93">
        <f t="shared" si="6"/>
        <v>3.7584287611579388</v>
      </c>
      <c r="S36" s="106"/>
      <c r="T36" s="39">
        <f t="shared" si="7"/>
        <v>3.0668385216106264</v>
      </c>
      <c r="U36" s="93">
        <v>42.608202027557752</v>
      </c>
      <c r="V36" s="93">
        <v>7.4041150252561669</v>
      </c>
      <c r="W36" s="93">
        <v>15.026327860551801</v>
      </c>
      <c r="X36" s="93">
        <f t="shared" si="8"/>
        <v>22.430442885807967</v>
      </c>
      <c r="Y36" s="90">
        <f t="shared" si="0"/>
        <v>0</v>
      </c>
      <c r="Z36" s="39">
        <f t="shared" si="9"/>
        <v>3.0309771831799281</v>
      </c>
      <c r="AA36" s="11">
        <v>51.021735996170101</v>
      </c>
      <c r="AB36" s="93">
        <v>9.5647099325395999</v>
      </c>
      <c r="AC36" s="93">
        <v>17.753710691282151</v>
      </c>
      <c r="AD36" s="93">
        <f t="shared" si="10"/>
        <v>27.318420623821751</v>
      </c>
      <c r="AE36" s="93"/>
      <c r="AF36" s="39">
        <f t="shared" si="11"/>
        <v>2.7156970530987756</v>
      </c>
      <c r="AG36" s="93">
        <v>1.8966772091595998</v>
      </c>
      <c r="AH36" s="93">
        <v>1.1084660999032749</v>
      </c>
      <c r="AI36" s="93">
        <v>0.58280846211724435</v>
      </c>
      <c r="AJ36" s="93">
        <f t="shared" si="12"/>
        <v>1.6912745620205194</v>
      </c>
      <c r="AL36" s="39">
        <f t="shared" si="13"/>
        <v>2.8544377950161515</v>
      </c>
      <c r="AM36" s="93">
        <v>8.7151787782400429</v>
      </c>
      <c r="AN36" s="93">
        <v>0.37231764916359472</v>
      </c>
      <c r="AO36" s="93">
        <v>2.8328178136294691</v>
      </c>
      <c r="AP36" s="93">
        <f t="shared" si="14"/>
        <v>3.2051354627930637</v>
      </c>
      <c r="AQ36" s="106"/>
      <c r="AR36" s="39">
        <f t="shared" si="15"/>
        <v>3.0832355344662776</v>
      </c>
      <c r="AS36" s="93">
        <v>40.409880008770457</v>
      </c>
      <c r="AT36" s="93">
        <v>8.0839261834727303</v>
      </c>
      <c r="AU36" s="93">
        <v>14.338084415535439</v>
      </c>
      <c r="AV36" s="93">
        <f t="shared" si="16"/>
        <v>22.422010599008168</v>
      </c>
      <c r="AW36" s="90">
        <f t="shared" si="17"/>
        <v>0</v>
      </c>
      <c r="AX36" s="39">
        <f t="shared" si="18"/>
        <v>2.6442828612915692</v>
      </c>
      <c r="AY36" s="11">
        <v>4.1117223502687619</v>
      </c>
      <c r="AZ36" s="93">
        <v>-1.2602457015033561</v>
      </c>
      <c r="BA36" s="93">
        <v>1.2261898817352725</v>
      </c>
      <c r="BB36" s="93">
        <f t="shared" si="19"/>
        <v>-3.4055819768083584E-2</v>
      </c>
      <c r="BC36" s="93"/>
      <c r="BD36" s="39">
        <f t="shared" si="20"/>
        <v>2.5250973136344612</v>
      </c>
      <c r="BE36" s="93">
        <v>0.59212142104784216</v>
      </c>
      <c r="BF36" s="93">
        <v>5.5003227893673415E-2</v>
      </c>
      <c r="BG36" s="93">
        <v>0.1677019969682341</v>
      </c>
      <c r="BH36" s="93">
        <f t="shared" si="21"/>
        <v>0.22270522486190752</v>
      </c>
      <c r="BJ36" s="39">
        <f t="shared" si="22"/>
        <v>2.5953522288273634</v>
      </c>
      <c r="BK36" s="93">
        <v>1.6781048923637909</v>
      </c>
      <c r="BL36" s="93">
        <v>-0.50299398657548378</v>
      </c>
      <c r="BM36" s="93">
        <v>0.49007829174845352</v>
      </c>
      <c r="BN36" s="93">
        <f t="shared" si="23"/>
        <v>-1.2915694827030255E-2</v>
      </c>
      <c r="BO36" s="106"/>
      <c r="BP36" s="39">
        <f t="shared" si="24"/>
        <v>2.7266024857339533</v>
      </c>
      <c r="BQ36" s="93">
        <v>1.8414960368571291</v>
      </c>
      <c r="BR36" s="93">
        <v>-0.81225494282154564</v>
      </c>
      <c r="BS36" s="93">
        <v>0.56840959301858496</v>
      </c>
      <c r="BT36" s="93">
        <f t="shared" si="25"/>
        <v>-0.24384534980296069</v>
      </c>
      <c r="BU36" s="90">
        <f t="shared" si="26"/>
        <v>0</v>
      </c>
      <c r="BV36" s="39">
        <f t="shared" si="27"/>
        <v>2.6699286086445007</v>
      </c>
      <c r="BW36" s="11">
        <v>0.94096087042845011</v>
      </c>
      <c r="BX36" s="93">
        <v>1.0673588590067584</v>
      </c>
      <c r="BY36" s="93">
        <v>0.28366707092484866</v>
      </c>
      <c r="BZ36" s="93">
        <f t="shared" si="28"/>
        <v>1.3510259299316072</v>
      </c>
      <c r="CA36" s="93"/>
      <c r="CB36" s="39">
        <f t="shared" si="29"/>
        <v>2.4755931087015126</v>
      </c>
      <c r="CC36" s="93">
        <v>0.24637925552867021</v>
      </c>
      <c r="CD36" s="93">
        <v>0.45294770729803285</v>
      </c>
      <c r="CE36" s="93">
        <v>6.8256840443345096E-2</v>
      </c>
      <c r="CF36" s="93">
        <f t="shared" si="30"/>
        <v>0.52120454774137792</v>
      </c>
      <c r="CH36" s="39">
        <f t="shared" si="31"/>
        <v>2.5317857369329788</v>
      </c>
      <c r="CI36" s="93">
        <v>0.34250238229029917</v>
      </c>
      <c r="CJ36" s="93">
        <v>0.47722061778305425</v>
      </c>
      <c r="CK36" s="93">
        <v>9.7291120958866453E-2</v>
      </c>
      <c r="CL36" s="93">
        <f t="shared" si="32"/>
        <v>0.57451173874192074</v>
      </c>
      <c r="CM36" s="106"/>
      <c r="CN36" s="39">
        <f t="shared" si="33"/>
        <v>2.9352369214464158</v>
      </c>
      <c r="CO36" s="93">
        <v>0.35207923260948076</v>
      </c>
      <c r="CP36" s="93">
        <v>0.13719053392567115</v>
      </c>
      <c r="CQ36" s="93">
        <v>0.1181191095226371</v>
      </c>
      <c r="CR36" s="93">
        <f t="shared" si="34"/>
        <v>0.25530964344830825</v>
      </c>
      <c r="CS36" s="90">
        <f t="shared" si="35"/>
        <v>0</v>
      </c>
      <c r="CT36" s="39">
        <f t="shared" si="36"/>
        <v>2.6431615692057875</v>
      </c>
      <c r="CU36" s="11">
        <v>0.41258078313257079</v>
      </c>
      <c r="CV36" s="93">
        <v>5.5176909957042726E-2</v>
      </c>
      <c r="CW36" s="93">
        <v>0.12298053412010829</v>
      </c>
      <c r="CX36" s="93">
        <f t="shared" si="37"/>
        <v>0.17815744407715101</v>
      </c>
      <c r="CY36" s="93"/>
      <c r="CZ36" s="39">
        <f t="shared" si="38"/>
        <v>2.7900274591234453</v>
      </c>
      <c r="DA36" s="93">
        <v>0.33878823627337318</v>
      </c>
      <c r="DB36" s="93">
        <v>8.2174352341382664E-2</v>
      </c>
      <c r="DC36" s="93">
        <v>0.10731784413133177</v>
      </c>
      <c r="DD36" s="93">
        <f t="shared" si="39"/>
        <v>0.18949219647271442</v>
      </c>
      <c r="DF36" s="39">
        <f t="shared" si="40"/>
        <v>1.8569836908540527</v>
      </c>
      <c r="DG36" s="93">
        <v>6.9045797538509451E-2</v>
      </c>
      <c r="DH36" s="93">
        <v>-2.2250693063651759E-2</v>
      </c>
      <c r="DI36" s="93">
        <v>1.3947947513635921E-2</v>
      </c>
      <c r="DJ36" s="93">
        <f t="shared" si="41"/>
        <v>-8.3027455500158387E-3</v>
      </c>
      <c r="DK36" s="106"/>
      <c r="DL36" s="39">
        <f t="shared" si="42"/>
        <v>3.1320498905442085</v>
      </c>
      <c r="DM36" s="93">
        <v>4.7467493206881754E-3</v>
      </c>
      <c r="DN36" s="93">
        <v>-4.7467493206881754E-3</v>
      </c>
      <c r="DO36" s="93">
        <v>1.714742475140592E-3</v>
      </c>
      <c r="DP36" s="93">
        <f t="shared" si="43"/>
        <v>-3.0320068455475836E-3</v>
      </c>
    </row>
    <row r="37" spans="1:120" x14ac:dyDescent="0.3">
      <c r="A37" s="90">
        <f>name!B33</f>
        <v>0</v>
      </c>
      <c r="B37" s="39">
        <f t="shared" si="1"/>
        <v>3.0105219210724066</v>
      </c>
      <c r="C37" s="11">
        <v>138.06999999999971</v>
      </c>
      <c r="D37" s="93">
        <v>5.2479999999998874</v>
      </c>
      <c r="E37" s="93">
        <v>47.674174099563118</v>
      </c>
      <c r="F37" s="93">
        <f t="shared" si="2"/>
        <v>52.922174099563009</v>
      </c>
      <c r="G37" s="93"/>
      <c r="H37" s="39">
        <f t="shared" si="3"/>
        <v>2.7387217667445674</v>
      </c>
      <c r="I37" s="93">
        <v>5.0762170042485808</v>
      </c>
      <c r="J37" s="93">
        <v>-1.6886317271375544</v>
      </c>
      <c r="K37" s="93">
        <v>1.5747035569122914</v>
      </c>
      <c r="L37" s="93">
        <f t="shared" si="4"/>
        <v>-0.11392817022526303</v>
      </c>
      <c r="N37" s="39">
        <f t="shared" si="5"/>
        <v>2.8045296362573024</v>
      </c>
      <c r="O37" s="93">
        <v>28.306731283971203</v>
      </c>
      <c r="P37" s="93">
        <v>-8.2765906536960721</v>
      </c>
      <c r="Q37" s="93">
        <v>9.0193352638725663</v>
      </c>
      <c r="R37" s="93">
        <f t="shared" si="6"/>
        <v>0.74274461017649429</v>
      </c>
      <c r="S37" s="106"/>
      <c r="T37" s="39">
        <f t="shared" si="7"/>
        <v>3.078543964604763</v>
      </c>
      <c r="U37" s="93">
        <v>104.68705171177994</v>
      </c>
      <c r="V37" s="93">
        <v>15.213222380833514</v>
      </c>
      <c r="W37" s="93">
        <v>37.080135278778265</v>
      </c>
      <c r="X37" s="93">
        <f t="shared" si="8"/>
        <v>52.293357659611779</v>
      </c>
      <c r="Y37" s="90">
        <f t="shared" si="0"/>
        <v>0</v>
      </c>
      <c r="Z37" s="39">
        <f t="shared" si="9"/>
        <v>3.1854311581563932</v>
      </c>
      <c r="AA37" s="11">
        <v>84.169352157623123</v>
      </c>
      <c r="AB37" s="93">
        <v>11.293223881137797</v>
      </c>
      <c r="AC37" s="93">
        <v>31.000236702092703</v>
      </c>
      <c r="AD37" s="93">
        <f t="shared" si="10"/>
        <v>42.293460583230498</v>
      </c>
      <c r="AE37" s="93"/>
      <c r="AF37" s="39">
        <f t="shared" si="11"/>
        <v>2.8758144240809802</v>
      </c>
      <c r="AG37" s="93">
        <v>1.561209729824472</v>
      </c>
      <c r="AH37" s="93">
        <v>-0.14303116627554172</v>
      </c>
      <c r="AI37" s="93">
        <v>0.51176550062084825</v>
      </c>
      <c r="AJ37" s="93">
        <f t="shared" si="12"/>
        <v>0.36873433434530656</v>
      </c>
      <c r="AL37" s="39">
        <f t="shared" si="13"/>
        <v>3.0188955093647607</v>
      </c>
      <c r="AM37" s="93">
        <v>12.208732860551185</v>
      </c>
      <c r="AN37" s="93">
        <v>-2.5285459351532285</v>
      </c>
      <c r="AO37" s="93">
        <v>4.2289079044003817</v>
      </c>
      <c r="AP37" s="93">
        <f t="shared" si="14"/>
        <v>1.7003619692471532</v>
      </c>
      <c r="AQ37" s="106"/>
      <c r="AR37" s="39">
        <f t="shared" si="15"/>
        <v>3.2208226301510656</v>
      </c>
      <c r="AS37" s="93">
        <v>70.39940956724746</v>
      </c>
      <c r="AT37" s="93">
        <v>13.964800982566569</v>
      </c>
      <c r="AU37" s="93">
        <v>26.259563297071477</v>
      </c>
      <c r="AV37" s="93">
        <f t="shared" si="16"/>
        <v>40.224364279638046</v>
      </c>
      <c r="AW37" s="90">
        <f t="shared" si="17"/>
        <v>0</v>
      </c>
      <c r="AX37" s="39">
        <f t="shared" si="18"/>
        <v>2.7267134522667158</v>
      </c>
      <c r="AY37" s="11">
        <v>51.927409634180037</v>
      </c>
      <c r="AZ37" s="93">
        <v>-6.0856524291559531</v>
      </c>
      <c r="BA37" s="93">
        <v>16.029026927967443</v>
      </c>
      <c r="BB37" s="93">
        <f t="shared" si="19"/>
        <v>9.9433744988114903</v>
      </c>
      <c r="BC37" s="93"/>
      <c r="BD37" s="39">
        <f t="shared" si="20"/>
        <v>2.6091217857213467</v>
      </c>
      <c r="BE37" s="93">
        <v>2.7243795006504485</v>
      </c>
      <c r="BF37" s="93">
        <v>-1.1532037322243214</v>
      </c>
      <c r="BG37" s="93">
        <v>0.80036230481528592</v>
      </c>
      <c r="BH37" s="93">
        <f t="shared" si="21"/>
        <v>-0.35284142740903546</v>
      </c>
      <c r="BJ37" s="39">
        <f t="shared" si="22"/>
        <v>2.6299443244254261</v>
      </c>
      <c r="BK37" s="93">
        <v>15.359163285338358</v>
      </c>
      <c r="BL37" s="93">
        <v>-5.9558823651697637</v>
      </c>
      <c r="BM37" s="93">
        <v>4.5525435996448893</v>
      </c>
      <c r="BN37" s="93">
        <f t="shared" si="23"/>
        <v>-1.4033387655248744</v>
      </c>
      <c r="BO37" s="106"/>
      <c r="BP37" s="39">
        <f t="shared" si="24"/>
        <v>2.7797379262401334</v>
      </c>
      <c r="BQ37" s="93">
        <v>33.843866848191233</v>
      </c>
      <c r="BR37" s="93">
        <v>1.0234336682381324</v>
      </c>
      <c r="BS37" s="93">
        <v>10.676121023507269</v>
      </c>
      <c r="BT37" s="93">
        <f t="shared" si="25"/>
        <v>11.699554691745401</v>
      </c>
      <c r="BU37" s="90">
        <f t="shared" si="26"/>
        <v>0</v>
      </c>
      <c r="BV37" s="39">
        <f t="shared" si="27"/>
        <v>2.6792477491861755</v>
      </c>
      <c r="BW37" s="11">
        <v>0.56980182682378044</v>
      </c>
      <c r="BX37" s="93">
        <v>1.0313467302711063E-2</v>
      </c>
      <c r="BY37" s="93">
        <v>0.17244888032198771</v>
      </c>
      <c r="BZ37" s="93">
        <f t="shared" si="28"/>
        <v>0.18276234762469878</v>
      </c>
      <c r="CA37" s="93"/>
      <c r="CB37" s="39">
        <f t="shared" si="29"/>
        <v>2.8367883930212612</v>
      </c>
      <c r="CC37" s="93">
        <v>0.20099431010344829</v>
      </c>
      <c r="CD37" s="93">
        <v>-5.7907920738398629E-2</v>
      </c>
      <c r="CE37" s="93">
        <v>6.4875370800946713E-2</v>
      </c>
      <c r="CF37" s="93">
        <f t="shared" si="30"/>
        <v>6.9674500625480848E-3</v>
      </c>
      <c r="CH37" s="39">
        <f t="shared" si="31"/>
        <v>2.5723272891071236</v>
      </c>
      <c r="CI37" s="93">
        <v>0.24513927427280902</v>
      </c>
      <c r="CJ37" s="93">
        <v>6.3410914542454982E-2</v>
      </c>
      <c r="CK37" s="93">
        <v>7.0881032615846981E-2</v>
      </c>
      <c r="CL37" s="93">
        <f t="shared" si="32"/>
        <v>0.13429194715830195</v>
      </c>
      <c r="CM37" s="106"/>
      <c r="CN37" s="39">
        <f t="shared" si="33"/>
        <v>2.6322808837923928</v>
      </c>
      <c r="CO37" s="93">
        <v>0.12366824244752304</v>
      </c>
      <c r="CP37" s="93">
        <v>4.8104734986547104E-3</v>
      </c>
      <c r="CQ37" s="93">
        <v>3.6692476905194005E-2</v>
      </c>
      <c r="CR37" s="93">
        <f t="shared" si="34"/>
        <v>4.1502950403848715E-2</v>
      </c>
      <c r="CS37" s="90">
        <f t="shared" si="35"/>
        <v>0</v>
      </c>
      <c r="CT37" s="39">
        <f t="shared" si="36"/>
        <v>2.9441443737506567</v>
      </c>
      <c r="CU37" s="11">
        <v>1.4034363813727799</v>
      </c>
      <c r="CV37" s="93">
        <v>3.0115080715330519E-2</v>
      </c>
      <c r="CW37" s="93">
        <v>0.47246158918098952</v>
      </c>
      <c r="CX37" s="93">
        <f t="shared" si="37"/>
        <v>0.50257666989631999</v>
      </c>
      <c r="CY37" s="93"/>
      <c r="CZ37" s="39">
        <f t="shared" si="38"/>
        <v>2.9337226933785931</v>
      </c>
      <c r="DA37" s="93">
        <v>0.58963346367021108</v>
      </c>
      <c r="DB37" s="93">
        <v>-0.33448890789929281</v>
      </c>
      <c r="DC37" s="93">
        <v>0.19770038067521037</v>
      </c>
      <c r="DD37" s="93">
        <f t="shared" si="39"/>
        <v>-0.13678852722408244</v>
      </c>
      <c r="DF37" s="39">
        <f t="shared" si="40"/>
        <v>2.9566467111862726</v>
      </c>
      <c r="DG37" s="93">
        <v>0.49369586380885072</v>
      </c>
      <c r="DH37" s="93">
        <v>0.14442673208446449</v>
      </c>
      <c r="DI37" s="93">
        <v>0.16700272721144677</v>
      </c>
      <c r="DJ37" s="93">
        <f t="shared" si="41"/>
        <v>0.31142945929591126</v>
      </c>
      <c r="DK37" s="106"/>
      <c r="DL37" s="39">
        <f t="shared" si="42"/>
        <v>2.944039552625588</v>
      </c>
      <c r="DM37" s="93">
        <v>0.32010705389371841</v>
      </c>
      <c r="DN37" s="93">
        <v>0.22017725653015885</v>
      </c>
      <c r="DO37" s="93">
        <v>0.10775848129433241</v>
      </c>
      <c r="DP37" s="93">
        <f t="shared" si="43"/>
        <v>0.32793573782449126</v>
      </c>
    </row>
    <row r="38" spans="1:120" x14ac:dyDescent="0.3">
      <c r="A38" s="90">
        <f>name!B34</f>
        <v>0</v>
      </c>
      <c r="B38" s="39">
        <f t="shared" si="1"/>
        <v>2.8257154904523185</v>
      </c>
      <c r="C38" s="11">
        <v>26.81499999999993</v>
      </c>
      <c r="D38" s="93">
        <v>7.5369999999999937</v>
      </c>
      <c r="E38" s="93">
        <v>8.6169620938889029</v>
      </c>
      <c r="F38" s="93">
        <f t="shared" si="2"/>
        <v>16.153962093888897</v>
      </c>
      <c r="G38" s="93"/>
      <c r="H38" s="39">
        <f t="shared" si="3"/>
        <v>2.7595137651860391</v>
      </c>
      <c r="I38" s="93">
        <v>9.6078449399321268</v>
      </c>
      <c r="J38" s="93">
        <v>1.1945418938920125</v>
      </c>
      <c r="K38" s="93">
        <v>3.0059681556585636</v>
      </c>
      <c r="L38" s="93">
        <f t="shared" si="4"/>
        <v>4.2005100495505765</v>
      </c>
      <c r="N38" s="39">
        <f t="shared" si="5"/>
        <v>2.7341953758082793</v>
      </c>
      <c r="O38" s="93">
        <v>9.4171479489873615</v>
      </c>
      <c r="P38" s="93">
        <v>4.3258837135697759</v>
      </c>
      <c r="Q38" s="93">
        <v>2.9158776210009156</v>
      </c>
      <c r="R38" s="93">
        <f t="shared" si="6"/>
        <v>7.2417613345706915</v>
      </c>
      <c r="S38" s="106"/>
      <c r="T38" s="39">
        <f t="shared" si="7"/>
        <v>3.0157359045575483</v>
      </c>
      <c r="U38" s="93">
        <v>7.7900071110804436</v>
      </c>
      <c r="V38" s="93">
        <v>2.0165743925382058</v>
      </c>
      <c r="W38" s="93">
        <v>2.6951163172294232</v>
      </c>
      <c r="X38" s="93">
        <f t="shared" si="8"/>
        <v>4.7116907097676286</v>
      </c>
      <c r="Y38" s="90">
        <f t="shared" si="0"/>
        <v>0</v>
      </c>
      <c r="Z38" s="39">
        <f t="shared" si="9"/>
        <v>2.9620533437984875</v>
      </c>
      <c r="AA38" s="11">
        <v>14.110138053458403</v>
      </c>
      <c r="AB38" s="93">
        <v>3.9764107081502162</v>
      </c>
      <c r="AC38" s="93">
        <v>4.782961494721258</v>
      </c>
      <c r="AD38" s="93">
        <f t="shared" si="10"/>
        <v>8.7593722028714751</v>
      </c>
      <c r="AE38" s="93"/>
      <c r="AF38" s="39">
        <f t="shared" si="11"/>
        <v>3.0508290138248517</v>
      </c>
      <c r="AG38" s="93">
        <v>2.6202275395242833</v>
      </c>
      <c r="AH38" s="93">
        <v>0.73551593091479284</v>
      </c>
      <c r="AI38" s="93">
        <v>0.91855524570148372</v>
      </c>
      <c r="AJ38" s="93">
        <f t="shared" si="12"/>
        <v>1.6540711766162766</v>
      </c>
      <c r="AL38" s="39">
        <f t="shared" si="13"/>
        <v>2.7890299588156253</v>
      </c>
      <c r="AM38" s="93">
        <v>5.0463247440146821</v>
      </c>
      <c r="AN38" s="93">
        <v>1.6277822226639092</v>
      </c>
      <c r="AO38" s="93">
        <v>1.5978779135482615</v>
      </c>
      <c r="AP38" s="93">
        <f t="shared" si="14"/>
        <v>3.2256601362121708</v>
      </c>
      <c r="AQ38" s="106"/>
      <c r="AR38" s="39">
        <f t="shared" si="15"/>
        <v>3.0598777753332529</v>
      </c>
      <c r="AS38" s="93">
        <v>6.4435857699194363</v>
      </c>
      <c r="AT38" s="93">
        <v>1.6131125545715137</v>
      </c>
      <c r="AU38" s="93">
        <v>2.266528335471512</v>
      </c>
      <c r="AV38" s="93">
        <f t="shared" si="16"/>
        <v>3.8796408900430257</v>
      </c>
      <c r="AW38" s="90">
        <f t="shared" si="17"/>
        <v>0</v>
      </c>
      <c r="AX38" s="39">
        <f t="shared" si="18"/>
        <v>2.6178151526021098</v>
      </c>
      <c r="AY38" s="11">
        <v>7.6620754162084248</v>
      </c>
      <c r="AZ38" s="93">
        <v>4.1655399185813149</v>
      </c>
      <c r="BA38" s="93">
        <v>2.2593497360645594</v>
      </c>
      <c r="BB38" s="93">
        <f t="shared" si="19"/>
        <v>6.4248896546458738</v>
      </c>
      <c r="BC38" s="93"/>
      <c r="BD38" s="39">
        <f t="shared" si="20"/>
        <v>2.5608888175541633</v>
      </c>
      <c r="BE38" s="93">
        <v>3.3773615761310447</v>
      </c>
      <c r="BF38" s="93">
        <v>1.945929096670862</v>
      </c>
      <c r="BG38" s="93">
        <v>0.97169760077091438</v>
      </c>
      <c r="BH38" s="93">
        <f t="shared" si="21"/>
        <v>2.9176266974417766</v>
      </c>
      <c r="BJ38" s="39">
        <f t="shared" si="22"/>
        <v>2.6173073729337526</v>
      </c>
      <c r="BK38" s="93">
        <v>3.0704844325527145</v>
      </c>
      <c r="BL38" s="93">
        <v>1.9069257326115823</v>
      </c>
      <c r="BM38" s="93">
        <v>0.90521045953698565</v>
      </c>
      <c r="BN38" s="93">
        <f t="shared" si="23"/>
        <v>2.8121361921485679</v>
      </c>
      <c r="BO38" s="106"/>
      <c r="BP38" s="39">
        <f t="shared" si="24"/>
        <v>2.7759432511544002</v>
      </c>
      <c r="BQ38" s="93">
        <v>1.2142294075246651</v>
      </c>
      <c r="BR38" s="93">
        <v>0.31268508929887001</v>
      </c>
      <c r="BS38" s="93">
        <v>0.38244167575665899</v>
      </c>
      <c r="BT38" s="93">
        <f t="shared" si="25"/>
        <v>0.69512676505552906</v>
      </c>
      <c r="BU38" s="90">
        <f t="shared" si="26"/>
        <v>0</v>
      </c>
      <c r="BV38" s="39">
        <f t="shared" si="27"/>
        <v>2.414473236517467</v>
      </c>
      <c r="BW38" s="11">
        <v>1.7431494173157795</v>
      </c>
      <c r="BX38" s="93">
        <v>0.61248561781568023</v>
      </c>
      <c r="BY38" s="93">
        <v>0.46968017566679687</v>
      </c>
      <c r="BZ38" s="93">
        <f t="shared" si="28"/>
        <v>1.0821657934824771</v>
      </c>
      <c r="CA38" s="93"/>
      <c r="CB38" s="39">
        <f t="shared" si="29"/>
        <v>2.3405169267602499</v>
      </c>
      <c r="CC38" s="93">
        <v>1.2042700345147108</v>
      </c>
      <c r="CD38" s="93">
        <v>0.30980767932272152</v>
      </c>
      <c r="CE38" s="93">
        <v>0.31347892181305265</v>
      </c>
      <c r="CF38" s="93">
        <f t="shared" si="30"/>
        <v>0.62328660113577417</v>
      </c>
      <c r="CH38" s="39">
        <f t="shared" si="31"/>
        <v>2.5716323827520871</v>
      </c>
      <c r="CI38" s="93">
        <v>0.51030481802269645</v>
      </c>
      <c r="CJ38" s="93">
        <v>0.30519047738461286</v>
      </c>
      <c r="CK38" s="93">
        <v>0.14750801317099851</v>
      </c>
      <c r="CL38" s="93">
        <f t="shared" si="32"/>
        <v>0.4526984905556114</v>
      </c>
      <c r="CM38" s="106"/>
      <c r="CN38" s="39">
        <f t="shared" si="33"/>
        <v>2.6917180041436728</v>
      </c>
      <c r="CO38" s="93">
        <v>2.8574564778372218E-2</v>
      </c>
      <c r="CP38" s="93">
        <v>-2.5125388916541216E-3</v>
      </c>
      <c r="CQ38" s="93">
        <v>8.6932406827457485E-3</v>
      </c>
      <c r="CR38" s="93">
        <f t="shared" si="34"/>
        <v>6.1807017910916265E-3</v>
      </c>
      <c r="CS38" s="90">
        <f t="shared" si="35"/>
        <v>0</v>
      </c>
      <c r="CT38" s="39">
        <f t="shared" si="36"/>
        <v>2.930505677421591</v>
      </c>
      <c r="CU38" s="11">
        <v>3.299637113017325</v>
      </c>
      <c r="CV38" s="93">
        <v>-1.2174362445472158</v>
      </c>
      <c r="CW38" s="93">
        <v>1.1049706874362895</v>
      </c>
      <c r="CX38" s="93">
        <f t="shared" si="37"/>
        <v>-0.11246555711092632</v>
      </c>
      <c r="CY38" s="93"/>
      <c r="CZ38" s="39">
        <f t="shared" si="38"/>
        <v>2.919374445859102</v>
      </c>
      <c r="DA38" s="93">
        <v>2.4059857897620875</v>
      </c>
      <c r="DB38" s="93">
        <v>-1.7967108130163638</v>
      </c>
      <c r="DC38" s="93">
        <v>0.80223638737311287</v>
      </c>
      <c r="DD38" s="93">
        <f t="shared" si="39"/>
        <v>-0.99447442564325095</v>
      </c>
      <c r="DF38" s="39">
        <f t="shared" si="40"/>
        <v>2.937506325372885</v>
      </c>
      <c r="DG38" s="93">
        <v>0.79003395439726709</v>
      </c>
      <c r="DH38" s="93">
        <v>0.48598528090967197</v>
      </c>
      <c r="DI38" s="93">
        <v>0.26528123474467041</v>
      </c>
      <c r="DJ38" s="93">
        <f t="shared" si="41"/>
        <v>0.75126651565434233</v>
      </c>
      <c r="DK38" s="106"/>
      <c r="DL38" s="39">
        <f t="shared" si="42"/>
        <v>3.1336395897629599</v>
      </c>
      <c r="DM38" s="93">
        <v>0.10361736885797046</v>
      </c>
      <c r="DN38" s="93">
        <v>9.3289287559476172E-2</v>
      </c>
      <c r="DO38" s="93">
        <v>3.7453065318506049E-2</v>
      </c>
      <c r="DP38" s="93">
        <f t="shared" si="43"/>
        <v>0.13074235287798222</v>
      </c>
    </row>
    <row r="39" spans="1:120" x14ac:dyDescent="0.3">
      <c r="A39" s="90">
        <f>name!B35</f>
        <v>0</v>
      </c>
      <c r="B39" s="39">
        <f t="shared" si="1"/>
        <v>2.9211108203484271</v>
      </c>
      <c r="C39" s="11">
        <v>368.77606295320101</v>
      </c>
      <c r="D39" s="93">
        <v>84.761622092085645</v>
      </c>
      <c r="E39" s="93">
        <v>123.04528099391801</v>
      </c>
      <c r="F39" s="93">
        <f t="shared" si="2"/>
        <v>207.80690308600367</v>
      </c>
      <c r="G39" s="93"/>
      <c r="H39" s="39">
        <f t="shared" si="3"/>
        <v>2.7717249598931071</v>
      </c>
      <c r="I39" s="93">
        <v>32.837927119185728</v>
      </c>
      <c r="J39" s="93">
        <v>4.3237049506459986</v>
      </c>
      <c r="K39" s="93">
        <v>10.325129723137874</v>
      </c>
      <c r="L39" s="93">
        <f t="shared" si="4"/>
        <v>14.648834673783872</v>
      </c>
      <c r="N39" s="39">
        <f t="shared" si="5"/>
        <v>2.7656612940708758</v>
      </c>
      <c r="O39" s="93">
        <v>92.687769994006359</v>
      </c>
      <c r="P39" s="93">
        <v>19.710235186067983</v>
      </c>
      <c r="Q39" s="93">
        <v>29.071671128619347</v>
      </c>
      <c r="R39" s="93">
        <f t="shared" si="6"/>
        <v>48.781906314687333</v>
      </c>
      <c r="S39" s="106"/>
      <c r="T39" s="39">
        <f t="shared" si="7"/>
        <v>2.9997068221470746</v>
      </c>
      <c r="U39" s="93">
        <v>243.25036584000898</v>
      </c>
      <c r="V39" s="93">
        <v>60.727681955371672</v>
      </c>
      <c r="W39" s="93">
        <v>83.648480142160807</v>
      </c>
      <c r="X39" s="93">
        <f t="shared" si="8"/>
        <v>144.37616209753247</v>
      </c>
      <c r="Y39" s="90">
        <f t="shared" si="0"/>
        <v>0</v>
      </c>
      <c r="Z39" s="39">
        <f t="shared" si="9"/>
        <v>2.9792358460889012</v>
      </c>
      <c r="AA39" s="11">
        <v>289.04342517306725</v>
      </c>
      <c r="AB39" s="93">
        <v>66.861243610511465</v>
      </c>
      <c r="AC39" s="93">
        <v>98.624387051621596</v>
      </c>
      <c r="AD39" s="93">
        <f t="shared" si="10"/>
        <v>165.48563066213308</v>
      </c>
      <c r="AE39" s="93"/>
      <c r="AF39" s="39">
        <f t="shared" si="11"/>
        <v>2.8543057167711661</v>
      </c>
      <c r="AG39" s="93">
        <v>18.48236538854206</v>
      </c>
      <c r="AH39" s="93">
        <v>4.0960252972031945</v>
      </c>
      <c r="AI39" s="93">
        <v>6.0072701306023175</v>
      </c>
      <c r="AJ39" s="93">
        <f t="shared" si="12"/>
        <v>10.103295427805513</v>
      </c>
      <c r="AL39" s="39">
        <f t="shared" si="13"/>
        <v>2.8320236000210164</v>
      </c>
      <c r="AM39" s="93">
        <v>54.824002647872582</v>
      </c>
      <c r="AN39" s="93">
        <v>11.073850669427829</v>
      </c>
      <c r="AO39" s="93">
        <v>17.662068695155931</v>
      </c>
      <c r="AP39" s="93">
        <f t="shared" si="14"/>
        <v>28.735919364583758</v>
      </c>
      <c r="AQ39" s="106"/>
      <c r="AR39" s="39">
        <f t="shared" si="15"/>
        <v>3.0269513060553033</v>
      </c>
      <c r="AS39" s="93">
        <v>215.73705713665262</v>
      </c>
      <c r="AT39" s="93">
        <v>51.691367643880433</v>
      </c>
      <c r="AU39" s="93">
        <v>74.955048225863351</v>
      </c>
      <c r="AV39" s="93">
        <f t="shared" si="16"/>
        <v>126.64641586974378</v>
      </c>
      <c r="AW39" s="90">
        <f t="shared" si="17"/>
        <v>0</v>
      </c>
      <c r="AX39" s="39">
        <f t="shared" si="18"/>
        <v>2.6968748254135422</v>
      </c>
      <c r="AY39" s="11">
        <v>69.208761822942577</v>
      </c>
      <c r="AZ39" s="93">
        <v>17.364813908921313</v>
      </c>
      <c r="BA39" s="93">
        <v>21.100721406247324</v>
      </c>
      <c r="BB39" s="93">
        <f t="shared" si="19"/>
        <v>38.465535315168637</v>
      </c>
      <c r="BC39" s="93"/>
      <c r="BD39" s="39">
        <f t="shared" si="20"/>
        <v>2.6111478879813799</v>
      </c>
      <c r="BE39" s="93">
        <v>8.5643903989708114</v>
      </c>
      <c r="BF39" s="93">
        <v>2.5133510791903837</v>
      </c>
      <c r="BG39" s="93">
        <v>2.5182161637376153</v>
      </c>
      <c r="BH39" s="93">
        <f t="shared" si="21"/>
        <v>5.0315672429279985</v>
      </c>
      <c r="BJ39" s="39">
        <f t="shared" si="22"/>
        <v>2.646322122033018</v>
      </c>
      <c r="BK39" s="93">
        <v>33.438393051364635</v>
      </c>
      <c r="BL39" s="93">
        <v>5.8534198050841955</v>
      </c>
      <c r="BM39" s="93">
        <v>9.9805580750418521</v>
      </c>
      <c r="BN39" s="93">
        <f t="shared" si="23"/>
        <v>15.833977880126048</v>
      </c>
      <c r="BO39" s="106"/>
      <c r="BP39" s="39">
        <f t="shared" si="24"/>
        <v>2.7854120715325115</v>
      </c>
      <c r="BQ39" s="93">
        <v>27.205978372607124</v>
      </c>
      <c r="BR39" s="93">
        <v>8.9980430246467371</v>
      </c>
      <c r="BS39" s="93">
        <v>8.6019471674678574</v>
      </c>
      <c r="BT39" s="93">
        <f t="shared" si="25"/>
        <v>17.599990192114596</v>
      </c>
      <c r="BU39" s="90">
        <f t="shared" si="26"/>
        <v>0</v>
      </c>
      <c r="BV39" s="39">
        <f t="shared" si="27"/>
        <v>2.5118352045522041</v>
      </c>
      <c r="BW39" s="11">
        <v>3.8656530906609365</v>
      </c>
      <c r="BX39" s="93">
        <v>1.3479415735600602</v>
      </c>
      <c r="BY39" s="93">
        <v>1.08842630099127</v>
      </c>
      <c r="BZ39" s="93">
        <f t="shared" si="28"/>
        <v>2.4363678745513302</v>
      </c>
      <c r="CA39" s="93"/>
      <c r="CB39" s="39">
        <f t="shared" si="29"/>
        <v>2.415283547581426</v>
      </c>
      <c r="CC39" s="93">
        <v>1.9483930173046786</v>
      </c>
      <c r="CD39" s="93">
        <v>0.36760454555590533</v>
      </c>
      <c r="CE39" s="93">
        <v>0.52517741956185582</v>
      </c>
      <c r="CF39" s="93">
        <f t="shared" si="30"/>
        <v>0.89278196511776109</v>
      </c>
      <c r="CH39" s="39">
        <f t="shared" si="31"/>
        <v>2.60322084904967</v>
      </c>
      <c r="CI39" s="93">
        <v>1.6099297426070227</v>
      </c>
      <c r="CJ39" s="93">
        <v>0.94206574115965114</v>
      </c>
      <c r="CK39" s="93">
        <v>0.47176413259982158</v>
      </c>
      <c r="CL39" s="93">
        <f t="shared" si="32"/>
        <v>1.4138298737594728</v>
      </c>
      <c r="CM39" s="106"/>
      <c r="CN39" s="39">
        <f t="shared" si="33"/>
        <v>2.6399932413593952</v>
      </c>
      <c r="CO39" s="93">
        <v>0.30733033074923499</v>
      </c>
      <c r="CP39" s="93">
        <v>3.8271286844503753E-2</v>
      </c>
      <c r="CQ39" s="93">
        <v>9.148474882959258E-2</v>
      </c>
      <c r="CR39" s="93">
        <f t="shared" si="34"/>
        <v>0.12975603567409633</v>
      </c>
      <c r="CS39" s="90">
        <f t="shared" si="35"/>
        <v>0</v>
      </c>
      <c r="CT39" s="39">
        <f t="shared" si="36"/>
        <v>2.9328961439813339</v>
      </c>
      <c r="CU39" s="11">
        <v>6.6582228665302994</v>
      </c>
      <c r="CV39" s="93">
        <v>-0.81237700090717724</v>
      </c>
      <c r="CW39" s="93">
        <v>2.2317462350578254</v>
      </c>
      <c r="CX39" s="93">
        <f t="shared" si="37"/>
        <v>1.4193692341506483</v>
      </c>
      <c r="CY39" s="93"/>
      <c r="CZ39" s="39">
        <f t="shared" si="38"/>
        <v>2.9056172918835443</v>
      </c>
      <c r="DA39" s="93">
        <v>3.8427783143681786</v>
      </c>
      <c r="DB39" s="93">
        <v>-2.6532759713034841</v>
      </c>
      <c r="DC39" s="93">
        <v>1.2744660092360849</v>
      </c>
      <c r="DD39" s="93">
        <f t="shared" si="39"/>
        <v>-1.3788099620673993</v>
      </c>
      <c r="DF39" s="39">
        <f t="shared" si="40"/>
        <v>2.9700241427257357</v>
      </c>
      <c r="DG39" s="93">
        <v>2.8154445521621203</v>
      </c>
      <c r="DH39" s="93">
        <v>1.840898970396307</v>
      </c>
      <c r="DI39" s="93">
        <v>0.95728022582174022</v>
      </c>
      <c r="DJ39" s="93">
        <f t="shared" si="41"/>
        <v>2.7981791962180473</v>
      </c>
      <c r="DK39" s="106"/>
      <c r="DL39" s="39">
        <f t="shared" si="42"/>
        <v>0</v>
      </c>
      <c r="DM39" s="93">
        <v>0</v>
      </c>
      <c r="DN39" s="93">
        <v>0</v>
      </c>
      <c r="DO39" s="93">
        <v>0</v>
      </c>
      <c r="DP39" s="93">
        <f t="shared" si="43"/>
        <v>0</v>
      </c>
    </row>
    <row r="40" spans="1:120" x14ac:dyDescent="0.3">
      <c r="A40" s="90">
        <f>name!B36</f>
        <v>0</v>
      </c>
      <c r="B40" s="39">
        <f t="shared" si="1"/>
        <v>2.6156670918794589</v>
      </c>
      <c r="C40" s="11">
        <v>59.103598741996336</v>
      </c>
      <c r="D40" s="93">
        <v>10.931351340026987</v>
      </c>
      <c r="E40" s="93">
        <v>17.412118425033665</v>
      </c>
      <c r="F40" s="93">
        <f t="shared" si="2"/>
        <v>28.343469765060654</v>
      </c>
      <c r="G40" s="93"/>
      <c r="H40" s="39">
        <f t="shared" si="3"/>
        <v>2.9162137159606694</v>
      </c>
      <c r="I40" s="93">
        <v>7.0907516731659292</v>
      </c>
      <c r="J40" s="93">
        <v>1.9187056475680879</v>
      </c>
      <c r="K40" s="93">
        <v>2.3613912018919283</v>
      </c>
      <c r="L40" s="93">
        <f t="shared" si="4"/>
        <v>4.2800968494600165</v>
      </c>
      <c r="N40" s="39">
        <f t="shared" si="5"/>
        <v>2.7970408811855085</v>
      </c>
      <c r="O40" s="93">
        <v>18.191156691215305</v>
      </c>
      <c r="P40" s="93">
        <v>8.022238906562599</v>
      </c>
      <c r="Q40" s="93">
        <v>5.7787557135900602</v>
      </c>
      <c r="R40" s="93">
        <f t="shared" si="6"/>
        <v>13.800994620152659</v>
      </c>
      <c r="S40" s="106"/>
      <c r="T40" s="39">
        <f t="shared" si="7"/>
        <v>2.4523227678848292</v>
      </c>
      <c r="U40" s="93">
        <v>33.821690377615099</v>
      </c>
      <c r="V40" s="93">
        <v>0.99040678589629894</v>
      </c>
      <c r="W40" s="93">
        <v>9.2719715095516726</v>
      </c>
      <c r="X40" s="93">
        <f t="shared" si="8"/>
        <v>10.262378295447972</v>
      </c>
      <c r="Y40" s="90">
        <f t="shared" si="0"/>
        <v>0</v>
      </c>
      <c r="Z40" s="39">
        <f t="shared" si="9"/>
        <v>2.484409578072122</v>
      </c>
      <c r="AA40" s="11">
        <v>44.995646288457721</v>
      </c>
      <c r="AB40" s="93">
        <v>0.7961289357498379</v>
      </c>
      <c r="AC40" s="93">
        <v>12.515037145045216</v>
      </c>
      <c r="AD40" s="93">
        <f t="shared" si="10"/>
        <v>13.311166080795054</v>
      </c>
      <c r="AE40" s="93"/>
      <c r="AF40" s="39">
        <f t="shared" si="11"/>
        <v>2.5511173362787742</v>
      </c>
      <c r="AG40" s="93">
        <v>2.5406257516550319</v>
      </c>
      <c r="AH40" s="93">
        <v>0.3259075522826399</v>
      </c>
      <c r="AI40" s="93">
        <v>0.72784543832994497</v>
      </c>
      <c r="AJ40" s="93">
        <f t="shared" si="12"/>
        <v>1.0537529906125849</v>
      </c>
      <c r="AL40" s="39">
        <f t="shared" si="13"/>
        <v>2.6421330232528906</v>
      </c>
      <c r="AM40" s="93">
        <v>11.02643601927363</v>
      </c>
      <c r="AN40" s="93">
        <v>-0.16285332189494414</v>
      </c>
      <c r="AO40" s="93">
        <v>3.2852845394032442</v>
      </c>
      <c r="AP40" s="93">
        <f t="shared" si="14"/>
        <v>3.1224312175083</v>
      </c>
      <c r="AQ40" s="106"/>
      <c r="AR40" s="39">
        <f t="shared" si="15"/>
        <v>2.4231158731658597</v>
      </c>
      <c r="AS40" s="93">
        <v>31.42858451752906</v>
      </c>
      <c r="AT40" s="93">
        <v>0.63307470536214216</v>
      </c>
      <c r="AU40" s="93">
        <v>8.5019071673120266</v>
      </c>
      <c r="AV40" s="93">
        <f t="shared" si="16"/>
        <v>9.1349818726741692</v>
      </c>
      <c r="AW40" s="90">
        <f t="shared" si="17"/>
        <v>0</v>
      </c>
      <c r="AX40" s="39">
        <f t="shared" si="18"/>
        <v>2.675817093692956</v>
      </c>
      <c r="AY40" s="11">
        <v>5.0502971452334489</v>
      </c>
      <c r="AZ40" s="93">
        <v>0.88079477764455349</v>
      </c>
      <c r="BA40" s="93">
        <v>1.5262601500564552</v>
      </c>
      <c r="BB40" s="93">
        <f t="shared" si="19"/>
        <v>2.4070549277010089</v>
      </c>
      <c r="BC40" s="93"/>
      <c r="BD40" s="39">
        <f t="shared" si="20"/>
        <v>2.6176394496400412</v>
      </c>
      <c r="BE40" s="93">
        <v>0.56332121807974112</v>
      </c>
      <c r="BF40" s="93">
        <v>6.7884082218324399E-2</v>
      </c>
      <c r="BG40" s="93">
        <v>0.16609650552913752</v>
      </c>
      <c r="BH40" s="93">
        <f t="shared" si="21"/>
        <v>0.23398058774746192</v>
      </c>
      <c r="BJ40" s="39">
        <f t="shared" si="22"/>
        <v>2.6168774278747309</v>
      </c>
      <c r="BK40" s="93">
        <v>2.8001519292734307</v>
      </c>
      <c r="BL40" s="93">
        <v>0.57994096053429567</v>
      </c>
      <c r="BM40" s="93">
        <v>0.8253617461934516</v>
      </c>
      <c r="BN40" s="93">
        <f t="shared" si="23"/>
        <v>1.4053027067277473</v>
      </c>
      <c r="BO40" s="106"/>
      <c r="BP40" s="39">
        <f t="shared" si="24"/>
        <v>2.7921892804910087</v>
      </c>
      <c r="BQ40" s="93">
        <v>1.6868239978802764</v>
      </c>
      <c r="BR40" s="93">
        <v>0.23296973489193351</v>
      </c>
      <c r="BS40" s="93">
        <v>0.53480189833386615</v>
      </c>
      <c r="BT40" s="93">
        <f t="shared" si="25"/>
        <v>0.76777163322579967</v>
      </c>
      <c r="BU40" s="90">
        <f t="shared" si="26"/>
        <v>0</v>
      </c>
      <c r="BV40" s="39">
        <f t="shared" si="27"/>
        <v>3.3032406781256851</v>
      </c>
      <c r="BW40" s="11">
        <v>7.5734451294849583</v>
      </c>
      <c r="BX40" s="93">
        <v>9.9445968505973621</v>
      </c>
      <c r="BY40" s="93">
        <v>2.9082842096564585</v>
      </c>
      <c r="BZ40" s="93">
        <f t="shared" si="28"/>
        <v>12.852881060253821</v>
      </c>
      <c r="CA40" s="93"/>
      <c r="CB40" s="39">
        <f t="shared" si="29"/>
        <v>3.3739759257654933</v>
      </c>
      <c r="CC40" s="93">
        <v>2.7837448344029059</v>
      </c>
      <c r="CD40" s="93">
        <v>2.278224621913898</v>
      </c>
      <c r="CE40" s="93">
        <v>1.0954503018874868</v>
      </c>
      <c r="CF40" s="93">
        <f t="shared" si="30"/>
        <v>3.373674923801385</v>
      </c>
      <c r="CH40" s="39">
        <f t="shared" si="31"/>
        <v>3.3175945471649371</v>
      </c>
      <c r="CI40" s="93">
        <v>4.0993032054196004</v>
      </c>
      <c r="CJ40" s="93">
        <v>7.5439376770551005</v>
      </c>
      <c r="CK40" s="93">
        <v>1.582064592612429</v>
      </c>
      <c r="CL40" s="93">
        <f t="shared" si="32"/>
        <v>9.1260022696675289</v>
      </c>
      <c r="CM40" s="106"/>
      <c r="CN40" s="39">
        <f t="shared" si="33"/>
        <v>2.9257200385051085</v>
      </c>
      <c r="CO40" s="93">
        <v>0.69039708966245217</v>
      </c>
      <c r="CP40" s="93">
        <v>0.1224345516283623</v>
      </c>
      <c r="CQ40" s="93">
        <v>0.23076931515654289</v>
      </c>
      <c r="CR40" s="93">
        <f t="shared" si="34"/>
        <v>0.35320386678490517</v>
      </c>
      <c r="CS40" s="90">
        <f t="shared" si="35"/>
        <v>0</v>
      </c>
      <c r="CT40" s="39">
        <f t="shared" si="36"/>
        <v>2.7499012245735921</v>
      </c>
      <c r="CU40" s="11">
        <v>1.4842101788202127</v>
      </c>
      <c r="CV40" s="93">
        <v>-0.69016922396476632</v>
      </c>
      <c r="CW40" s="93">
        <v>0.46253692027553084</v>
      </c>
      <c r="CX40" s="93">
        <f t="shared" si="37"/>
        <v>-0.22763230368923548</v>
      </c>
      <c r="CY40" s="93"/>
      <c r="CZ40" s="39">
        <f t="shared" si="38"/>
        <v>2.7308671095884973</v>
      </c>
      <c r="DA40" s="93">
        <v>1.2030598690282495</v>
      </c>
      <c r="DB40" s="93">
        <v>-0.75331060884677437</v>
      </c>
      <c r="DC40" s="93">
        <v>0.37199895614535888</v>
      </c>
      <c r="DD40" s="93">
        <f t="shared" si="39"/>
        <v>-0.38131165270141548</v>
      </c>
      <c r="DF40" s="39">
        <f t="shared" si="40"/>
        <v>2.8492227911662393</v>
      </c>
      <c r="DG40" s="93">
        <v>0.26526553724864882</v>
      </c>
      <c r="DH40" s="93">
        <v>6.1213590868147122E-2</v>
      </c>
      <c r="DI40" s="93">
        <v>8.6044835380935866E-2</v>
      </c>
      <c r="DJ40" s="93">
        <f t="shared" si="41"/>
        <v>0.14725842624908297</v>
      </c>
      <c r="DK40" s="106"/>
      <c r="DL40" s="39">
        <f t="shared" si="42"/>
        <v>2.5221830839160519</v>
      </c>
      <c r="DM40" s="93">
        <v>1.5884772543314236E-2</v>
      </c>
      <c r="DN40" s="93">
        <v>1.9277940138610408E-3</v>
      </c>
      <c r="DO40" s="93">
        <v>4.4931287492361305E-3</v>
      </c>
      <c r="DP40" s="93">
        <f t="shared" si="43"/>
        <v>6.4209227630971713E-3</v>
      </c>
    </row>
    <row r="41" spans="1:120" x14ac:dyDescent="0.3">
      <c r="A41" s="90">
        <f>name!B37</f>
        <v>0</v>
      </c>
      <c r="B41" s="39">
        <f t="shared" si="1"/>
        <v>2.6219584526235851</v>
      </c>
      <c r="C41" s="11">
        <v>9.5199829855549893</v>
      </c>
      <c r="D41" s="93">
        <v>1.2808958930051737</v>
      </c>
      <c r="E41" s="93">
        <v>2.8121772094303279</v>
      </c>
      <c r="F41" s="93">
        <f t="shared" si="2"/>
        <v>4.0930731024355014</v>
      </c>
      <c r="G41" s="93"/>
      <c r="H41" s="39">
        <f t="shared" si="3"/>
        <v>2.4658199500782629</v>
      </c>
      <c r="I41" s="93">
        <v>0.81619786230081037</v>
      </c>
      <c r="J41" s="93">
        <v>0.237585138792064</v>
      </c>
      <c r="K41" s="93">
        <v>0.22512559128548079</v>
      </c>
      <c r="L41" s="93">
        <f t="shared" si="4"/>
        <v>0.46271073007754482</v>
      </c>
      <c r="N41" s="39">
        <f t="shared" si="5"/>
        <v>2.6634862095569645</v>
      </c>
      <c r="O41" s="93">
        <v>2.0711276399167695</v>
      </c>
      <c r="P41" s="93">
        <v>0.44161042637100889</v>
      </c>
      <c r="Q41" s="93">
        <v>0.62268224619976209</v>
      </c>
      <c r="R41" s="93">
        <f t="shared" si="6"/>
        <v>1.0642926725707711</v>
      </c>
      <c r="S41" s="106"/>
      <c r="T41" s="39">
        <f t="shared" si="7"/>
        <v>2.628048625603352</v>
      </c>
      <c r="U41" s="93">
        <v>6.6326574833374119</v>
      </c>
      <c r="V41" s="93">
        <v>0.60170032784210092</v>
      </c>
      <c r="W41" s="93">
        <v>1.9643693719450848</v>
      </c>
      <c r="X41" s="93">
        <f t="shared" si="8"/>
        <v>2.5660696997871857</v>
      </c>
      <c r="Y41" s="90">
        <f t="shared" si="0"/>
        <v>0</v>
      </c>
      <c r="Z41" s="39">
        <f t="shared" si="9"/>
        <v>2.6231625982701789</v>
      </c>
      <c r="AA41" s="11">
        <v>7.8178668346409639</v>
      </c>
      <c r="AB41" s="93">
        <v>0.85873650454850714</v>
      </c>
      <c r="AC41" s="93">
        <v>2.3105650783484251</v>
      </c>
      <c r="AD41" s="93">
        <f t="shared" si="10"/>
        <v>3.1693015828969324</v>
      </c>
      <c r="AE41" s="93"/>
      <c r="AF41" s="39">
        <f t="shared" si="11"/>
        <v>2.4078323200257934</v>
      </c>
      <c r="AG41" s="93">
        <v>0.42302413000387928</v>
      </c>
      <c r="AH41" s="93">
        <v>0.33710538828897285</v>
      </c>
      <c r="AI41" s="93">
        <v>0.11363296527709778</v>
      </c>
      <c r="AJ41" s="93">
        <f t="shared" si="12"/>
        <v>0.45073835356607062</v>
      </c>
      <c r="AL41" s="39">
        <f t="shared" si="13"/>
        <v>2.7256227849607129</v>
      </c>
      <c r="AM41" s="93">
        <v>1.0976496509709948</v>
      </c>
      <c r="AN41" s="93">
        <v>1.0248190705673856E-3</v>
      </c>
      <c r="AO41" s="93">
        <v>0.33867155545083699</v>
      </c>
      <c r="AP41" s="93">
        <f t="shared" si="14"/>
        <v>0.33969637452140439</v>
      </c>
      <c r="AQ41" s="106"/>
      <c r="AR41" s="39">
        <f t="shared" si="15"/>
        <v>2.6195513042214014</v>
      </c>
      <c r="AS41" s="93">
        <v>6.2971930536660903</v>
      </c>
      <c r="AT41" s="93">
        <v>0.52060629718896689</v>
      </c>
      <c r="AU41" s="93">
        <v>1.8582605576204905</v>
      </c>
      <c r="AV41" s="93">
        <f t="shared" si="16"/>
        <v>2.3788668548094574</v>
      </c>
      <c r="AW41" s="90">
        <f t="shared" si="17"/>
        <v>0</v>
      </c>
      <c r="AX41" s="39">
        <f t="shared" si="18"/>
        <v>2.6785764491621844</v>
      </c>
      <c r="AY41" s="11">
        <v>0.96217009441048162</v>
      </c>
      <c r="AZ41" s="93">
        <v>0.19915521880321993</v>
      </c>
      <c r="BA41" s="93">
        <v>0.29111606469515938</v>
      </c>
      <c r="BB41" s="93">
        <f t="shared" si="19"/>
        <v>0.49027128349837934</v>
      </c>
      <c r="BC41" s="93"/>
      <c r="BD41" s="39">
        <f t="shared" si="20"/>
        <v>2.6372048618027666</v>
      </c>
      <c r="BE41" s="93">
        <v>0.12023971653791019</v>
      </c>
      <c r="BF41" s="93">
        <v>4.7709276205164207E-3</v>
      </c>
      <c r="BG41" s="93">
        <v>3.5750049535400286E-2</v>
      </c>
      <c r="BH41" s="93">
        <f t="shared" si="21"/>
        <v>4.052097715591671E-2</v>
      </c>
      <c r="BJ41" s="39">
        <f t="shared" si="22"/>
        <v>2.6370907343919114</v>
      </c>
      <c r="BK41" s="93">
        <v>0.59167940202908853</v>
      </c>
      <c r="BL41" s="93">
        <v>0.15764745541630559</v>
      </c>
      <c r="BM41" s="93">
        <v>0.17591143975903728</v>
      </c>
      <c r="BN41" s="93">
        <f t="shared" si="23"/>
        <v>0.33355889517534287</v>
      </c>
      <c r="BO41" s="106"/>
      <c r="BP41" s="39">
        <f t="shared" si="24"/>
        <v>2.7957236007542408</v>
      </c>
      <c r="BQ41" s="93">
        <v>0.25025097584348277</v>
      </c>
      <c r="BR41" s="93">
        <v>3.6736835766397878E-2</v>
      </c>
      <c r="BS41" s="93">
        <v>7.945457540072183E-2</v>
      </c>
      <c r="BT41" s="93">
        <f t="shared" si="25"/>
        <v>0.1161914111671197</v>
      </c>
      <c r="BU41" s="90">
        <f t="shared" si="26"/>
        <v>0</v>
      </c>
      <c r="BV41" s="39">
        <f t="shared" si="27"/>
        <v>2.5508183926929773</v>
      </c>
      <c r="BW41" s="11">
        <v>0.50584005818189604</v>
      </c>
      <c r="BX41" s="93">
        <v>0.32238456824668921</v>
      </c>
      <c r="BY41" s="93">
        <v>0.1448954785012399</v>
      </c>
      <c r="BZ41" s="93">
        <f t="shared" si="28"/>
        <v>0.46728004674792911</v>
      </c>
      <c r="CA41" s="93"/>
      <c r="CB41" s="39">
        <f t="shared" si="29"/>
        <v>2.5367449852401247</v>
      </c>
      <c r="CC41" s="93">
        <v>9.1589573227019994E-2</v>
      </c>
      <c r="CD41" s="93">
        <v>-4.2808638867016524E-3</v>
      </c>
      <c r="CE41" s="93">
        <v>2.6073802070792795E-2</v>
      </c>
      <c r="CF41" s="93">
        <f t="shared" si="30"/>
        <v>2.1792938184091143E-2</v>
      </c>
      <c r="CH41" s="39">
        <f t="shared" si="31"/>
        <v>2.5204548632431933</v>
      </c>
      <c r="CI41" s="93">
        <v>0.33966700342259021</v>
      </c>
      <c r="CJ41" s="93">
        <v>0.28850292379729831</v>
      </c>
      <c r="CK41" s="93">
        <v>9.6003947721158597E-2</v>
      </c>
      <c r="CL41" s="93">
        <f t="shared" si="32"/>
        <v>0.38450687151845692</v>
      </c>
      <c r="CM41" s="106"/>
      <c r="CN41" s="39">
        <f t="shared" si="33"/>
        <v>2.7051379124598762</v>
      </c>
      <c r="CO41" s="93">
        <v>7.458348153228582E-2</v>
      </c>
      <c r="CP41" s="93">
        <v>3.8162508336092499E-2</v>
      </c>
      <c r="CQ41" s="93">
        <v>2.2817728709288516E-2</v>
      </c>
      <c r="CR41" s="93">
        <f t="shared" si="34"/>
        <v>6.0980237045381011E-2</v>
      </c>
      <c r="CS41" s="90">
        <f t="shared" si="35"/>
        <v>0</v>
      </c>
      <c r="CT41" s="39">
        <f t="shared" si="36"/>
        <v>2.5010642333554323</v>
      </c>
      <c r="CU41" s="11">
        <v>0.23410599832164924</v>
      </c>
      <c r="CV41" s="93">
        <v>-9.9380398593242464E-2</v>
      </c>
      <c r="CW41" s="93">
        <v>6.5600587885503062E-2</v>
      </c>
      <c r="CX41" s="93">
        <f t="shared" si="37"/>
        <v>-3.3779810707739402E-2</v>
      </c>
      <c r="CY41" s="93"/>
      <c r="CZ41" s="39">
        <f t="shared" si="38"/>
        <v>2.4503054838948435</v>
      </c>
      <c r="DA41" s="93">
        <v>0.18134444253200094</v>
      </c>
      <c r="DB41" s="93">
        <v>-0.10001031323072365</v>
      </c>
      <c r="DC41" s="93">
        <v>4.9668774402189947E-2</v>
      </c>
      <c r="DD41" s="93">
        <f t="shared" si="39"/>
        <v>-5.0341538828533705E-2</v>
      </c>
      <c r="DF41" s="39">
        <f t="shared" si="40"/>
        <v>2.5559091493363884</v>
      </c>
      <c r="DG41" s="93">
        <v>4.2131583494095966E-2</v>
      </c>
      <c r="DH41" s="93">
        <v>-5.5647719131624168E-3</v>
      </c>
      <c r="DI41" s="93">
        <v>1.2095303268729192E-2</v>
      </c>
      <c r="DJ41" s="93">
        <f t="shared" si="41"/>
        <v>6.5305313555667748E-3</v>
      </c>
      <c r="DK41" s="106"/>
      <c r="DL41" s="39">
        <f t="shared" si="42"/>
        <v>3.1295401767871711</v>
      </c>
      <c r="DM41" s="93">
        <v>1.0629972295552376E-2</v>
      </c>
      <c r="DN41" s="93">
        <v>6.1946865506436119E-3</v>
      </c>
      <c r="DO41" s="93">
        <v>3.8365102145839292E-3</v>
      </c>
      <c r="DP41" s="93">
        <f t="shared" si="43"/>
        <v>1.003119676522754E-2</v>
      </c>
    </row>
    <row r="42" spans="1:120" x14ac:dyDescent="0.3">
      <c r="A42" s="90">
        <f>name!B38</f>
        <v>0</v>
      </c>
      <c r="B42" s="39">
        <f t="shared" si="1"/>
        <v>2.7659066814350819</v>
      </c>
      <c r="C42" s="11">
        <v>41.327917877507424</v>
      </c>
      <c r="D42" s="93">
        <v>5.5428905332373821</v>
      </c>
      <c r="E42" s="93">
        <v>12.963865628503205</v>
      </c>
      <c r="F42" s="93">
        <f t="shared" si="2"/>
        <v>18.506756161740586</v>
      </c>
      <c r="G42" s="93"/>
      <c r="H42" s="39">
        <f t="shared" si="3"/>
        <v>2.5883895459776651</v>
      </c>
      <c r="I42" s="93">
        <v>6.6477909633603698</v>
      </c>
      <c r="J42" s="93">
        <v>0.46903863547743174</v>
      </c>
      <c r="K42" s="93">
        <v>1.9356115118566004</v>
      </c>
      <c r="L42" s="93">
        <f t="shared" si="4"/>
        <v>2.4046501473340323</v>
      </c>
      <c r="N42" s="39">
        <f t="shared" si="5"/>
        <v>2.6369495607399429</v>
      </c>
      <c r="O42" s="93">
        <v>13.326579267199337</v>
      </c>
      <c r="P42" s="93">
        <v>1.877839557749986</v>
      </c>
      <c r="Q42" s="93">
        <v>3.9618702925814446</v>
      </c>
      <c r="R42" s="93">
        <f t="shared" si="6"/>
        <v>5.8397098503314311</v>
      </c>
      <c r="S42" s="106"/>
      <c r="T42" s="39">
        <f t="shared" si="7"/>
        <v>2.8999820012332478</v>
      </c>
      <c r="U42" s="93">
        <v>21.35354764694771</v>
      </c>
      <c r="V42" s="93">
        <v>3.1960123400099647</v>
      </c>
      <c r="W42" s="93">
        <v>7.0663838240651593</v>
      </c>
      <c r="X42" s="93">
        <f t="shared" si="8"/>
        <v>10.262396164075124</v>
      </c>
      <c r="Y42" s="90">
        <f t="shared" si="0"/>
        <v>0</v>
      </c>
      <c r="Z42" s="39">
        <f t="shared" si="9"/>
        <v>2.8515281797403702</v>
      </c>
      <c r="AA42" s="11">
        <v>28.851400371214467</v>
      </c>
      <c r="AB42" s="93">
        <v>2.9117941769720685</v>
      </c>
      <c r="AC42" s="93">
        <v>9.3671654902328125</v>
      </c>
      <c r="AD42" s="93">
        <f t="shared" si="10"/>
        <v>12.27895966720488</v>
      </c>
      <c r="AE42" s="93"/>
      <c r="AF42" s="39">
        <f t="shared" si="11"/>
        <v>2.7312978006911237</v>
      </c>
      <c r="AG42" s="93">
        <v>2.3074493769266002</v>
      </c>
      <c r="AH42" s="93">
        <v>8.8154748807107802E-2</v>
      </c>
      <c r="AI42" s="93">
        <v>0.7136146359797787</v>
      </c>
      <c r="AJ42" s="93">
        <f t="shared" si="12"/>
        <v>0.80176938478688653</v>
      </c>
      <c r="AL42" s="39">
        <f t="shared" si="13"/>
        <v>2.6978647455589311</v>
      </c>
      <c r="AM42" s="93">
        <v>7.996889456722271</v>
      </c>
      <c r="AN42" s="93">
        <v>0.23978644928801202</v>
      </c>
      <c r="AO42" s="93">
        <v>2.4391384738532835</v>
      </c>
      <c r="AP42" s="93">
        <f t="shared" si="14"/>
        <v>2.6789249231412957</v>
      </c>
      <c r="AQ42" s="106"/>
      <c r="AR42" s="39">
        <f t="shared" si="15"/>
        <v>2.9319352041224489</v>
      </c>
      <c r="AS42" s="93">
        <v>18.547061537565593</v>
      </c>
      <c r="AT42" s="93">
        <v>2.5838529788769486</v>
      </c>
      <c r="AU42" s="93">
        <v>6.2144123803997511</v>
      </c>
      <c r="AV42" s="93">
        <f t="shared" si="16"/>
        <v>8.7982653592766997</v>
      </c>
      <c r="AW42" s="90">
        <f t="shared" si="17"/>
        <v>0</v>
      </c>
      <c r="AX42" s="39">
        <f t="shared" si="18"/>
        <v>2.5785306073743852</v>
      </c>
      <c r="AY42" s="11">
        <v>6.5037812929444394</v>
      </c>
      <c r="AZ42" s="93">
        <v>1.0757665767010658</v>
      </c>
      <c r="BA42" s="93">
        <v>1.8856141436015186</v>
      </c>
      <c r="BB42" s="93">
        <f t="shared" si="19"/>
        <v>2.9613807203025844</v>
      </c>
      <c r="BC42" s="93"/>
      <c r="BD42" s="39">
        <f t="shared" si="20"/>
        <v>2.4818332070334348</v>
      </c>
      <c r="BE42" s="93">
        <v>1.8237775728680967</v>
      </c>
      <c r="BF42" s="93">
        <v>0.40035255591572777</v>
      </c>
      <c r="BG42" s="93">
        <v>0.50667745232067052</v>
      </c>
      <c r="BH42" s="93">
        <f t="shared" si="21"/>
        <v>0.90703000823639823</v>
      </c>
      <c r="BJ42" s="39">
        <f t="shared" si="22"/>
        <v>2.5440839893432932</v>
      </c>
      <c r="BK42" s="93">
        <v>2.6329814450846953</v>
      </c>
      <c r="BL42" s="93">
        <v>0.36645710610714699</v>
      </c>
      <c r="BM42" s="93">
        <v>0.75198133827523139</v>
      </c>
      <c r="BN42" s="93">
        <f t="shared" si="23"/>
        <v>1.1184384443823783</v>
      </c>
      <c r="BO42" s="106"/>
      <c r="BP42" s="39">
        <f t="shared" si="24"/>
        <v>2.7078220766586059</v>
      </c>
      <c r="BQ42" s="93">
        <v>2.0470222749916469</v>
      </c>
      <c r="BR42" s="93">
        <v>0.30895691467819097</v>
      </c>
      <c r="BS42" s="93">
        <v>0.62695535300561678</v>
      </c>
      <c r="BT42" s="93">
        <f t="shared" si="25"/>
        <v>0.93591226768380775</v>
      </c>
      <c r="BU42" s="90">
        <f t="shared" si="26"/>
        <v>0</v>
      </c>
      <c r="BV42" s="39">
        <f t="shared" si="27"/>
        <v>2.4352549002091939</v>
      </c>
      <c r="BW42" s="11">
        <v>3.9926676757116213</v>
      </c>
      <c r="BX42" s="93">
        <v>1.3942061283114771</v>
      </c>
      <c r="BY42" s="93">
        <v>1.0860923018676825</v>
      </c>
      <c r="BZ42" s="93">
        <f t="shared" si="28"/>
        <v>2.4802984301791593</v>
      </c>
      <c r="CA42" s="93"/>
      <c r="CB42" s="39">
        <f t="shared" si="29"/>
        <v>2.3820319758712349</v>
      </c>
      <c r="CC42" s="93">
        <v>1.5804510737327937</v>
      </c>
      <c r="CD42" s="93">
        <v>0.54763313458440666</v>
      </c>
      <c r="CE42" s="93">
        <v>0.41949600254904829</v>
      </c>
      <c r="CF42" s="93">
        <f t="shared" si="30"/>
        <v>0.96712913713345494</v>
      </c>
      <c r="CH42" s="39">
        <f t="shared" si="31"/>
        <v>2.4397967914120189</v>
      </c>
      <c r="CI42" s="93">
        <v>1.8177774091588061</v>
      </c>
      <c r="CJ42" s="93">
        <v>0.71493905267938562</v>
      </c>
      <c r="CK42" s="93">
        <v>0.49550036268130071</v>
      </c>
      <c r="CL42" s="93">
        <f t="shared" si="32"/>
        <v>1.2104394153606863</v>
      </c>
      <c r="CM42" s="106"/>
      <c r="CN42" s="39">
        <f t="shared" si="33"/>
        <v>2.5618317898631338</v>
      </c>
      <c r="CO42" s="93">
        <v>0.59443919282002144</v>
      </c>
      <c r="CP42" s="93">
        <v>0.13163394104768467</v>
      </c>
      <c r="CQ42" s="93">
        <v>0.1710959366373333</v>
      </c>
      <c r="CR42" s="93">
        <f t="shared" si="34"/>
        <v>0.30272987768501797</v>
      </c>
      <c r="CS42" s="90">
        <f t="shared" si="35"/>
        <v>0</v>
      </c>
      <c r="CT42" s="39">
        <f t="shared" si="36"/>
        <v>2.7812246199814927</v>
      </c>
      <c r="CU42" s="11">
        <v>1.9800685376368916</v>
      </c>
      <c r="CV42" s="93">
        <v>0.16112365125277109</v>
      </c>
      <c r="CW42" s="93">
        <v>0.62499369280119021</v>
      </c>
      <c r="CX42" s="93">
        <f t="shared" si="37"/>
        <v>0.78611734405396128</v>
      </c>
      <c r="CY42" s="93"/>
      <c r="CZ42" s="39">
        <f t="shared" si="38"/>
        <v>2.7841153979467625</v>
      </c>
      <c r="DA42" s="93">
        <v>0.93611293983287924</v>
      </c>
      <c r="DB42" s="93">
        <v>-0.56710180382981035</v>
      </c>
      <c r="DC42" s="93">
        <v>0.29582342100710285</v>
      </c>
      <c r="DD42" s="93">
        <f t="shared" si="39"/>
        <v>-0.2712783828227075</v>
      </c>
      <c r="DF42" s="39">
        <f t="shared" si="40"/>
        <v>2.7618510900035087</v>
      </c>
      <c r="DG42" s="93">
        <v>0.87893095623356221</v>
      </c>
      <c r="DH42" s="93">
        <v>0.55665694967544133</v>
      </c>
      <c r="DI42" s="93">
        <v>0.275250117771629</v>
      </c>
      <c r="DJ42" s="93">
        <f t="shared" si="41"/>
        <v>0.83190706744707033</v>
      </c>
      <c r="DK42" s="106"/>
      <c r="DL42" s="39">
        <f t="shared" si="42"/>
        <v>2.8675941660104565</v>
      </c>
      <c r="DM42" s="93">
        <v>0.16502464157045005</v>
      </c>
      <c r="DN42" s="93">
        <v>0.17156850540714014</v>
      </c>
      <c r="DO42" s="93">
        <v>5.3920154022458346E-2</v>
      </c>
      <c r="DP42" s="93">
        <f t="shared" si="43"/>
        <v>0.22548865942959848</v>
      </c>
    </row>
    <row r="43" spans="1:120" x14ac:dyDescent="0.3">
      <c r="A43" s="90">
        <f>name!B39</f>
        <v>0</v>
      </c>
      <c r="B43" s="39">
        <f t="shared" si="1"/>
        <v>2.964323205894126</v>
      </c>
      <c r="C43" s="11">
        <v>366.60612974536059</v>
      </c>
      <c r="D43" s="93">
        <v>59.276568078745363</v>
      </c>
      <c r="E43" s="93">
        <v>124.37795424368858</v>
      </c>
      <c r="F43" s="93">
        <f t="shared" si="2"/>
        <v>183.65452232243393</v>
      </c>
      <c r="G43" s="93"/>
      <c r="H43" s="39">
        <f t="shared" si="3"/>
        <v>2.8629023744369153</v>
      </c>
      <c r="I43" s="93">
        <v>60.29612584772859</v>
      </c>
      <c r="J43" s="93">
        <v>6.2659503707421011</v>
      </c>
      <c r="K43" s="93">
        <v>19.664677844879822</v>
      </c>
      <c r="L43" s="93">
        <f t="shared" si="4"/>
        <v>25.930628215621923</v>
      </c>
      <c r="N43" s="39">
        <f t="shared" si="5"/>
        <v>2.910542307155306</v>
      </c>
      <c r="O43" s="93">
        <v>109.06467888707947</v>
      </c>
      <c r="P43" s="93">
        <v>29.524424023904043</v>
      </c>
      <c r="Q43" s="93">
        <v>36.241068661330416</v>
      </c>
      <c r="R43" s="93">
        <f t="shared" si="6"/>
        <v>65.765492685234463</v>
      </c>
      <c r="S43" s="106"/>
      <c r="T43" s="39">
        <f t="shared" si="7"/>
        <v>3.0246977932693042</v>
      </c>
      <c r="U43" s="93">
        <v>197.24532501055251</v>
      </c>
      <c r="V43" s="93">
        <v>23.486193684099216</v>
      </c>
      <c r="W43" s="93">
        <v>68.472207737478328</v>
      </c>
      <c r="X43" s="93">
        <f t="shared" si="8"/>
        <v>91.958401421577548</v>
      </c>
      <c r="Y43" s="90">
        <f t="shared" si="0"/>
        <v>0</v>
      </c>
      <c r="Z43" s="39">
        <f t="shared" si="9"/>
        <v>3.067775138448714</v>
      </c>
      <c r="AA43" s="11">
        <v>128.40645062723203</v>
      </c>
      <c r="AB43" s="93">
        <v>11.85508119620458</v>
      </c>
      <c r="AC43" s="93">
        <v>45.299963238210964</v>
      </c>
      <c r="AD43" s="93">
        <f t="shared" si="10"/>
        <v>57.155044434415544</v>
      </c>
      <c r="AE43" s="93"/>
      <c r="AF43" s="39">
        <f t="shared" si="11"/>
        <v>2.9973382412868288</v>
      </c>
      <c r="AG43" s="93">
        <v>2.355165456214976</v>
      </c>
      <c r="AH43" s="93">
        <v>0.9637811048672672</v>
      </c>
      <c r="AI43" s="93">
        <v>0.80916212463532233</v>
      </c>
      <c r="AJ43" s="93">
        <f t="shared" si="12"/>
        <v>1.7729432295025895</v>
      </c>
      <c r="AL43" s="39">
        <f t="shared" si="13"/>
        <v>2.9883483560949609</v>
      </c>
      <c r="AM43" s="93">
        <v>12.753554522103531</v>
      </c>
      <c r="AN43" s="93">
        <v>-1.189686119892166</v>
      </c>
      <c r="AO43" s="93">
        <v>4.3667772486974572</v>
      </c>
      <c r="AP43" s="93">
        <f t="shared" si="14"/>
        <v>3.1770911288052912</v>
      </c>
      <c r="AQ43" s="106"/>
      <c r="AR43" s="39">
        <f t="shared" si="15"/>
        <v>3.0781400233887757</v>
      </c>
      <c r="AS43" s="93">
        <v>113.29773064891354</v>
      </c>
      <c r="AT43" s="93">
        <v>12.080986211229478</v>
      </c>
      <c r="AU43" s="93">
        <v>40.124023864878183</v>
      </c>
      <c r="AV43" s="93">
        <f t="shared" si="16"/>
        <v>52.205010076107662</v>
      </c>
      <c r="AW43" s="90">
        <f t="shared" si="17"/>
        <v>0</v>
      </c>
      <c r="AX43" s="39">
        <f t="shared" si="18"/>
        <v>2.6535599438878954</v>
      </c>
      <c r="AY43" s="11">
        <v>85.340941379457291</v>
      </c>
      <c r="AZ43" s="93">
        <v>21.654635101028848</v>
      </c>
      <c r="BA43" s="93">
        <v>25.550385149909442</v>
      </c>
      <c r="BB43" s="93">
        <f t="shared" si="19"/>
        <v>47.20502025093829</v>
      </c>
      <c r="BC43" s="93"/>
      <c r="BD43" s="39">
        <f t="shared" si="20"/>
        <v>2.5369749451499946</v>
      </c>
      <c r="BE43" s="93">
        <v>7.9924706336224665</v>
      </c>
      <c r="BF43" s="93">
        <v>4.6323396613046155</v>
      </c>
      <c r="BG43" s="93">
        <v>2.275534005888348</v>
      </c>
      <c r="BH43" s="93">
        <f t="shared" si="21"/>
        <v>6.9078736671929635</v>
      </c>
      <c r="BJ43" s="39">
        <f t="shared" si="22"/>
        <v>2.5624762152512082</v>
      </c>
      <c r="BK43" s="93">
        <v>27.005268580631853</v>
      </c>
      <c r="BL43" s="93">
        <v>10.223864247757708</v>
      </c>
      <c r="BM43" s="93">
        <v>7.7750437532035859</v>
      </c>
      <c r="BN43" s="93">
        <f t="shared" si="23"/>
        <v>17.998908000961293</v>
      </c>
      <c r="BO43" s="106"/>
      <c r="BP43" s="39">
        <f t="shared" si="24"/>
        <v>2.7204430066313234</v>
      </c>
      <c r="BQ43" s="93">
        <v>50.343202165202975</v>
      </c>
      <c r="BR43" s="93">
        <v>6.7984311919665235</v>
      </c>
      <c r="BS43" s="93">
        <v>15.499807390817509</v>
      </c>
      <c r="BT43" s="93">
        <f t="shared" si="25"/>
        <v>22.29823858278403</v>
      </c>
      <c r="BU43" s="90">
        <f t="shared" si="26"/>
        <v>0</v>
      </c>
      <c r="BV43" s="39">
        <f t="shared" si="27"/>
        <v>3.5825178625260357</v>
      </c>
      <c r="BW43" s="11">
        <v>28.783589754031564</v>
      </c>
      <c r="BX43" s="93">
        <v>9.0490542940407099</v>
      </c>
      <c r="BY43" s="93">
        <v>12.143380105807763</v>
      </c>
      <c r="BZ43" s="93">
        <f t="shared" si="28"/>
        <v>21.192434399848473</v>
      </c>
      <c r="CA43" s="93"/>
      <c r="CB43" s="39">
        <f t="shared" si="29"/>
        <v>3.2872271423685318</v>
      </c>
      <c r="CC43" s="93">
        <v>6.0845432642854735</v>
      </c>
      <c r="CD43" s="93">
        <v>4.4133646639922466</v>
      </c>
      <c r="CE43" s="93">
        <v>2.3234851029341566</v>
      </c>
      <c r="CF43" s="93">
        <f t="shared" si="30"/>
        <v>6.7368497669264027</v>
      </c>
      <c r="CH43" s="39">
        <f t="shared" si="31"/>
        <v>3.5081488727088939</v>
      </c>
      <c r="CI43" s="93">
        <v>13.730317697403695</v>
      </c>
      <c r="CJ43" s="93">
        <v>4.0524808534125691</v>
      </c>
      <c r="CK43" s="93">
        <v>5.6529058299467811</v>
      </c>
      <c r="CL43" s="93">
        <f t="shared" si="32"/>
        <v>9.7053866833593503</v>
      </c>
      <c r="CM43" s="106"/>
      <c r="CN43" s="39">
        <f t="shared" si="33"/>
        <v>3.8896522062592975</v>
      </c>
      <c r="CO43" s="93">
        <v>8.9687287923423913</v>
      </c>
      <c r="CP43" s="93">
        <v>0.58320877663589499</v>
      </c>
      <c r="CQ43" s="93">
        <v>4.1669891729268249</v>
      </c>
      <c r="CR43" s="93">
        <f t="shared" si="34"/>
        <v>4.75019794956272</v>
      </c>
      <c r="CS43" s="90">
        <f t="shared" si="35"/>
        <v>0</v>
      </c>
      <c r="CT43" s="39">
        <f t="shared" si="36"/>
        <v>2.9202085195014771</v>
      </c>
      <c r="CU43" s="11">
        <v>124.07514798463968</v>
      </c>
      <c r="CV43" s="93">
        <v>16.717797487471227</v>
      </c>
      <c r="CW43" s="93">
        <v>41.384225749760404</v>
      </c>
      <c r="CX43" s="93">
        <f t="shared" si="37"/>
        <v>58.102023237231634</v>
      </c>
      <c r="CY43" s="93"/>
      <c r="CZ43" s="39">
        <f t="shared" si="38"/>
        <v>2.8542214955234568</v>
      </c>
      <c r="DA43" s="93">
        <v>43.863946493605674</v>
      </c>
      <c r="DB43" s="93">
        <v>-3.7435350594220274</v>
      </c>
      <c r="DC43" s="93">
        <v>14.256496611421996</v>
      </c>
      <c r="DD43" s="93">
        <f t="shared" si="39"/>
        <v>10.512961551999968</v>
      </c>
      <c r="DF43" s="39">
        <f t="shared" si="40"/>
        <v>2.9076458934621296</v>
      </c>
      <c r="DG43" s="93">
        <v>55.575538086940398</v>
      </c>
      <c r="DH43" s="93">
        <v>16.43776504262593</v>
      </c>
      <c r="DI43" s="93">
        <v>18.446341829482595</v>
      </c>
      <c r="DJ43" s="93">
        <f t="shared" si="41"/>
        <v>34.884106872108525</v>
      </c>
      <c r="DK43" s="106"/>
      <c r="DL43" s="39">
        <f t="shared" si="42"/>
        <v>3.0647677202802814</v>
      </c>
      <c r="DM43" s="93">
        <v>24.635663404093616</v>
      </c>
      <c r="DN43" s="93">
        <v>4.0235675042673211</v>
      </c>
      <c r="DO43" s="93">
        <v>8.6813873088558129</v>
      </c>
      <c r="DP43" s="93">
        <f t="shared" si="43"/>
        <v>12.704954813123134</v>
      </c>
    </row>
    <row r="44" spans="1:120" x14ac:dyDescent="0.3">
      <c r="A44" s="90">
        <f>name!B40</f>
        <v>0</v>
      </c>
      <c r="B44" s="39">
        <f t="shared" si="1"/>
        <v>2.8357475835989687</v>
      </c>
      <c r="C44" s="11">
        <v>393.35784380285861</v>
      </c>
      <c r="D44" s="93">
        <v>-15.846501627171115</v>
      </c>
      <c r="E44" s="93">
        <v>126.91230773625192</v>
      </c>
      <c r="F44" s="93">
        <f t="shared" si="2"/>
        <v>111.0658061090808</v>
      </c>
      <c r="G44" s="93"/>
      <c r="H44" s="39">
        <f t="shared" si="3"/>
        <v>2.7516949963118487</v>
      </c>
      <c r="I44" s="93">
        <v>59.61461044933764</v>
      </c>
      <c r="J44" s="93">
        <v>-20.900434984544614</v>
      </c>
      <c r="K44" s="93">
        <v>18.591854917813837</v>
      </c>
      <c r="L44" s="93">
        <f t="shared" si="4"/>
        <v>-2.3085800667307765</v>
      </c>
      <c r="N44" s="39">
        <f t="shared" si="5"/>
        <v>2.7239499243143506</v>
      </c>
      <c r="O44" s="93">
        <v>173.18501469973404</v>
      </c>
      <c r="P44" s="93">
        <v>-1.7972543490150141</v>
      </c>
      <c r="Q44" s="93">
        <v>53.398033728841654</v>
      </c>
      <c r="R44" s="93">
        <f t="shared" si="6"/>
        <v>51.600779379826641</v>
      </c>
      <c r="S44" s="106"/>
      <c r="T44" s="39">
        <f t="shared" si="7"/>
        <v>2.9858531510617459</v>
      </c>
      <c r="U44" s="93">
        <v>160.55821865378698</v>
      </c>
      <c r="V44" s="93">
        <v>6.8511877063885063</v>
      </c>
      <c r="W44" s="93">
        <v>54.922419089596445</v>
      </c>
      <c r="X44" s="93">
        <f t="shared" si="8"/>
        <v>61.773606795984954</v>
      </c>
      <c r="Y44" s="90">
        <f t="shared" si="0"/>
        <v>0</v>
      </c>
      <c r="Z44" s="39">
        <f t="shared" si="9"/>
        <v>2.9519471351278748</v>
      </c>
      <c r="AA44" s="11">
        <v>193.55143168230654</v>
      </c>
      <c r="AB44" s="93">
        <v>39.567328495072999</v>
      </c>
      <c r="AC44" s="93">
        <v>65.354521617917186</v>
      </c>
      <c r="AD44" s="93">
        <f t="shared" si="10"/>
        <v>104.92185011299019</v>
      </c>
      <c r="AE44" s="93"/>
      <c r="AF44" s="39">
        <f t="shared" si="11"/>
        <v>2.732765888214872</v>
      </c>
      <c r="AG44" s="93">
        <v>8.9496893108903919</v>
      </c>
      <c r="AH44" s="93">
        <v>-0.38086275940552278</v>
      </c>
      <c r="AI44" s="93">
        <v>2.7695053307141997</v>
      </c>
      <c r="AJ44" s="93">
        <f t="shared" si="12"/>
        <v>2.3886425713086767</v>
      </c>
      <c r="AL44" s="39">
        <f t="shared" si="13"/>
        <v>2.7942517550996859</v>
      </c>
      <c r="AM44" s="93">
        <v>63.890128782218703</v>
      </c>
      <c r="AN44" s="93">
        <v>26.216367345241078</v>
      </c>
      <c r="AO44" s="93">
        <v>20.273036384531288</v>
      </c>
      <c r="AP44" s="93">
        <f t="shared" si="14"/>
        <v>46.489403729772363</v>
      </c>
      <c r="AQ44" s="106"/>
      <c r="AR44" s="39">
        <f t="shared" si="15"/>
        <v>3.0505088630622845</v>
      </c>
      <c r="AS44" s="93">
        <v>120.71161358919746</v>
      </c>
      <c r="AT44" s="93">
        <v>13.731823909237447</v>
      </c>
      <c r="AU44" s="93">
        <v>42.311979902671695</v>
      </c>
      <c r="AV44" s="93">
        <f t="shared" si="16"/>
        <v>56.043803811909143</v>
      </c>
      <c r="AW44" s="90">
        <f t="shared" si="17"/>
        <v>0</v>
      </c>
      <c r="AX44" s="39">
        <f t="shared" si="18"/>
        <v>2.6545992493075765</v>
      </c>
      <c r="AY44" s="11">
        <v>136.55603857187839</v>
      </c>
      <c r="AZ44" s="93">
        <v>-43.002314866399423</v>
      </c>
      <c r="BA44" s="93">
        <v>40.901735073909045</v>
      </c>
      <c r="BB44" s="93">
        <f t="shared" si="19"/>
        <v>-2.1005797924903788</v>
      </c>
      <c r="BC44" s="93"/>
      <c r="BD44" s="39">
        <f t="shared" si="20"/>
        <v>2.5646880453044751</v>
      </c>
      <c r="BE44" s="93">
        <v>18.059085654406232</v>
      </c>
      <c r="BF44" s="93">
        <v>-9.0180538971045241</v>
      </c>
      <c r="BG44" s="93">
        <v>5.2043788432435791</v>
      </c>
      <c r="BH44" s="93">
        <f t="shared" si="21"/>
        <v>-3.813675053860945</v>
      </c>
      <c r="BJ44" s="39">
        <f t="shared" si="22"/>
        <v>2.6194787613104564</v>
      </c>
      <c r="BK44" s="93">
        <v>81.562939535953078</v>
      </c>
      <c r="BL44" s="93">
        <v>-26.535125434477635</v>
      </c>
      <c r="BM44" s="93">
        <v>24.06794423722156</v>
      </c>
      <c r="BN44" s="93">
        <f t="shared" si="23"/>
        <v>-2.4671811972560747</v>
      </c>
      <c r="BO44" s="106"/>
      <c r="BP44" s="39">
        <f t="shared" si="24"/>
        <v>2.775188253093952</v>
      </c>
      <c r="BQ44" s="93">
        <v>36.93401338151908</v>
      </c>
      <c r="BR44" s="93">
        <v>-7.4491355348172679</v>
      </c>
      <c r="BS44" s="93">
        <v>11.629411993443906</v>
      </c>
      <c r="BT44" s="93">
        <f t="shared" si="25"/>
        <v>4.1802764586266381</v>
      </c>
      <c r="BU44" s="90">
        <f t="shared" si="26"/>
        <v>0</v>
      </c>
      <c r="BV44" s="39">
        <f t="shared" si="27"/>
        <v>2.8583954213786456</v>
      </c>
      <c r="BW44" s="11">
        <v>20.489593186295824</v>
      </c>
      <c r="BX44" s="93">
        <v>-3.6169124626271385</v>
      </c>
      <c r="BY44" s="93">
        <v>6.6704706699605909</v>
      </c>
      <c r="BZ44" s="93">
        <f t="shared" si="28"/>
        <v>3.0535582073334524</v>
      </c>
      <c r="CA44" s="93"/>
      <c r="CB44" s="39">
        <f t="shared" si="29"/>
        <v>2.886706102007186</v>
      </c>
      <c r="CC44" s="93">
        <v>8.3246385618980643</v>
      </c>
      <c r="CD44" s="93">
        <v>-2.3561745304099531</v>
      </c>
      <c r="CE44" s="93">
        <v>2.7405296991725199</v>
      </c>
      <c r="CF44" s="93">
        <f t="shared" si="30"/>
        <v>0.38435516876256681</v>
      </c>
      <c r="CH44" s="39">
        <f t="shared" si="31"/>
        <v>2.8369795300950962</v>
      </c>
      <c r="CI44" s="93">
        <v>10.970091359887151</v>
      </c>
      <c r="CJ44" s="93">
        <v>-1.2157453343966669</v>
      </c>
      <c r="CK44" s="93">
        <v>3.541109966200767</v>
      </c>
      <c r="CL44" s="93">
        <f t="shared" si="32"/>
        <v>2.3253646318041001</v>
      </c>
      <c r="CM44" s="106"/>
      <c r="CN44" s="39">
        <f t="shared" si="33"/>
        <v>2.8573458698798015</v>
      </c>
      <c r="CO44" s="93">
        <v>1.1948632645106076</v>
      </c>
      <c r="CP44" s="93">
        <v>-4.4992597820518516E-2</v>
      </c>
      <c r="CQ44" s="93">
        <v>0.38883100458730496</v>
      </c>
      <c r="CR44" s="93">
        <f t="shared" si="34"/>
        <v>0.34383840676678645</v>
      </c>
      <c r="CS44" s="90">
        <f t="shared" si="35"/>
        <v>0</v>
      </c>
      <c r="CT44" s="39">
        <f t="shared" si="36"/>
        <v>2.8701182898648092</v>
      </c>
      <c r="CU44" s="11">
        <v>42.760780362377908</v>
      </c>
      <c r="CV44" s="93">
        <v>-8.7946027932175515</v>
      </c>
      <c r="CW44" s="93">
        <v>13.985580374465099</v>
      </c>
      <c r="CX44" s="93">
        <f t="shared" si="37"/>
        <v>5.190977581247548</v>
      </c>
      <c r="CY44" s="93"/>
      <c r="CZ44" s="39">
        <f t="shared" si="38"/>
        <v>2.8496351806148512</v>
      </c>
      <c r="DA44" s="93">
        <v>24.281196922142954</v>
      </c>
      <c r="DB44" s="93">
        <v>-9.1453437976246104</v>
      </c>
      <c r="DC44" s="93">
        <v>7.8774410446835388</v>
      </c>
      <c r="DD44" s="93">
        <f t="shared" si="39"/>
        <v>-1.2679027529410716</v>
      </c>
      <c r="DF44" s="39">
        <f t="shared" si="40"/>
        <v>2.8857004199172476</v>
      </c>
      <c r="DG44" s="93">
        <v>16.761855021675107</v>
      </c>
      <c r="DH44" s="93">
        <v>-0.26275092538178862</v>
      </c>
      <c r="DI44" s="93">
        <v>5.5159431408880319</v>
      </c>
      <c r="DJ44" s="93">
        <f t="shared" si="41"/>
        <v>5.2531922155062434</v>
      </c>
      <c r="DK44" s="106"/>
      <c r="DL44" s="39">
        <f t="shared" si="42"/>
        <v>3.0064287710700022</v>
      </c>
      <c r="DM44" s="93">
        <v>1.7177284185598474</v>
      </c>
      <c r="DN44" s="93">
        <v>0.61349192978884681</v>
      </c>
      <c r="DO44" s="93">
        <v>0.59219618889352987</v>
      </c>
      <c r="DP44" s="93">
        <f t="shared" si="43"/>
        <v>1.2056881186823767</v>
      </c>
    </row>
    <row r="45" spans="1:120" x14ac:dyDescent="0.3">
      <c r="A45" s="90">
        <f>name!B41</f>
        <v>0</v>
      </c>
      <c r="B45" s="39">
        <f t="shared" si="1"/>
        <v>2.5589515569040877</v>
      </c>
      <c r="C45" s="11">
        <v>378.65361093918506</v>
      </c>
      <c r="D45" s="93">
        <v>36.796399092126755</v>
      </c>
      <c r="E45" s="93">
        <v>108.84998948408384</v>
      </c>
      <c r="F45" s="93">
        <f t="shared" si="2"/>
        <v>145.6463885762106</v>
      </c>
      <c r="G45" s="93"/>
      <c r="H45" s="39">
        <f t="shared" si="3"/>
        <v>2.6970336356285651</v>
      </c>
      <c r="I45" s="93">
        <v>21.232264083662649</v>
      </c>
      <c r="J45" s="93">
        <v>5.5608874318156268E-2</v>
      </c>
      <c r="K45" s="93">
        <v>6.4738297499487887</v>
      </c>
      <c r="L45" s="93">
        <f t="shared" si="4"/>
        <v>6.5294386242669447</v>
      </c>
      <c r="N45" s="39">
        <f t="shared" si="5"/>
        <v>2.6178307858164995</v>
      </c>
      <c r="O45" s="93">
        <v>54.055750144900642</v>
      </c>
      <c r="P45" s="93">
        <v>7.7932985015424325</v>
      </c>
      <c r="Q45" s="93">
        <v>15.939762430606391</v>
      </c>
      <c r="R45" s="93">
        <f t="shared" si="6"/>
        <v>23.733060932148824</v>
      </c>
      <c r="S45" s="106"/>
      <c r="T45" s="39">
        <f t="shared" si="7"/>
        <v>2.5386919147606823</v>
      </c>
      <c r="U45" s="93">
        <v>303.36559671062184</v>
      </c>
      <c r="V45" s="93">
        <v>28.947491716266153</v>
      </c>
      <c r="W45" s="93">
        <v>86.436397303528679</v>
      </c>
      <c r="X45" s="93">
        <f t="shared" si="8"/>
        <v>115.38388901979484</v>
      </c>
      <c r="Y45" s="90">
        <f t="shared" si="0"/>
        <v>0</v>
      </c>
      <c r="Z45" s="39">
        <f t="shared" si="9"/>
        <v>2.5199611178011505</v>
      </c>
      <c r="AA45" s="11">
        <v>312.18144659946984</v>
      </c>
      <c r="AB45" s="93">
        <v>28.895682554218279</v>
      </c>
      <c r="AC45" s="93">
        <v>88.21610831482117</v>
      </c>
      <c r="AD45" s="93">
        <f t="shared" si="10"/>
        <v>117.11179086903945</v>
      </c>
      <c r="AE45" s="93"/>
      <c r="AF45" s="39">
        <f t="shared" si="11"/>
        <v>2.4310222459994479</v>
      </c>
      <c r="AG45" s="93">
        <v>3.9811352808305944</v>
      </c>
      <c r="AH45" s="93">
        <v>4.5008812227039625</v>
      </c>
      <c r="AI45" s="93">
        <v>1.0808631323162383</v>
      </c>
      <c r="AJ45" s="93">
        <f t="shared" si="12"/>
        <v>5.5817443550202004</v>
      </c>
      <c r="AL45" s="39">
        <f t="shared" si="13"/>
        <v>2.4685169170641119</v>
      </c>
      <c r="AM45" s="93">
        <v>20.509890701227175</v>
      </c>
      <c r="AN45" s="93">
        <v>4.1191890490955583</v>
      </c>
      <c r="AO45" s="93">
        <v>5.6639738538481845</v>
      </c>
      <c r="AP45" s="93">
        <f t="shared" si="14"/>
        <v>9.7831629029437437</v>
      </c>
      <c r="AQ45" s="106"/>
      <c r="AR45" s="39">
        <f t="shared" si="15"/>
        <v>2.524845301627332</v>
      </c>
      <c r="AS45" s="93">
        <v>287.69042061741203</v>
      </c>
      <c r="AT45" s="93">
        <v>20.275612282418756</v>
      </c>
      <c r="AU45" s="93">
        <v>81.471271328656755</v>
      </c>
      <c r="AV45" s="93">
        <f t="shared" si="16"/>
        <v>101.7468836110755</v>
      </c>
      <c r="AW45" s="90">
        <f t="shared" si="17"/>
        <v>0</v>
      </c>
      <c r="AX45" s="39">
        <f t="shared" si="18"/>
        <v>2.6549442218402941</v>
      </c>
      <c r="AY45" s="11">
        <v>41.892929155094187</v>
      </c>
      <c r="AZ45" s="93">
        <v>9.2492751468853793</v>
      </c>
      <c r="BA45" s="93">
        <v>12.549743972538471</v>
      </c>
      <c r="BB45" s="93">
        <f t="shared" si="19"/>
        <v>21.79901911942385</v>
      </c>
      <c r="BC45" s="93"/>
      <c r="BD45" s="39">
        <f t="shared" si="20"/>
        <v>2.5532327548231981</v>
      </c>
      <c r="BE45" s="93">
        <v>6.2009149306433597</v>
      </c>
      <c r="BF45" s="93">
        <v>-0.93789945412547293</v>
      </c>
      <c r="BG45" s="93">
        <v>1.7781008484106056</v>
      </c>
      <c r="BH45" s="93">
        <f t="shared" si="21"/>
        <v>0.84020139428513263</v>
      </c>
      <c r="BJ45" s="39">
        <f t="shared" si="22"/>
        <v>2.603317774412961</v>
      </c>
      <c r="BK45" s="93">
        <v>21.307415275332314</v>
      </c>
      <c r="BL45" s="93">
        <v>2.2423318572234603</v>
      </c>
      <c r="BM45" s="93">
        <v>6.2440571353848382</v>
      </c>
      <c r="BN45" s="93">
        <f t="shared" si="23"/>
        <v>8.4863889926082976</v>
      </c>
      <c r="BO45" s="106"/>
      <c r="BP45" s="39">
        <f t="shared" si="24"/>
        <v>2.7742686070164835</v>
      </c>
      <c r="BQ45" s="93">
        <v>14.384598949118512</v>
      </c>
      <c r="BR45" s="93">
        <v>7.9448427437873912</v>
      </c>
      <c r="BS45" s="93">
        <v>4.5275859887430272</v>
      </c>
      <c r="BT45" s="93">
        <f t="shared" si="25"/>
        <v>12.472428732530418</v>
      </c>
      <c r="BU45" s="90">
        <f t="shared" si="26"/>
        <v>0</v>
      </c>
      <c r="BV45" s="39">
        <f t="shared" si="27"/>
        <v>2.6192743149682007</v>
      </c>
      <c r="BW45" s="11">
        <v>2.9857552680997586</v>
      </c>
      <c r="BX45" s="93">
        <v>0.29752966440157663</v>
      </c>
      <c r="BY45" s="93">
        <v>0.88097251477732141</v>
      </c>
      <c r="BZ45" s="93">
        <f t="shared" si="28"/>
        <v>1.1785021791788981</v>
      </c>
      <c r="CA45" s="93"/>
      <c r="CB45" s="39">
        <f t="shared" si="29"/>
        <v>2.6102783759339943</v>
      </c>
      <c r="CC45" s="93">
        <v>1.0704246420939711</v>
      </c>
      <c r="CD45" s="93">
        <v>-0.11337152429818138</v>
      </c>
      <c r="CE45" s="93">
        <v>0.31462314152439591</v>
      </c>
      <c r="CF45" s="93">
        <f t="shared" si="30"/>
        <v>0.20125161722621454</v>
      </c>
      <c r="CH45" s="39">
        <f t="shared" si="31"/>
        <v>2.6315936742941082</v>
      </c>
      <c r="CI45" s="93">
        <v>1.5955005485136557</v>
      </c>
      <c r="CJ45" s="93">
        <v>0.30848080422027463</v>
      </c>
      <c r="CK45" s="93">
        <v>0.47324789856842298</v>
      </c>
      <c r="CL45" s="93">
        <f t="shared" si="32"/>
        <v>0.78172870278869766</v>
      </c>
      <c r="CM45" s="106"/>
      <c r="CN45" s="39">
        <f t="shared" si="33"/>
        <v>2.5878378150158365</v>
      </c>
      <c r="CO45" s="93">
        <v>0.31983007749213199</v>
      </c>
      <c r="CP45" s="93">
        <v>0.10242038447948336</v>
      </c>
      <c r="CQ45" s="93">
        <v>9.3101474684502514E-2</v>
      </c>
      <c r="CR45" s="93">
        <f t="shared" si="34"/>
        <v>0.19552185916398587</v>
      </c>
      <c r="CS45" s="90">
        <f t="shared" si="35"/>
        <v>0</v>
      </c>
      <c r="CT45" s="39">
        <f t="shared" si="36"/>
        <v>2.9205088963651926</v>
      </c>
      <c r="CU45" s="11">
        <v>21.593479916521417</v>
      </c>
      <c r="CV45" s="93">
        <v>-1.6460882733784852</v>
      </c>
      <c r="CW45" s="93">
        <v>7.2031646819468875</v>
      </c>
      <c r="CX45" s="93">
        <f t="shared" si="37"/>
        <v>5.5570764085684026</v>
      </c>
      <c r="CY45" s="93"/>
      <c r="CZ45" s="39">
        <f t="shared" si="38"/>
        <v>2.8981993026460096</v>
      </c>
      <c r="DA45" s="93">
        <v>9.979789230094724</v>
      </c>
      <c r="DB45" s="93">
        <v>-3.3940013699621523</v>
      </c>
      <c r="DC45" s="93">
        <v>3.3002426276975489</v>
      </c>
      <c r="DD45" s="93">
        <f t="shared" si="39"/>
        <v>-9.3758742264603345E-2</v>
      </c>
      <c r="DF45" s="39">
        <f t="shared" si="40"/>
        <v>2.9264568687984216</v>
      </c>
      <c r="DG45" s="93">
        <v>10.642943619827502</v>
      </c>
      <c r="DH45" s="93">
        <v>1.1232967910031393</v>
      </c>
      <c r="DI45" s="93">
        <v>3.5584835428049475</v>
      </c>
      <c r="DJ45" s="93">
        <f t="shared" si="41"/>
        <v>4.6817803338080868</v>
      </c>
      <c r="DK45" s="106"/>
      <c r="DL45" s="39">
        <f t="shared" si="42"/>
        <v>3.0832482448727161</v>
      </c>
      <c r="DM45" s="93">
        <v>0.97074706659919119</v>
      </c>
      <c r="DN45" s="93">
        <v>0.62461630558052772</v>
      </c>
      <c r="DO45" s="93">
        <v>0.34443851144439169</v>
      </c>
      <c r="DP45" s="93">
        <f t="shared" si="43"/>
        <v>0.96905481702491936</v>
      </c>
    </row>
    <row r="46" spans="1:120" x14ac:dyDescent="0.3">
      <c r="A46" s="90">
        <f>name!B42</f>
        <v>0</v>
      </c>
      <c r="B46" s="39">
        <f t="shared" si="1"/>
        <v>2.890259729191258</v>
      </c>
      <c r="C46" s="11">
        <v>596.16075467408132</v>
      </c>
      <c r="D46" s="93">
        <v>130.76412576439193</v>
      </c>
      <c r="E46" s="93">
        <v>196.53406172763593</v>
      </c>
      <c r="F46" s="93">
        <f t="shared" si="2"/>
        <v>327.29818749202786</v>
      </c>
      <c r="G46" s="93"/>
      <c r="H46" s="39">
        <f t="shared" si="3"/>
        <v>2.6788795437322488</v>
      </c>
      <c r="I46" s="93">
        <v>75.585819538445264</v>
      </c>
      <c r="J46" s="93">
        <v>4.2136979795279563</v>
      </c>
      <c r="K46" s="93">
        <v>22.872299636804904</v>
      </c>
      <c r="L46" s="93">
        <f t="shared" si="4"/>
        <v>27.085997616332861</v>
      </c>
      <c r="N46" s="39">
        <f t="shared" si="5"/>
        <v>2.706098654684097</v>
      </c>
      <c r="O46" s="93">
        <v>212.25679919065291</v>
      </c>
      <c r="P46" s="93">
        <v>64.236584035540048</v>
      </c>
      <c r="Q46" s="93">
        <v>64.962803722137807</v>
      </c>
      <c r="R46" s="93">
        <f t="shared" si="6"/>
        <v>129.19938775767787</v>
      </c>
      <c r="S46" s="106"/>
      <c r="T46" s="39">
        <f t="shared" si="7"/>
        <v>3.0660135882804918</v>
      </c>
      <c r="U46" s="93">
        <v>308.31813594498311</v>
      </c>
      <c r="V46" s="93">
        <v>62.313843749323915</v>
      </c>
      <c r="W46" s="93">
        <v>108.69895836869323</v>
      </c>
      <c r="X46" s="93">
        <f t="shared" si="8"/>
        <v>171.01280211801713</v>
      </c>
      <c r="Y46" s="90">
        <f t="shared" si="0"/>
        <v>0</v>
      </c>
      <c r="Z46" s="39">
        <f t="shared" si="9"/>
        <v>3.0502708921622101</v>
      </c>
      <c r="AA46" s="11">
        <v>335.93921919202376</v>
      </c>
      <c r="AB46" s="93">
        <v>65.992763386883993</v>
      </c>
      <c r="AC46" s="93">
        <v>117.74334207940043</v>
      </c>
      <c r="AD46" s="93">
        <f t="shared" si="10"/>
        <v>183.73610546628441</v>
      </c>
      <c r="AE46" s="93"/>
      <c r="AF46" s="39">
        <f t="shared" si="11"/>
        <v>2.772118894951725</v>
      </c>
      <c r="AG46" s="93">
        <v>6.0163041652184992</v>
      </c>
      <c r="AH46" s="93">
        <v>1.3292953942067818</v>
      </c>
      <c r="AI46" s="93">
        <v>1.8919913793244785</v>
      </c>
      <c r="AJ46" s="93">
        <f t="shared" si="12"/>
        <v>3.2212867735312605</v>
      </c>
      <c r="AL46" s="39">
        <f t="shared" si="13"/>
        <v>2.8305616396997912</v>
      </c>
      <c r="AM46" s="93">
        <v>54.066211981632996</v>
      </c>
      <c r="AN46" s="93">
        <v>15.192793130377611</v>
      </c>
      <c r="AO46" s="93">
        <v>17.40777706255945</v>
      </c>
      <c r="AP46" s="93">
        <f t="shared" si="14"/>
        <v>32.600570192937063</v>
      </c>
      <c r="AQ46" s="106"/>
      <c r="AR46" s="39">
        <f t="shared" si="15"/>
        <v>3.0988119312854945</v>
      </c>
      <c r="AS46" s="93">
        <v>275.85670304517225</v>
      </c>
      <c r="AT46" s="93">
        <v>49.470674862299603</v>
      </c>
      <c r="AU46" s="93">
        <v>98.443573637516494</v>
      </c>
      <c r="AV46" s="93">
        <f t="shared" si="16"/>
        <v>147.9142484998161</v>
      </c>
      <c r="AW46" s="90">
        <f t="shared" si="17"/>
        <v>0</v>
      </c>
      <c r="AX46" s="39">
        <f t="shared" si="18"/>
        <v>2.6039196652279051</v>
      </c>
      <c r="AY46" s="11">
        <v>159.03458473919616</v>
      </c>
      <c r="AZ46" s="93">
        <v>40.296222391531657</v>
      </c>
      <c r="BA46" s="93">
        <v>46.616544654725452</v>
      </c>
      <c r="BB46" s="93">
        <f t="shared" si="19"/>
        <v>86.912767046257102</v>
      </c>
      <c r="BC46" s="93"/>
      <c r="BD46" s="39">
        <f t="shared" si="20"/>
        <v>2.5452433226490934</v>
      </c>
      <c r="BE46" s="93">
        <v>21.770784421414771</v>
      </c>
      <c r="BF46" s="93">
        <v>-0.58525794672168419</v>
      </c>
      <c r="BG46" s="93">
        <v>6.2209156872515399</v>
      </c>
      <c r="BH46" s="93">
        <f t="shared" si="21"/>
        <v>5.6356577405298554</v>
      </c>
      <c r="BJ46" s="39">
        <f t="shared" si="22"/>
        <v>2.5795517536157053</v>
      </c>
      <c r="BK46" s="93">
        <v>109.52927387637574</v>
      </c>
      <c r="BL46" s="93">
        <v>30.843442039124554</v>
      </c>
      <c r="BM46" s="93">
        <v>31.769430063648457</v>
      </c>
      <c r="BN46" s="93">
        <f t="shared" si="23"/>
        <v>62.612872102773011</v>
      </c>
      <c r="BO46" s="106"/>
      <c r="BP46" s="39">
        <f t="shared" si="24"/>
        <v>2.7451139967111571</v>
      </c>
      <c r="BQ46" s="93">
        <v>27.734526441405688</v>
      </c>
      <c r="BR46" s="93">
        <v>10.038038299128784</v>
      </c>
      <c r="BS46" s="93">
        <v>8.6261989038254558</v>
      </c>
      <c r="BT46" s="93">
        <f t="shared" si="25"/>
        <v>18.66423720295424</v>
      </c>
      <c r="BU46" s="90">
        <f t="shared" si="26"/>
        <v>0</v>
      </c>
      <c r="BV46" s="39">
        <f t="shared" si="27"/>
        <v>2.4641512026180035</v>
      </c>
      <c r="BW46" s="11">
        <v>12.81458334002725</v>
      </c>
      <c r="BX46" s="93">
        <v>4.3895704257866655</v>
      </c>
      <c r="BY46" s="93">
        <v>3.5318857518426356</v>
      </c>
      <c r="BZ46" s="93">
        <f t="shared" si="28"/>
        <v>7.9214561776293007</v>
      </c>
      <c r="CA46" s="93"/>
      <c r="CB46" s="39">
        <f t="shared" si="29"/>
        <v>2.3360812858931101</v>
      </c>
      <c r="CC46" s="93">
        <v>6.0632147564116732</v>
      </c>
      <c r="CD46" s="93">
        <v>2.5684165487773454</v>
      </c>
      <c r="CE46" s="93">
        <v>1.5749808838887966</v>
      </c>
      <c r="CF46" s="93">
        <f t="shared" si="30"/>
        <v>4.1433974326661422</v>
      </c>
      <c r="CH46" s="39">
        <f t="shared" si="31"/>
        <v>2.5656844346393592</v>
      </c>
      <c r="CI46" s="93">
        <v>5.7160556182605653</v>
      </c>
      <c r="CJ46" s="93">
        <v>1.556033629424588</v>
      </c>
      <c r="CK46" s="93">
        <v>1.6480035734914502</v>
      </c>
      <c r="CL46" s="93">
        <f t="shared" si="32"/>
        <v>3.2040372029160382</v>
      </c>
      <c r="CM46" s="106"/>
      <c r="CN46" s="39">
        <f t="shared" si="33"/>
        <v>2.645445634877297</v>
      </c>
      <c r="CO46" s="93">
        <v>1.0353129653550115</v>
      </c>
      <c r="CP46" s="93">
        <v>0.26512024758473196</v>
      </c>
      <c r="CQ46" s="93">
        <v>0.30890129446238906</v>
      </c>
      <c r="CR46" s="93">
        <f t="shared" si="34"/>
        <v>0.57402154204712108</v>
      </c>
      <c r="CS46" s="90">
        <f t="shared" si="35"/>
        <v>0</v>
      </c>
      <c r="CT46" s="39">
        <f t="shared" si="36"/>
        <v>2.8471774384655868</v>
      </c>
      <c r="CU46" s="11">
        <v>88.372367402834058</v>
      </c>
      <c r="CV46" s="93">
        <v>20.085569560189615</v>
      </c>
      <c r="CW46" s="93">
        <v>28.642289241667434</v>
      </c>
      <c r="CX46" s="93">
        <f t="shared" si="37"/>
        <v>48.727858801857053</v>
      </c>
      <c r="CY46" s="93"/>
      <c r="CZ46" s="39">
        <f t="shared" si="38"/>
        <v>2.7832667945406842</v>
      </c>
      <c r="DA46" s="93">
        <v>41.735516195400322</v>
      </c>
      <c r="DB46" s="93">
        <v>0.90124398326551358</v>
      </c>
      <c r="DC46" s="93">
        <v>13.184411686340088</v>
      </c>
      <c r="DD46" s="93">
        <f t="shared" si="39"/>
        <v>14.085655669605602</v>
      </c>
      <c r="DF46" s="39">
        <f t="shared" si="40"/>
        <v>2.8866540918025541</v>
      </c>
      <c r="DG46" s="93">
        <v>42.945257714383601</v>
      </c>
      <c r="DH46" s="93">
        <v>16.644315236613298</v>
      </c>
      <c r="DI46" s="93">
        <v>14.137593022438447</v>
      </c>
      <c r="DJ46" s="93">
        <f t="shared" si="41"/>
        <v>30.781908259051747</v>
      </c>
      <c r="DK46" s="106"/>
      <c r="DL46" s="39">
        <f t="shared" si="42"/>
        <v>3.1047472891351457</v>
      </c>
      <c r="DM46" s="93">
        <v>3.6915934930501404</v>
      </c>
      <c r="DN46" s="93">
        <v>2.5400103403108023</v>
      </c>
      <c r="DO46" s="93">
        <v>1.320284532888897</v>
      </c>
      <c r="DP46" s="93">
        <f t="shared" si="43"/>
        <v>3.8602948731996993</v>
      </c>
    </row>
    <row r="47" spans="1:120" x14ac:dyDescent="0.3">
      <c r="A47" s="90">
        <f>name!B43</f>
        <v>0</v>
      </c>
      <c r="B47" s="39">
        <f t="shared" si="1"/>
        <v>2.865344899385458</v>
      </c>
      <c r="C47" s="11">
        <v>40.376210097149027</v>
      </c>
      <c r="D47" s="93">
        <v>12.806927196821107</v>
      </c>
      <c r="E47" s="93">
        <v>13.180811533634204</v>
      </c>
      <c r="F47" s="93">
        <f t="shared" si="2"/>
        <v>25.987738730455312</v>
      </c>
      <c r="G47" s="93"/>
      <c r="H47" s="39">
        <f t="shared" si="3"/>
        <v>2.7751718770929079</v>
      </c>
      <c r="I47" s="93">
        <v>9.3187758939343261</v>
      </c>
      <c r="J47" s="93">
        <v>1.4740755938305261</v>
      </c>
      <c r="K47" s="93">
        <v>2.934183240230555</v>
      </c>
      <c r="L47" s="93">
        <f t="shared" si="4"/>
        <v>4.4082588340610815</v>
      </c>
      <c r="N47" s="39">
        <f t="shared" si="5"/>
        <v>2.8011029016640654</v>
      </c>
      <c r="O47" s="93">
        <v>15.51970188832003</v>
      </c>
      <c r="P47" s="93">
        <v>4.6916947620293463</v>
      </c>
      <c r="Q47" s="93">
        <v>4.9382011045192602</v>
      </c>
      <c r="R47" s="93">
        <f t="shared" si="6"/>
        <v>9.6298958665486065</v>
      </c>
      <c r="S47" s="106"/>
      <c r="T47" s="39">
        <f t="shared" si="7"/>
        <v>2.9825975993459597</v>
      </c>
      <c r="U47" s="93">
        <v>15.537732314894669</v>
      </c>
      <c r="V47" s="93">
        <v>6.6411568409612336</v>
      </c>
      <c r="W47" s="93">
        <v>5.3084271888843881</v>
      </c>
      <c r="X47" s="93">
        <f t="shared" si="8"/>
        <v>11.949584029845621</v>
      </c>
      <c r="Y47" s="90">
        <f t="shared" si="0"/>
        <v>0</v>
      </c>
      <c r="Z47" s="39">
        <f t="shared" si="9"/>
        <v>3.0248158548996429</v>
      </c>
      <c r="AA47" s="11">
        <v>21.444049548280258</v>
      </c>
      <c r="AB47" s="93">
        <v>6.4637391240695505</v>
      </c>
      <c r="AC47" s="93">
        <v>7.4444690278107304</v>
      </c>
      <c r="AD47" s="93">
        <f t="shared" si="10"/>
        <v>13.908208151880281</v>
      </c>
      <c r="AE47" s="93"/>
      <c r="AF47" s="39">
        <f t="shared" si="11"/>
        <v>3.0872958603731293</v>
      </c>
      <c r="AG47" s="93">
        <v>2.7651222683057175</v>
      </c>
      <c r="AH47" s="93">
        <v>0.53339249467469196</v>
      </c>
      <c r="AI47" s="93">
        <v>0.98258633136794948</v>
      </c>
      <c r="AJ47" s="93">
        <f t="shared" si="12"/>
        <v>1.5159788260426414</v>
      </c>
      <c r="AL47" s="39">
        <f t="shared" si="13"/>
        <v>2.9781314195511888</v>
      </c>
      <c r="AM47" s="93">
        <v>6.7043000761876437</v>
      </c>
      <c r="AN47" s="93">
        <v>0.72118551121563768</v>
      </c>
      <c r="AO47" s="93">
        <v>2.286607135241129</v>
      </c>
      <c r="AP47" s="93">
        <f t="shared" si="14"/>
        <v>3.0077926464567666</v>
      </c>
      <c r="AQ47" s="106"/>
      <c r="AR47" s="39">
        <f t="shared" si="15"/>
        <v>3.0364271872712179</v>
      </c>
      <c r="AS47" s="93">
        <v>11.974627203786897</v>
      </c>
      <c r="AT47" s="93">
        <v>5.209161118179221</v>
      </c>
      <c r="AU47" s="93">
        <v>4.1752755612016514</v>
      </c>
      <c r="AV47" s="93">
        <f t="shared" si="16"/>
        <v>9.3844366793808724</v>
      </c>
      <c r="AW47" s="90">
        <f t="shared" si="17"/>
        <v>0</v>
      </c>
      <c r="AX47" s="39">
        <f t="shared" si="18"/>
        <v>2.6056938584245515</v>
      </c>
      <c r="AY47" s="11">
        <v>11.013605155901349</v>
      </c>
      <c r="AZ47" s="93">
        <v>1.0299128541872438</v>
      </c>
      <c r="BA47" s="93">
        <v>3.2307934614555975</v>
      </c>
      <c r="BB47" s="93">
        <f t="shared" si="19"/>
        <v>4.2607063156428415</v>
      </c>
      <c r="BC47" s="93"/>
      <c r="BD47" s="39">
        <f t="shared" si="20"/>
        <v>2.5171144014275004</v>
      </c>
      <c r="BE47" s="93">
        <v>2.5657167308459536</v>
      </c>
      <c r="BF47" s="93">
        <v>-2.0249829680665472E-2</v>
      </c>
      <c r="BG47" s="93">
        <v>0.72410556877585575</v>
      </c>
      <c r="BH47" s="93">
        <f t="shared" si="21"/>
        <v>0.70385573909519028</v>
      </c>
      <c r="BJ47" s="39">
        <f t="shared" si="22"/>
        <v>2.564691401725705</v>
      </c>
      <c r="BK47" s="93">
        <v>5.4392446032435906</v>
      </c>
      <c r="BL47" s="93">
        <v>0.51504624411421973</v>
      </c>
      <c r="BM47" s="93">
        <v>1.5675173974350798</v>
      </c>
      <c r="BN47" s="93">
        <f t="shared" si="23"/>
        <v>2.0825636415492994</v>
      </c>
      <c r="BO47" s="106"/>
      <c r="BP47" s="39">
        <f t="shared" si="24"/>
        <v>2.7539661724697684</v>
      </c>
      <c r="BQ47" s="93">
        <v>3.0086438218118041</v>
      </c>
      <c r="BR47" s="93">
        <v>0.53511643975368939</v>
      </c>
      <c r="BS47" s="93">
        <v>0.93917049524466201</v>
      </c>
      <c r="BT47" s="93">
        <f t="shared" si="25"/>
        <v>1.4742869349983514</v>
      </c>
      <c r="BU47" s="90">
        <f t="shared" si="26"/>
        <v>0</v>
      </c>
      <c r="BV47" s="39">
        <f t="shared" si="27"/>
        <v>2.7769349895925721</v>
      </c>
      <c r="BW47" s="11">
        <v>2.8680773838859954</v>
      </c>
      <c r="BX47" s="93">
        <v>1.8124842888357913</v>
      </c>
      <c r="BY47" s="93">
        <v>0.90371244599220335</v>
      </c>
      <c r="BZ47" s="93">
        <f t="shared" si="28"/>
        <v>2.7161967348279945</v>
      </c>
      <c r="CA47" s="93"/>
      <c r="CB47" s="39">
        <f t="shared" si="29"/>
        <v>2.6526063565382341</v>
      </c>
      <c r="CC47" s="93">
        <v>1.133194068533085</v>
      </c>
      <c r="CD47" s="93">
        <v>0.1263303128615518</v>
      </c>
      <c r="CE47" s="93">
        <v>0.33913232926021469</v>
      </c>
      <c r="CF47" s="93">
        <f t="shared" si="30"/>
        <v>0.46546264212176647</v>
      </c>
      <c r="CH47" s="39">
        <f t="shared" si="31"/>
        <v>2.7982733108218305</v>
      </c>
      <c r="CI47" s="93">
        <v>1.5036570788687731</v>
      </c>
      <c r="CJ47" s="93">
        <v>1.358746094911804</v>
      </c>
      <c r="CK47" s="93">
        <v>0.47790189710881065</v>
      </c>
      <c r="CL47" s="93">
        <f t="shared" si="32"/>
        <v>1.8366479920206147</v>
      </c>
      <c r="CM47" s="106"/>
      <c r="CN47" s="39">
        <f t="shared" si="33"/>
        <v>3.2347595318199085</v>
      </c>
      <c r="CO47" s="93">
        <v>0.23122623648413734</v>
      </c>
      <c r="CP47" s="93">
        <v>0.32740788106243529</v>
      </c>
      <c r="CQ47" s="93">
        <v>8.6678219623177913E-2</v>
      </c>
      <c r="CR47" s="93">
        <f t="shared" si="34"/>
        <v>0.41408610068561319</v>
      </c>
      <c r="CS47" s="90">
        <f t="shared" si="35"/>
        <v>0</v>
      </c>
      <c r="CT47" s="39">
        <f t="shared" si="36"/>
        <v>2.7931156217943398</v>
      </c>
      <c r="CU47" s="11">
        <v>5.0504780090814236</v>
      </c>
      <c r="CV47" s="93">
        <v>3.5007909297285211</v>
      </c>
      <c r="CW47" s="93">
        <v>1.6018365983756719</v>
      </c>
      <c r="CX47" s="93">
        <f t="shared" si="37"/>
        <v>5.1026275281041933</v>
      </c>
      <c r="CY47" s="93"/>
      <c r="CZ47" s="39">
        <f t="shared" si="38"/>
        <v>2.74636478298389</v>
      </c>
      <c r="DA47" s="93">
        <v>2.8547428262495687</v>
      </c>
      <c r="DB47" s="93">
        <v>0.83460261597494789</v>
      </c>
      <c r="DC47" s="93">
        <v>0.88835901082653501</v>
      </c>
      <c r="DD47" s="93">
        <f t="shared" si="39"/>
        <v>1.7229616268014829</v>
      </c>
      <c r="DF47" s="39">
        <f t="shared" si="40"/>
        <v>2.8441917872239486</v>
      </c>
      <c r="DG47" s="93">
        <v>1.8725001300200237</v>
      </c>
      <c r="DH47" s="93">
        <v>2.0967169117876856</v>
      </c>
      <c r="DI47" s="93">
        <v>0.60617467473424025</v>
      </c>
      <c r="DJ47" s="93">
        <f t="shared" si="41"/>
        <v>2.7028915865219258</v>
      </c>
      <c r="DK47" s="106"/>
      <c r="DL47" s="39">
        <f t="shared" si="42"/>
        <v>2.9080384999745856</v>
      </c>
      <c r="DM47" s="93">
        <v>0.32323505281183162</v>
      </c>
      <c r="DN47" s="93">
        <v>0.5694714019658873</v>
      </c>
      <c r="DO47" s="93">
        <v>0.10730291281489671</v>
      </c>
      <c r="DP47" s="93">
        <f t="shared" si="43"/>
        <v>0.67677431478078398</v>
      </c>
    </row>
    <row r="48" spans="1:120" x14ac:dyDescent="0.3">
      <c r="A48" s="90">
        <f>name!B44</f>
        <v>0</v>
      </c>
      <c r="B48" s="39">
        <f t="shared" si="1"/>
        <v>2.8169915417421754</v>
      </c>
      <c r="C48" s="11">
        <v>158.75130574877755</v>
      </c>
      <c r="D48" s="93">
        <v>31.053175488358242</v>
      </c>
      <c r="E48" s="93">
        <v>50.836604439456309</v>
      </c>
      <c r="F48" s="93">
        <f t="shared" si="2"/>
        <v>81.889779927814544</v>
      </c>
      <c r="G48" s="93"/>
      <c r="H48" s="39">
        <f t="shared" si="3"/>
        <v>2.7131406842493488</v>
      </c>
      <c r="I48" s="93">
        <v>37.269430586923946</v>
      </c>
      <c r="J48" s="93">
        <v>2.0080357660646397</v>
      </c>
      <c r="K48" s="93">
        <v>11.439976930786587</v>
      </c>
      <c r="L48" s="93">
        <f t="shared" si="4"/>
        <v>13.448012696851226</v>
      </c>
      <c r="N48" s="39">
        <f t="shared" si="5"/>
        <v>2.6835187325179533</v>
      </c>
      <c r="O48" s="93">
        <v>64.168727676686729</v>
      </c>
      <c r="P48" s="93">
        <v>9.648746828409589</v>
      </c>
      <c r="Q48" s="93">
        <v>19.45525621806194</v>
      </c>
      <c r="R48" s="93">
        <f t="shared" si="6"/>
        <v>29.104003046471529</v>
      </c>
      <c r="S48" s="106"/>
      <c r="T48" s="39">
        <f t="shared" si="7"/>
        <v>3.0307741956072665</v>
      </c>
      <c r="U48" s="93">
        <v>57.313147485166859</v>
      </c>
      <c r="V48" s="93">
        <v>19.396392893884016</v>
      </c>
      <c r="W48" s="93">
        <v>19.941371290607766</v>
      </c>
      <c r="X48" s="93">
        <f t="shared" si="8"/>
        <v>39.337764184491782</v>
      </c>
      <c r="Y48" s="90">
        <f t="shared" si="0"/>
        <v>0</v>
      </c>
      <c r="Z48" s="39">
        <f t="shared" si="9"/>
        <v>3.0844034831169376</v>
      </c>
      <c r="AA48" s="11">
        <v>54.043501876163091</v>
      </c>
      <c r="AB48" s="93">
        <v>16.838248878570081</v>
      </c>
      <c r="AC48" s="93">
        <v>19.18381203425853</v>
      </c>
      <c r="AD48" s="93">
        <f t="shared" si="10"/>
        <v>36.022060912828607</v>
      </c>
      <c r="AE48" s="93"/>
      <c r="AF48" s="39">
        <f t="shared" si="11"/>
        <v>3.0687126992563263</v>
      </c>
      <c r="AG48" s="93">
        <v>2.872339077635929</v>
      </c>
      <c r="AH48" s="93">
        <v>0.88105911598627318</v>
      </c>
      <c r="AI48" s="93">
        <v>1.0136737094918047</v>
      </c>
      <c r="AJ48" s="93">
        <f t="shared" si="12"/>
        <v>1.8947328254780778</v>
      </c>
      <c r="AL48" s="39">
        <f t="shared" si="13"/>
        <v>2.9854531104971826</v>
      </c>
      <c r="AM48" s="93">
        <v>8.4616752757594771</v>
      </c>
      <c r="AN48" s="93">
        <v>0.5129240985808613</v>
      </c>
      <c r="AO48" s="93">
        <v>2.8940583365838495</v>
      </c>
      <c r="AP48" s="93">
        <f t="shared" si="14"/>
        <v>3.4069824351647107</v>
      </c>
      <c r="AQ48" s="106"/>
      <c r="AR48" s="39">
        <f t="shared" si="15"/>
        <v>3.1049593059016889</v>
      </c>
      <c r="AS48" s="93">
        <v>42.709487522767688</v>
      </c>
      <c r="AT48" s="93">
        <v>15.444265664002945</v>
      </c>
      <c r="AU48" s="93">
        <v>15.276079988182877</v>
      </c>
      <c r="AV48" s="93">
        <f t="shared" si="16"/>
        <v>30.72034565218582</v>
      </c>
      <c r="AW48" s="90">
        <f t="shared" si="17"/>
        <v>0</v>
      </c>
      <c r="AX48" s="39">
        <f t="shared" si="18"/>
        <v>2.6049805214462873</v>
      </c>
      <c r="AY48" s="11">
        <v>67.279720597550053</v>
      </c>
      <c r="AZ48" s="93">
        <v>-1.7061260839949342</v>
      </c>
      <c r="BA48" s="93">
        <v>19.73016584504331</v>
      </c>
      <c r="BB48" s="93">
        <f t="shared" si="19"/>
        <v>18.024039761048375</v>
      </c>
      <c r="BC48" s="93"/>
      <c r="BD48" s="39">
        <f t="shared" si="20"/>
        <v>2.5409532368865007</v>
      </c>
      <c r="BE48" s="93">
        <v>14.926976334729311</v>
      </c>
      <c r="BF48" s="93">
        <v>-1.3830273865244627</v>
      </c>
      <c r="BG48" s="93">
        <v>4.2572967639145958</v>
      </c>
      <c r="BH48" s="93">
        <f t="shared" si="21"/>
        <v>2.8742693773901333</v>
      </c>
      <c r="BJ48" s="39">
        <f t="shared" si="22"/>
        <v>2.5796718808031471</v>
      </c>
      <c r="BK48" s="93">
        <v>40.385319730226364</v>
      </c>
      <c r="BL48" s="93">
        <v>-0.75084702548436888</v>
      </c>
      <c r="BM48" s="93">
        <v>11.714543255967428</v>
      </c>
      <c r="BN48" s="93">
        <f t="shared" si="23"/>
        <v>10.963696230483059</v>
      </c>
      <c r="BO48" s="106"/>
      <c r="BP48" s="39">
        <f t="shared" si="24"/>
        <v>2.7687485385664345</v>
      </c>
      <c r="BQ48" s="93">
        <v>11.967424532594377</v>
      </c>
      <c r="BR48" s="93">
        <v>0.42774832801389723</v>
      </c>
      <c r="BS48" s="93">
        <v>3.7583258251612852</v>
      </c>
      <c r="BT48" s="93">
        <f t="shared" si="25"/>
        <v>4.1860741531751824</v>
      </c>
      <c r="BU48" s="90">
        <f t="shared" si="26"/>
        <v>0</v>
      </c>
      <c r="BV48" s="39">
        <f t="shared" si="27"/>
        <v>2.518201489640326</v>
      </c>
      <c r="BW48" s="11">
        <v>11.027664527945932</v>
      </c>
      <c r="BX48" s="93">
        <v>1.3879359269084375</v>
      </c>
      <c r="BY48" s="93">
        <v>3.1137656010156576</v>
      </c>
      <c r="BZ48" s="93">
        <f t="shared" si="28"/>
        <v>4.5017015279240953</v>
      </c>
      <c r="CA48" s="93"/>
      <c r="CB48" s="39">
        <f t="shared" si="29"/>
        <v>2.4600010102901804</v>
      </c>
      <c r="CC48" s="93">
        <v>4.6043551889988352</v>
      </c>
      <c r="CD48" s="93">
        <v>-9.4762721156135488E-2</v>
      </c>
      <c r="CE48" s="93">
        <v>1.2666488182504458</v>
      </c>
      <c r="CF48" s="93">
        <f t="shared" si="30"/>
        <v>1.1718860970943104</v>
      </c>
      <c r="CH48" s="39">
        <f t="shared" si="31"/>
        <v>2.5135092689739569</v>
      </c>
      <c r="CI48" s="93">
        <v>5.3897928205850842</v>
      </c>
      <c r="CJ48" s="93">
        <v>0.93986804735963958</v>
      </c>
      <c r="CK48" s="93">
        <v>1.5186963016257615</v>
      </c>
      <c r="CL48" s="93">
        <f t="shared" si="32"/>
        <v>2.458564348985401</v>
      </c>
      <c r="CM48" s="106"/>
      <c r="CN48" s="39">
        <f t="shared" si="33"/>
        <v>2.7978329732376128</v>
      </c>
      <c r="CO48" s="93">
        <v>1.0335165183620134</v>
      </c>
      <c r="CP48" s="93">
        <v>0.5428306007049335</v>
      </c>
      <c r="CQ48" s="93">
        <v>0.32842048113944977</v>
      </c>
      <c r="CR48" s="93">
        <f t="shared" si="34"/>
        <v>0.87125108184438327</v>
      </c>
      <c r="CS48" s="90">
        <f t="shared" si="35"/>
        <v>0</v>
      </c>
      <c r="CT48" s="39">
        <f t="shared" si="36"/>
        <v>2.9211505487475975</v>
      </c>
      <c r="CU48" s="11">
        <v>26.400418747118454</v>
      </c>
      <c r="CV48" s="93">
        <v>14.533116766874658</v>
      </c>
      <c r="CW48" s="93">
        <v>8.8088609591388032</v>
      </c>
      <c r="CX48" s="93">
        <f t="shared" si="37"/>
        <v>23.341977726013461</v>
      </c>
      <c r="CY48" s="93"/>
      <c r="CZ48" s="39">
        <f t="shared" si="38"/>
        <v>2.8911023071172881</v>
      </c>
      <c r="DA48" s="93">
        <v>14.865759985559873</v>
      </c>
      <c r="DB48" s="93">
        <v>2.6047667577589646</v>
      </c>
      <c r="DC48" s="93">
        <v>4.9023576391297414</v>
      </c>
      <c r="DD48" s="93">
        <f t="shared" si="39"/>
        <v>7.507124396888706</v>
      </c>
      <c r="DF48" s="39">
        <f t="shared" si="40"/>
        <v>2.9320472834624356</v>
      </c>
      <c r="DG48" s="93">
        <v>9.9319398501158016</v>
      </c>
      <c r="DH48" s="93">
        <v>8.9468017079534565</v>
      </c>
      <c r="DI48" s="93">
        <v>3.3279583238849022</v>
      </c>
      <c r="DJ48" s="93">
        <f t="shared" si="41"/>
        <v>12.274760031838358</v>
      </c>
      <c r="DK48" s="106"/>
      <c r="DL48" s="39">
        <f t="shared" si="42"/>
        <v>3.1300160142738953</v>
      </c>
      <c r="DM48" s="93">
        <v>1.6027189114427818</v>
      </c>
      <c r="DN48" s="93">
        <v>2.981548301162237</v>
      </c>
      <c r="DO48" s="93">
        <v>0.57854499612415899</v>
      </c>
      <c r="DP48" s="93">
        <f t="shared" si="43"/>
        <v>3.5600932972863961</v>
      </c>
    </row>
    <row r="49" spans="1:120" x14ac:dyDescent="0.3">
      <c r="B49" s="39"/>
      <c r="C49" s="93"/>
      <c r="D49" s="93"/>
      <c r="E49" s="93"/>
      <c r="F49" s="93"/>
      <c r="G49" s="93"/>
      <c r="H49" s="39"/>
      <c r="I49" s="93"/>
      <c r="J49" s="93"/>
      <c r="K49" s="93"/>
      <c r="L49" s="93"/>
      <c r="N49" s="39"/>
      <c r="O49" s="93"/>
      <c r="P49" s="93"/>
      <c r="Q49" s="93"/>
      <c r="R49" s="93"/>
      <c r="S49" s="106"/>
      <c r="T49" s="39"/>
      <c r="U49" s="93"/>
      <c r="V49" s="93"/>
      <c r="W49" s="93"/>
      <c r="X49" s="93"/>
      <c r="Z49" s="39"/>
      <c r="AA49" s="93"/>
      <c r="AB49" s="93"/>
      <c r="AC49" s="93"/>
      <c r="AD49" s="93"/>
      <c r="AE49" s="93"/>
      <c r="AF49" s="39"/>
      <c r="AG49" s="93"/>
      <c r="AH49" s="93"/>
      <c r="AI49" s="93"/>
      <c r="AJ49" s="93"/>
      <c r="AL49" s="39"/>
      <c r="AM49" s="93"/>
      <c r="AN49" s="93"/>
      <c r="AO49" s="93"/>
      <c r="AP49" s="93"/>
      <c r="AQ49" s="106"/>
      <c r="AR49" s="39"/>
      <c r="AS49" s="93"/>
      <c r="AT49" s="93"/>
      <c r="AU49" s="93"/>
      <c r="AV49" s="93"/>
      <c r="AX49" s="39"/>
      <c r="AY49" s="93"/>
      <c r="AZ49" s="93"/>
      <c r="BA49" s="93"/>
      <c r="BB49" s="93"/>
      <c r="BC49" s="93"/>
      <c r="BD49" s="39"/>
      <c r="BE49" s="93"/>
      <c r="BF49" s="93"/>
      <c r="BG49" s="93"/>
      <c r="BH49" s="93"/>
      <c r="BJ49" s="39"/>
      <c r="BK49" s="93"/>
      <c r="BL49" s="93"/>
      <c r="BM49" s="93"/>
      <c r="BN49" s="93"/>
      <c r="BO49" s="106"/>
      <c r="BP49" s="39"/>
      <c r="BQ49" s="93"/>
      <c r="BR49" s="93"/>
      <c r="BS49" s="93"/>
      <c r="BT49" s="93"/>
      <c r="BV49" s="39"/>
      <c r="BW49" s="93"/>
      <c r="BX49" s="93"/>
      <c r="BY49" s="93"/>
      <c r="BZ49" s="93"/>
      <c r="CA49" s="93"/>
      <c r="CB49" s="39"/>
      <c r="CC49" s="93"/>
      <c r="CD49" s="93"/>
      <c r="CE49" s="93"/>
      <c r="CF49" s="93"/>
      <c r="CH49" s="39"/>
      <c r="CI49" s="93"/>
      <c r="CJ49" s="93"/>
      <c r="CK49" s="93"/>
      <c r="CL49" s="93"/>
      <c r="CM49" s="106"/>
      <c r="CN49" s="39"/>
      <c r="CO49" s="93"/>
      <c r="CP49" s="93"/>
      <c r="CQ49" s="93"/>
      <c r="CR49" s="93"/>
      <c r="CT49" s="39"/>
      <c r="CU49" s="93"/>
      <c r="CV49" s="93"/>
      <c r="CW49" s="93"/>
      <c r="CX49" s="93"/>
      <c r="CY49" s="93"/>
      <c r="CZ49" s="39"/>
      <c r="DA49" s="93"/>
      <c r="DB49" s="93"/>
      <c r="DC49" s="93"/>
      <c r="DD49" s="93"/>
      <c r="DF49" s="39"/>
      <c r="DG49" s="93"/>
      <c r="DH49" s="93"/>
      <c r="DI49" s="93"/>
      <c r="DJ49" s="93"/>
      <c r="DK49" s="106"/>
      <c r="DL49" s="39"/>
      <c r="DM49" s="93"/>
      <c r="DN49" s="93"/>
      <c r="DO49" s="93"/>
      <c r="DP49" s="93"/>
    </row>
    <row r="50" spans="1:120" x14ac:dyDescent="0.3">
      <c r="A50" s="91" t="str">
        <f>name!B3</f>
        <v>All industries</v>
      </c>
      <c r="B50" s="42">
        <f t="shared" si="1"/>
        <v>2.7912372459239387</v>
      </c>
      <c r="C50" s="92">
        <v>4561.2992279926211</v>
      </c>
      <c r="D50" s="92">
        <v>431.97496524334053</v>
      </c>
      <c r="E50" s="92">
        <v>1445.5882710202891</v>
      </c>
      <c r="F50" s="92">
        <f t="shared" si="2"/>
        <v>1877.5632362636297</v>
      </c>
      <c r="G50" s="92"/>
      <c r="H50" s="42">
        <f t="shared" si="3"/>
        <v>2.6517730789267446</v>
      </c>
      <c r="I50" s="92">
        <v>774.77767553257945</v>
      </c>
      <c r="J50" s="92">
        <v>-90.9176985646708</v>
      </c>
      <c r="K50" s="92">
        <v>231.78692033646578</v>
      </c>
      <c r="L50" s="92">
        <f>SUM(J50:K50)</f>
        <v>140.86922177179497</v>
      </c>
      <c r="M50" s="91"/>
      <c r="N50" s="42">
        <f t="shared" si="5"/>
        <v>2.6893242464146816</v>
      </c>
      <c r="O50" s="92">
        <v>1810.6123702397726</v>
      </c>
      <c r="P50" s="92">
        <v>208.84741372398935</v>
      </c>
      <c r="Q50" s="92">
        <v>550.29225403969679</v>
      </c>
      <c r="R50" s="92">
        <f>SUM(P50:Q50)</f>
        <v>759.13966776368613</v>
      </c>
      <c r="S50" s="107"/>
      <c r="T50" s="42">
        <f t="shared" si="7"/>
        <v>2.9376202991175049</v>
      </c>
      <c r="U50" s="92">
        <v>1975.9091822202711</v>
      </c>
      <c r="V50" s="92">
        <v>314.04525008402186</v>
      </c>
      <c r="W50" s="92">
        <v>663.50909664412427</v>
      </c>
      <c r="X50" s="92">
        <f>SUM(V50:W50)</f>
        <v>977.55434672814613</v>
      </c>
      <c r="Y50" s="91" t="str">
        <f>A50</f>
        <v>All industries</v>
      </c>
      <c r="Z50" s="42">
        <f>IF(AA50&gt;0,((1+(AC50/AA50))^(1/($A$101-$A$100))-1)*100,0)</f>
        <v>2.9771972098236787</v>
      </c>
      <c r="AA50" s="92">
        <v>2141.7348734083043</v>
      </c>
      <c r="AB50" s="92">
        <v>328.18012130131888</v>
      </c>
      <c r="AC50" s="92">
        <v>730.21185757939747</v>
      </c>
      <c r="AD50" s="92">
        <f>SUM(AB50:AC50)</f>
        <v>1058.3919788807164</v>
      </c>
      <c r="AE50" s="92"/>
      <c r="AF50" s="42">
        <f>IF(AG50&gt;0,((1+(AI50/AG50))^(1/($A$101-$A$100))-1)*100,0)</f>
        <v>3.0280155732974823</v>
      </c>
      <c r="AG50" s="92">
        <v>114.36183531349347</v>
      </c>
      <c r="AH50" s="92">
        <v>10.806009020856356</v>
      </c>
      <c r="AI50" s="92">
        <v>39.749458273691218</v>
      </c>
      <c r="AJ50" s="92">
        <f>SUM(AH50:AI50)</f>
        <v>50.555467294547576</v>
      </c>
      <c r="AK50" s="91"/>
      <c r="AL50" s="42">
        <f>IF(AM50&gt;0,((1+(AO50/AM50))^(1/($A$101-$A$100))-1)*100,0)</f>
        <v>2.9663353480916088</v>
      </c>
      <c r="AM50" s="92">
        <v>484.03376220781502</v>
      </c>
      <c r="AN50" s="92">
        <v>80.752171418150368</v>
      </c>
      <c r="AO50" s="92">
        <v>164.34415782441963</v>
      </c>
      <c r="AP50" s="92">
        <f>SUM(AN50:AO50)</f>
        <v>245.09632924256999</v>
      </c>
      <c r="AQ50" s="107"/>
      <c r="AR50" s="42">
        <f>IF(AS50&gt;0,((1+(AU50/AS50))^(1/($A$101-$A$100))-1)*100,0)</f>
        <v>2.9768281396108875</v>
      </c>
      <c r="AS50" s="92">
        <v>1543.3392758869961</v>
      </c>
      <c r="AT50" s="92">
        <v>236.62194086231219</v>
      </c>
      <c r="AU50" s="92">
        <v>526.11824148128676</v>
      </c>
      <c r="AV50" s="92">
        <f>SUM(AT50:AU50)</f>
        <v>762.74018234359892</v>
      </c>
      <c r="AW50" s="91" t="str">
        <f>Y50</f>
        <v>All industries</v>
      </c>
      <c r="AX50" s="42">
        <f>IF(AY50&gt;0,((1+(BA50/AY50))^(1/($A$101-$A$100))-1)*100,0)</f>
        <v>2.5960689907792656</v>
      </c>
      <c r="AY50" s="92">
        <v>1169.4910110900296</v>
      </c>
      <c r="AZ50" s="92">
        <v>61.012733866251224</v>
      </c>
      <c r="BA50" s="92">
        <v>341.64688672572964</v>
      </c>
      <c r="BB50" s="92">
        <f>SUM(AZ50:BA50)</f>
        <v>402.65962059198085</v>
      </c>
      <c r="BC50" s="92"/>
      <c r="BD50" s="42">
        <f>IF(BE50&gt;0,((1+(BG50/BE50))^(1/($A$101-$A$100))-1)*100,0)</f>
        <v>2.5108134589674425</v>
      </c>
      <c r="BE50" s="92">
        <v>196.77997170605971</v>
      </c>
      <c r="BF50" s="92">
        <v>-19.19988351079143</v>
      </c>
      <c r="BG50" s="92">
        <v>55.380896948664599</v>
      </c>
      <c r="BH50" s="92">
        <f>SUM(BF50:BG50)</f>
        <v>36.181013437873169</v>
      </c>
      <c r="BI50" s="91"/>
      <c r="BJ50" s="42">
        <f>IF(BK50&gt;0,((1+(BM50/BK50))^(1/($A$101-$A$100))-1)*100,0)</f>
        <v>2.5531077119064882</v>
      </c>
      <c r="BK50" s="92">
        <v>650.12175377402275</v>
      </c>
      <c r="BL50" s="92">
        <v>42.192712487148434</v>
      </c>
      <c r="BM50" s="92">
        <v>186.41100647521165</v>
      </c>
      <c r="BN50" s="92">
        <f>SUM(BL50:BM50)</f>
        <v>228.60371896236009</v>
      </c>
      <c r="BO50" s="107"/>
      <c r="BP50" s="42">
        <f>IF(BQ50&gt;0,((1+(BS50/BQ50))^(1/($A$101-$A$100))-1)*100,0)</f>
        <v>2.7334678665663192</v>
      </c>
      <c r="BQ50" s="92">
        <v>322.58928560994713</v>
      </c>
      <c r="BR50" s="92">
        <v>38.019904889894228</v>
      </c>
      <c r="BS50" s="92">
        <v>99.854983301853494</v>
      </c>
      <c r="BT50" s="92">
        <f>SUM(BR50:BS50)</f>
        <v>137.87488819174771</v>
      </c>
      <c r="BU50" s="91" t="str">
        <f>AW50</f>
        <v>All industries</v>
      </c>
      <c r="BV50" s="42">
        <f>IF(BW50&gt;0,((1+(BY50/BW50))^(1/($A$101-$A$100))-1)*100,0)</f>
        <v>2.5889208699682698</v>
      </c>
      <c r="BW50" s="92">
        <v>786.26148565798121</v>
      </c>
      <c r="BX50" s="92">
        <v>-16.768227409449015</v>
      </c>
      <c r="BY50" s="92">
        <v>228.98528730973825</v>
      </c>
      <c r="BZ50" s="92">
        <f>SUM(BX50:BY50)</f>
        <v>212.21705990028923</v>
      </c>
      <c r="CA50" s="92"/>
      <c r="CB50" s="42">
        <f>IF(CC50&gt;0,((1+(CE50/CC50))^(1/($A$101-$A$100))-1)*100,0)</f>
        <v>2.5278948366694864</v>
      </c>
      <c r="CC50" s="92">
        <v>257.91842111045776</v>
      </c>
      <c r="CD50" s="92">
        <v>-52.179148361626908</v>
      </c>
      <c r="CE50" s="92">
        <v>73.138570554183204</v>
      </c>
      <c r="CF50" s="92">
        <f>SUM(CD50:CE50)</f>
        <v>20.959422192556296</v>
      </c>
      <c r="CG50" s="91"/>
      <c r="CH50" s="42">
        <f>IF(CI50&gt;0,((1+(CK50/CI50))^(1/($A$101-$A$100))-1)*100,0)</f>
        <v>2.5655949055339189</v>
      </c>
      <c r="CI50" s="92">
        <v>462.50112579230256</v>
      </c>
      <c r="CJ50" s="92">
        <v>18.263082416840735</v>
      </c>
      <c r="CK50" s="92">
        <v>133.33911166207648</v>
      </c>
      <c r="CL50" s="92">
        <f>SUM(CJ50:CK50)</f>
        <v>151.60219407891722</v>
      </c>
      <c r="CM50" s="107"/>
      <c r="CN50" s="42">
        <f>IF(CO50&gt;0,((1+(CQ50/CO50))^(1/($A$101-$A$100))-1)*100,0)</f>
        <v>2.9840981402702971</v>
      </c>
      <c r="CO50" s="92">
        <v>65.841938755220539</v>
      </c>
      <c r="CP50" s="92">
        <v>17.147838535337179</v>
      </c>
      <c r="CQ50" s="92">
        <v>22.507605093478684</v>
      </c>
      <c r="CR50" s="92">
        <f>SUM(CP50:CQ50)</f>
        <v>39.65544362881586</v>
      </c>
      <c r="CS50" s="91" t="str">
        <f>BU50</f>
        <v>All industries</v>
      </c>
      <c r="CT50" s="42">
        <f>IF(CU50&gt;0,((1+(CW50/CU50))^(1/($A$101-$A$100))-1)*100,0)</f>
        <v>2.7533233225370157</v>
      </c>
      <c r="CU50" s="92">
        <v>463.81185783630696</v>
      </c>
      <c r="CV50" s="92">
        <v>59.550337485219423</v>
      </c>
      <c r="CW50" s="92">
        <v>144.74423940542175</v>
      </c>
      <c r="CX50" s="92">
        <f>SUM(CV50:CW50)</f>
        <v>204.29457689064117</v>
      </c>
      <c r="CY50" s="92"/>
      <c r="CZ50" s="42">
        <f>IF(DA50&gt;0,((1+(DC50/DA50))^(1/($A$101-$A$100))-1)*100,0)</f>
        <v>2.7273559755584653</v>
      </c>
      <c r="DA50" s="92">
        <v>205.71744740256855</v>
      </c>
      <c r="DB50" s="92">
        <v>-30.344675713108767</v>
      </c>
      <c r="DC50" s="92">
        <v>63.517994559926827</v>
      </c>
      <c r="DD50" s="92">
        <f>SUM(DB50:DC50)</f>
        <v>33.173318846818063</v>
      </c>
      <c r="DE50" s="91"/>
      <c r="DF50" s="42">
        <f>IF(DG50&gt;0,((1+(DI50/DG50))^(1/($A$101-$A$100))-1)*100,0)</f>
        <v>2.7323553670193235</v>
      </c>
      <c r="DG50" s="92">
        <v>213.95572846563186</v>
      </c>
      <c r="DH50" s="92">
        <v>67.639447401849822</v>
      </c>
      <c r="DI50" s="92">
        <v>66.197978077989319</v>
      </c>
      <c r="DJ50" s="92">
        <f>SUM(DH50:DI50)</f>
        <v>133.83742547983914</v>
      </c>
      <c r="DK50" s="107"/>
      <c r="DL50" s="42">
        <f>IF(DM50&gt;0,((1+(DO50/DM50))^(1/($A$101-$A$100))-1)*100,0)</f>
        <v>2.9736201868302725</v>
      </c>
      <c r="DM50" s="92">
        <v>44.13868196810671</v>
      </c>
      <c r="DN50" s="92">
        <v>22.25556579647839</v>
      </c>
      <c r="DO50" s="92">
        <v>15.028266767505601</v>
      </c>
      <c r="DP50" s="92">
        <f>SUM(DN50:DO50)</f>
        <v>37.283832563983992</v>
      </c>
    </row>
    <row r="51" spans="1:120" x14ac:dyDescent="0.3">
      <c r="B51" s="93"/>
      <c r="C51" s="93"/>
      <c r="D51" s="93"/>
      <c r="E51" s="93"/>
      <c r="F51" s="93"/>
      <c r="G51" s="93"/>
      <c r="Z51" s="93"/>
      <c r="AA51" s="93"/>
      <c r="AB51" s="93"/>
      <c r="AC51" s="93"/>
      <c r="AD51" s="93"/>
      <c r="AE51" s="93"/>
      <c r="AX51" s="93"/>
      <c r="AY51" s="93"/>
      <c r="AZ51" s="93"/>
      <c r="BA51" s="93"/>
      <c r="BB51" s="93"/>
      <c r="BC51" s="93"/>
      <c r="BV51" s="93"/>
      <c r="BW51" s="93"/>
      <c r="BX51" s="93"/>
      <c r="BY51" s="93"/>
      <c r="BZ51" s="93"/>
      <c r="CA51" s="93"/>
      <c r="CT51" s="93"/>
      <c r="CU51" s="93"/>
      <c r="CV51" s="93"/>
      <c r="CW51" s="93"/>
      <c r="CX51" s="93"/>
      <c r="CY51" s="93"/>
    </row>
    <row r="52" spans="1:120" x14ac:dyDescent="0.3">
      <c r="A52" s="90" t="str">
        <f ca="1">CELL("filename")</f>
        <v>https://educationgovuk.sharepoint.com/sites/UnitforFutureSkills/Shared Documents/Analytical Projects/Analysis/Ad hoc/Economics Surgery/[a01may2024 (1).xlsm]Sheet1</v>
      </c>
      <c r="B52" s="93"/>
      <c r="C52" s="93"/>
      <c r="D52" s="93"/>
      <c r="E52" s="93"/>
      <c r="F52" s="93"/>
      <c r="G52" s="93"/>
      <c r="Y52" s="90" t="str">
        <f ca="1">CELL("filename")</f>
        <v>https://educationgovuk.sharepoint.com/sites/UnitforFutureSkills/Shared Documents/Analytical Projects/Analysis/Ad hoc/Economics Surgery/[a01may2024 (1).xlsm]Sheet1</v>
      </c>
      <c r="Z52" s="93"/>
      <c r="AA52" s="93"/>
      <c r="AB52" s="93"/>
      <c r="AC52" s="93"/>
      <c r="AD52" s="93"/>
      <c r="AE52" s="93"/>
      <c r="AW52" s="90" t="str">
        <f ca="1">CELL("filename")</f>
        <v>https://educationgovuk.sharepoint.com/sites/UnitforFutureSkills/Shared Documents/Analytical Projects/Analysis/Ad hoc/Economics Surgery/[a01may2024 (1).xlsm]Sheet1</v>
      </c>
      <c r="AX52" s="93"/>
      <c r="AY52" s="93"/>
      <c r="AZ52" s="93"/>
      <c r="BA52" s="93"/>
      <c r="BB52" s="93"/>
      <c r="BC52" s="93"/>
      <c r="BU52" s="90" t="str">
        <f ca="1">CELL("filename")</f>
        <v>https://educationgovuk.sharepoint.com/sites/UnitforFutureSkills/Shared Documents/Analytical Projects/Analysis/Ad hoc/Economics Surgery/[a01may2024 (1).xlsm]Sheet1</v>
      </c>
      <c r="BV52" s="93"/>
      <c r="BW52" s="93"/>
      <c r="BX52" s="93"/>
      <c r="BY52" s="93"/>
      <c r="BZ52" s="93"/>
      <c r="CA52" s="93"/>
      <c r="CS52" s="90" t="str">
        <f ca="1">CELL("filename")</f>
        <v>https://educationgovuk.sharepoint.com/sites/UnitforFutureSkills/Shared Documents/Analytical Projects/Analysis/Ad hoc/Economics Surgery/[a01may2024 (1).xlsm]Sheet1</v>
      </c>
      <c r="CT52" s="93"/>
      <c r="CU52" s="93"/>
      <c r="CV52" s="93"/>
      <c r="CW52" s="93"/>
      <c r="CX52" s="93"/>
      <c r="CY52" s="93"/>
    </row>
    <row r="53" spans="1:120" ht="15.45" x14ac:dyDescent="0.4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3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115" t="str">
        <f>$X$3</f>
        <v>thousands</v>
      </c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115" t="str">
        <f>$X$3</f>
        <v>thousands</v>
      </c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115" t="str">
        <f>$X$3</f>
        <v>thousands</v>
      </c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115" t="str">
        <f>$X$3</f>
        <v>thousands</v>
      </c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115" t="str">
        <f>$X$3</f>
        <v>thousands</v>
      </c>
    </row>
    <row r="56" spans="1:120" x14ac:dyDescent="0.3">
      <c r="B56" s="383" t="str">
        <f>B4</f>
        <v>All qualifications</v>
      </c>
      <c r="C56" s="383"/>
      <c r="D56" s="383"/>
      <c r="E56" s="383"/>
      <c r="F56" s="383"/>
      <c r="G56" s="113"/>
      <c r="H56" s="383" t="str">
        <f>H4</f>
        <v>RQF8 Doctorate</v>
      </c>
      <c r="I56" s="383"/>
      <c r="J56" s="383"/>
      <c r="K56" s="383"/>
      <c r="L56" s="383"/>
      <c r="M56" s="113"/>
      <c r="N56" s="382" t="str">
        <f>N4</f>
        <v>RQF7 Other higher degree</v>
      </c>
      <c r="O56" s="382"/>
      <c r="P56" s="382"/>
      <c r="Q56" s="382"/>
      <c r="R56" s="382"/>
      <c r="S56" s="110"/>
      <c r="T56" s="382" t="str">
        <f>T4</f>
        <v>RQF6 First degree</v>
      </c>
      <c r="U56" s="382"/>
      <c r="V56" s="382"/>
      <c r="W56" s="382"/>
      <c r="X56" s="382"/>
      <c r="Z56" s="383" t="str">
        <f>Z4</f>
        <v>All qualifications</v>
      </c>
      <c r="AA56" s="383"/>
      <c r="AB56" s="383"/>
      <c r="AC56" s="383"/>
      <c r="AD56" s="383"/>
      <c r="AE56" s="113"/>
      <c r="AF56" s="383" t="str">
        <f>AF4</f>
        <v>RQF8 Doctorate</v>
      </c>
      <c r="AG56" s="383"/>
      <c r="AH56" s="383"/>
      <c r="AI56" s="383"/>
      <c r="AJ56" s="383"/>
      <c r="AK56" s="113"/>
      <c r="AL56" s="382" t="str">
        <f>AL4</f>
        <v>RQF7 Other higher degree</v>
      </c>
      <c r="AM56" s="382"/>
      <c r="AN56" s="382"/>
      <c r="AO56" s="382"/>
      <c r="AP56" s="382"/>
      <c r="AQ56" s="110"/>
      <c r="AR56" s="382" t="str">
        <f>AR4</f>
        <v>RQF6 First degree</v>
      </c>
      <c r="AS56" s="382"/>
      <c r="AT56" s="382"/>
      <c r="AU56" s="382"/>
      <c r="AV56" s="382"/>
      <c r="AX56" s="383" t="str">
        <f>AX4</f>
        <v>All qualifications</v>
      </c>
      <c r="AY56" s="383"/>
      <c r="AZ56" s="383"/>
      <c r="BA56" s="383"/>
      <c r="BB56" s="383"/>
      <c r="BC56" s="113"/>
      <c r="BD56" s="383" t="str">
        <f>BD4</f>
        <v>RQF8 Doctorate</v>
      </c>
      <c r="BE56" s="383"/>
      <c r="BF56" s="383"/>
      <c r="BG56" s="383"/>
      <c r="BH56" s="383"/>
      <c r="BI56" s="113"/>
      <c r="BJ56" s="382" t="str">
        <f>BJ4</f>
        <v>RQF7 Other higher degree</v>
      </c>
      <c r="BK56" s="382"/>
      <c r="BL56" s="382"/>
      <c r="BM56" s="382"/>
      <c r="BN56" s="382"/>
      <c r="BO56" s="110"/>
      <c r="BP56" s="382" t="str">
        <f>BP4</f>
        <v>RQF6 First degree</v>
      </c>
      <c r="BQ56" s="382"/>
      <c r="BR56" s="382"/>
      <c r="BS56" s="382"/>
      <c r="BT56" s="382"/>
      <c r="BV56" s="383" t="str">
        <f>BV4</f>
        <v>All qualifications</v>
      </c>
      <c r="BW56" s="383"/>
      <c r="BX56" s="383"/>
      <c r="BY56" s="383"/>
      <c r="BZ56" s="383"/>
      <c r="CA56" s="113"/>
      <c r="CB56" s="383" t="str">
        <f>CB4</f>
        <v>RQF8 Doctorate</v>
      </c>
      <c r="CC56" s="383"/>
      <c r="CD56" s="383"/>
      <c r="CE56" s="383"/>
      <c r="CF56" s="383"/>
      <c r="CG56" s="113"/>
      <c r="CH56" s="382" t="str">
        <f>CH4</f>
        <v>RQF7 Other higher degree</v>
      </c>
      <c r="CI56" s="382"/>
      <c r="CJ56" s="382"/>
      <c r="CK56" s="382"/>
      <c r="CL56" s="382"/>
      <c r="CM56" s="110"/>
      <c r="CN56" s="382" t="str">
        <f>CN4</f>
        <v>RQF6 First degree</v>
      </c>
      <c r="CO56" s="382"/>
      <c r="CP56" s="382"/>
      <c r="CQ56" s="382"/>
      <c r="CR56" s="382"/>
      <c r="CT56" s="383" t="str">
        <f>CT4</f>
        <v>All qualifications</v>
      </c>
      <c r="CU56" s="383"/>
      <c r="CV56" s="383"/>
      <c r="CW56" s="383"/>
      <c r="CX56" s="383"/>
      <c r="CY56" s="113"/>
      <c r="CZ56" s="383" t="str">
        <f>CZ4</f>
        <v>RQF8 Doctorate</v>
      </c>
      <c r="DA56" s="383"/>
      <c r="DB56" s="383"/>
      <c r="DC56" s="383"/>
      <c r="DD56" s="383"/>
      <c r="DE56" s="113"/>
      <c r="DF56" s="382" t="str">
        <f>DF4</f>
        <v>RQF7 Other higher degree</v>
      </c>
      <c r="DG56" s="382"/>
      <c r="DH56" s="382"/>
      <c r="DI56" s="382"/>
      <c r="DJ56" s="382"/>
      <c r="DK56" s="110"/>
      <c r="DL56" s="382" t="str">
        <f>DL4</f>
        <v>RQF6 First degree</v>
      </c>
      <c r="DM56" s="382"/>
      <c r="DN56" s="382"/>
      <c r="DO56" s="382"/>
      <c r="DP56" s="382"/>
    </row>
    <row r="58" spans="1:120" ht="37.299999999999997" x14ac:dyDescent="0.3">
      <c r="A58" s="112"/>
      <c r="B58" s="109" t="str">
        <f>B6</f>
        <v>RD p.a%</v>
      </c>
      <c r="C58" s="109" t="str">
        <f>C6</f>
        <v>2015 Level</v>
      </c>
      <c r="D58" s="109" t="str">
        <f>D6</f>
        <v>Net Change</v>
      </c>
      <c r="E58" s="109" t="str">
        <f>E6</f>
        <v>Replace-ment Demand</v>
      </c>
      <c r="F58" s="109" t="str">
        <f>F6</f>
        <v>Total Require-ment</v>
      </c>
      <c r="G58" s="108"/>
      <c r="H58" s="104" t="str">
        <f>B58</f>
        <v>RD p.a%</v>
      </c>
      <c r="I58" s="104" t="str">
        <f>C58</f>
        <v>2015 Level</v>
      </c>
      <c r="J58" s="104" t="str">
        <f>D58</f>
        <v>Net Change</v>
      </c>
      <c r="K58" s="104" t="str">
        <f>E58</f>
        <v>Replace-ment Demand</v>
      </c>
      <c r="L58" s="104" t="str">
        <f>F58</f>
        <v>Total Require-ment</v>
      </c>
      <c r="M58" s="103"/>
      <c r="N58" s="105" t="str">
        <f>H58</f>
        <v>RD p.a%</v>
      </c>
      <c r="O58" s="105" t="str">
        <f>I58</f>
        <v>2015 Level</v>
      </c>
      <c r="P58" s="105" t="str">
        <f>J58</f>
        <v>Net Change</v>
      </c>
      <c r="Q58" s="105" t="str">
        <f>K58</f>
        <v>Replace-ment Demand</v>
      </c>
      <c r="R58" s="105" t="str">
        <f>L58</f>
        <v>Total Require-ment</v>
      </c>
      <c r="S58" s="103"/>
      <c r="T58" s="105" t="str">
        <f>N58</f>
        <v>RD p.a%</v>
      </c>
      <c r="U58" s="105" t="str">
        <f>O58</f>
        <v>2015 Level</v>
      </c>
      <c r="V58" s="105" t="str">
        <f>P58</f>
        <v>Net Change</v>
      </c>
      <c r="W58" s="105" t="str">
        <f>Q58</f>
        <v>Replace-ment Demand</v>
      </c>
      <c r="X58" s="105" t="str">
        <f>R58</f>
        <v>Total Require-ment</v>
      </c>
      <c r="Y58" s="112"/>
      <c r="Z58" s="109" t="str">
        <f>Z6</f>
        <v>RD p.a%</v>
      </c>
      <c r="AA58" s="109" t="str">
        <f>AA6</f>
        <v>2015 Level</v>
      </c>
      <c r="AB58" s="109" t="str">
        <f>AB6</f>
        <v>Net Change</v>
      </c>
      <c r="AC58" s="109" t="str">
        <f>AC6</f>
        <v>Replace-ment Demand</v>
      </c>
      <c r="AD58" s="109" t="str">
        <f>AD6</f>
        <v>Total Require-ment</v>
      </c>
      <c r="AE58" s="108"/>
      <c r="AF58" s="104" t="str">
        <f>Z58</f>
        <v>RD p.a%</v>
      </c>
      <c r="AG58" s="104" t="str">
        <f>AA58</f>
        <v>2015 Level</v>
      </c>
      <c r="AH58" s="104" t="str">
        <f>AB58</f>
        <v>Net Change</v>
      </c>
      <c r="AI58" s="104" t="str">
        <f>AC58</f>
        <v>Replace-ment Demand</v>
      </c>
      <c r="AJ58" s="104" t="str">
        <f>AD58</f>
        <v>Total Require-ment</v>
      </c>
      <c r="AK58" s="103"/>
      <c r="AL58" s="105" t="str">
        <f>AF58</f>
        <v>RD p.a%</v>
      </c>
      <c r="AM58" s="105" t="str">
        <f>AG58</f>
        <v>2015 Level</v>
      </c>
      <c r="AN58" s="105" t="str">
        <f>AH58</f>
        <v>Net Change</v>
      </c>
      <c r="AO58" s="105" t="str">
        <f>AI58</f>
        <v>Replace-ment Demand</v>
      </c>
      <c r="AP58" s="105" t="str">
        <f>AJ58</f>
        <v>Total Require-ment</v>
      </c>
      <c r="AQ58" s="103"/>
      <c r="AR58" s="105" t="str">
        <f>AL58</f>
        <v>RD p.a%</v>
      </c>
      <c r="AS58" s="105" t="str">
        <f>AM58</f>
        <v>2015 Level</v>
      </c>
      <c r="AT58" s="105" t="str">
        <f>AN58</f>
        <v>Net Change</v>
      </c>
      <c r="AU58" s="105" t="str">
        <f>AO58</f>
        <v>Replace-ment Demand</v>
      </c>
      <c r="AV58" s="105" t="str">
        <f>AP58</f>
        <v>Total Require-ment</v>
      </c>
      <c r="AW58" s="112"/>
      <c r="AX58" s="109" t="str">
        <f>AX6</f>
        <v>RD p.a%</v>
      </c>
      <c r="AY58" s="109" t="str">
        <f>AY6</f>
        <v>2015 Level</v>
      </c>
      <c r="AZ58" s="109" t="str">
        <f>AZ6</f>
        <v>Net Change</v>
      </c>
      <c r="BA58" s="109" t="str">
        <f>BA6</f>
        <v>Replace-ment Demand</v>
      </c>
      <c r="BB58" s="109" t="str">
        <f>BB6</f>
        <v>Total Require-ment</v>
      </c>
      <c r="BC58" s="108"/>
      <c r="BD58" s="104" t="str">
        <f>AX58</f>
        <v>RD p.a%</v>
      </c>
      <c r="BE58" s="104" t="str">
        <f>AY58</f>
        <v>2015 Level</v>
      </c>
      <c r="BF58" s="104" t="str">
        <f>AZ58</f>
        <v>Net Change</v>
      </c>
      <c r="BG58" s="104" t="str">
        <f>BA58</f>
        <v>Replace-ment Demand</v>
      </c>
      <c r="BH58" s="104" t="str">
        <f>BB58</f>
        <v>Total Require-ment</v>
      </c>
      <c r="BI58" s="103"/>
      <c r="BJ58" s="105" t="str">
        <f>BD58</f>
        <v>RD p.a%</v>
      </c>
      <c r="BK58" s="105" t="str">
        <f>BE58</f>
        <v>2015 Level</v>
      </c>
      <c r="BL58" s="105" t="str">
        <f>BF58</f>
        <v>Net Change</v>
      </c>
      <c r="BM58" s="105" t="str">
        <f>BG58</f>
        <v>Replace-ment Demand</v>
      </c>
      <c r="BN58" s="105" t="str">
        <f>BH58</f>
        <v>Total Require-ment</v>
      </c>
      <c r="BO58" s="103"/>
      <c r="BP58" s="105" t="str">
        <f>BJ58</f>
        <v>RD p.a%</v>
      </c>
      <c r="BQ58" s="105" t="str">
        <f>BK58</f>
        <v>2015 Level</v>
      </c>
      <c r="BR58" s="105" t="str">
        <f>BL58</f>
        <v>Net Change</v>
      </c>
      <c r="BS58" s="105" t="str">
        <f>BM58</f>
        <v>Replace-ment Demand</v>
      </c>
      <c r="BT58" s="105" t="str">
        <f>BN58</f>
        <v>Total Require-ment</v>
      </c>
      <c r="BU58" s="112"/>
      <c r="BV58" s="109" t="str">
        <f>BV6</f>
        <v>RD p.a%</v>
      </c>
      <c r="BW58" s="109" t="str">
        <f>BW6</f>
        <v>2015 Level</v>
      </c>
      <c r="BX58" s="109" t="str">
        <f>BX6</f>
        <v>Net Change</v>
      </c>
      <c r="BY58" s="109" t="str">
        <f>BY6</f>
        <v>Replace-ment Demand</v>
      </c>
      <c r="BZ58" s="109" t="str">
        <f>BZ6</f>
        <v>Total Require-ment</v>
      </c>
      <c r="CA58" s="108"/>
      <c r="CB58" s="104" t="str">
        <f>BV58</f>
        <v>RD p.a%</v>
      </c>
      <c r="CC58" s="104" t="str">
        <f>BW58</f>
        <v>2015 Level</v>
      </c>
      <c r="CD58" s="104" t="str">
        <f>BX58</f>
        <v>Net Change</v>
      </c>
      <c r="CE58" s="104" t="str">
        <f>BY58</f>
        <v>Replace-ment Demand</v>
      </c>
      <c r="CF58" s="104" t="str">
        <f>BZ58</f>
        <v>Total Require-ment</v>
      </c>
      <c r="CG58" s="103"/>
      <c r="CH58" s="105" t="str">
        <f>CB58</f>
        <v>RD p.a%</v>
      </c>
      <c r="CI58" s="105" t="str">
        <f>CC58</f>
        <v>2015 Level</v>
      </c>
      <c r="CJ58" s="105" t="str">
        <f>CD58</f>
        <v>Net Change</v>
      </c>
      <c r="CK58" s="105" t="str">
        <f>CE58</f>
        <v>Replace-ment Demand</v>
      </c>
      <c r="CL58" s="105" t="str">
        <f>CF58</f>
        <v>Total Require-ment</v>
      </c>
      <c r="CM58" s="103"/>
      <c r="CN58" s="105" t="str">
        <f>CH58</f>
        <v>RD p.a%</v>
      </c>
      <c r="CO58" s="105" t="str">
        <f>CI58</f>
        <v>2015 Level</v>
      </c>
      <c r="CP58" s="105" t="str">
        <f>CJ58</f>
        <v>Net Change</v>
      </c>
      <c r="CQ58" s="105" t="str">
        <f>CK58</f>
        <v>Replace-ment Demand</v>
      </c>
      <c r="CR58" s="105" t="str">
        <f>CL58</f>
        <v>Total Require-ment</v>
      </c>
      <c r="CS58" s="112"/>
      <c r="CT58" s="109" t="str">
        <f>CT6</f>
        <v>RD p.a%</v>
      </c>
      <c r="CU58" s="109" t="str">
        <f>CU6</f>
        <v>2015 Level</v>
      </c>
      <c r="CV58" s="109" t="str">
        <f>CV6</f>
        <v>Net Change</v>
      </c>
      <c r="CW58" s="109" t="str">
        <f>CW6</f>
        <v>Replace-ment Demand</v>
      </c>
      <c r="CX58" s="109" t="str">
        <f>CX6</f>
        <v>Total Require-ment</v>
      </c>
      <c r="CY58" s="108"/>
      <c r="CZ58" s="104" t="str">
        <f>CT58</f>
        <v>RD p.a%</v>
      </c>
      <c r="DA58" s="104" t="str">
        <f>CU58</f>
        <v>2015 Level</v>
      </c>
      <c r="DB58" s="104" t="str">
        <f>CV58</f>
        <v>Net Change</v>
      </c>
      <c r="DC58" s="104" t="str">
        <f>CW58</f>
        <v>Replace-ment Demand</v>
      </c>
      <c r="DD58" s="104" t="str">
        <f>CX58</f>
        <v>Total Require-ment</v>
      </c>
      <c r="DE58" s="103"/>
      <c r="DF58" s="105" t="str">
        <f>CZ58</f>
        <v>RD p.a%</v>
      </c>
      <c r="DG58" s="105" t="str">
        <f>DA58</f>
        <v>2015 Level</v>
      </c>
      <c r="DH58" s="105" t="str">
        <f>DB58</f>
        <v>Net Change</v>
      </c>
      <c r="DI58" s="105" t="str">
        <f>DC58</f>
        <v>Replace-ment Demand</v>
      </c>
      <c r="DJ58" s="105" t="str">
        <f>DD58</f>
        <v>Total Require-ment</v>
      </c>
      <c r="DK58" s="103"/>
      <c r="DL58" s="105" t="str">
        <f>DF58</f>
        <v>RD p.a%</v>
      </c>
      <c r="DM58" s="105" t="str">
        <f>DG58</f>
        <v>2015 Level</v>
      </c>
      <c r="DN58" s="105" t="str">
        <f>DH58</f>
        <v>Net Change</v>
      </c>
      <c r="DO58" s="105" t="str">
        <f>DI58</f>
        <v>Replace-ment Demand</v>
      </c>
      <c r="DP58" s="105" t="str">
        <f>DJ58</f>
        <v>Total Require-ment</v>
      </c>
    </row>
    <row r="60" spans="1:120" x14ac:dyDescent="0.3">
      <c r="A60" s="90" t="e">
        <f>name!#REF!</f>
        <v>#REF!</v>
      </c>
      <c r="B60" s="39">
        <f t="shared" ref="B60:B77" si="44">IF(C60&gt;0,((1+(E60/C60))^(1/($A$101-$A$100))-1)*100,0)</f>
        <v>3.0200371662758352</v>
      </c>
      <c r="C60" s="93">
        <f t="array" ref="C60:C75">MMULT(aggregation!$B$28:$AP$33,C8:C48)</f>
        <v>366.4282299047502</v>
      </c>
      <c r="D60" s="93">
        <f t="array" ref="D60:D75">MMULT(aggregation!$B$28:$AP$33,D8:D48)</f>
        <v>12.375876953571559</v>
      </c>
      <c r="E60" s="93">
        <f t="array" ref="E60:E75">MMULT(aggregation!$B$28:$AP$33,E8:E48)</f>
        <v>126.97949758360076</v>
      </c>
      <c r="F60" s="93">
        <f t="array" ref="F60:F75">MMULT(aggregation!$B$28:$AP$33,F8:F48)</f>
        <v>139.35537453717231</v>
      </c>
      <c r="H60" s="39">
        <f t="shared" ref="H60:H77" si="45">IF(I60&gt;0,((1+(K60/I60))^(1/($A$101-$A$100))-1)*100,0)</f>
        <v>2.9285612180755871</v>
      </c>
      <c r="I60" s="93">
        <f t="array" ref="I60:I75">MMULT(aggregation!$B$28:$AP$33,I8:I48)</f>
        <v>97.376228083615871</v>
      </c>
      <c r="J60" s="93">
        <f t="array" ref="J60:J75">MMULT(aggregation!$B$28:$AP$33,J8:J48)</f>
        <v>-20.134418454551835</v>
      </c>
      <c r="K60" s="93">
        <f t="array" ref="K60:K75">MMULT(aggregation!$B$28:$AP$33,K8:K48)</f>
        <v>32.584449941883307</v>
      </c>
      <c r="L60" s="93">
        <f t="array" ref="L60:L75">MMULT(aggregation!$B$28:$AP$33,L8:L48)</f>
        <v>12.450031487331474</v>
      </c>
      <c r="N60" s="39">
        <f t="shared" ref="N60:N77" si="46">IF(O60&gt;0,((1+(Q60/O60))^(1/($A$101-$A$100))-1)*100,0)</f>
        <v>3.0078818163740584</v>
      </c>
      <c r="O60" s="93">
        <f t="array" ref="O60:O75">MMULT(aggregation!$B$28:$AP$33,O8:O48)</f>
        <v>182.91528670445331</v>
      </c>
      <c r="P60" s="93">
        <f t="array" ref="P60:P75">MMULT(aggregation!$B$28:$AP$33,P8:P48)</f>
        <v>11.860906329989675</v>
      </c>
      <c r="Q60" s="93">
        <f t="array" ref="Q60:Q75">MMULT(aggregation!$B$28:$AP$33,Q8:Q48)</f>
        <v>63.095737682523136</v>
      </c>
      <c r="R60" s="93">
        <f t="array" ref="R60:R75">MMULT(aggregation!$B$28:$AP$33,R8:R48)</f>
        <v>74.956644012512811</v>
      </c>
      <c r="S60" s="93"/>
      <c r="T60" s="39">
        <f t="shared" ref="T60:T77" si="47">IF(U60&gt;0,((1+(W60/U60))^(1/($A$101-$A$100))-1)*100,0)</f>
        <v>3.1481168893008116</v>
      </c>
      <c r="U60" s="93">
        <f t="array" ref="U60:U75">MMULT(aggregation!$B$28:$AP$33,U8:U48)</f>
        <v>86.136715116681074</v>
      </c>
      <c r="V60" s="93">
        <f t="array" ref="V60:V75">MMULT(aggregation!$B$28:$AP$33,V8:V48)</f>
        <v>20.649389078133723</v>
      </c>
      <c r="W60" s="93">
        <f t="array" ref="W60:W75">MMULT(aggregation!$B$28:$AP$33,W8:W48)</f>
        <v>31.299309959194293</v>
      </c>
      <c r="X60" s="93">
        <f t="array" ref="X60:X75">MMULT(aggregation!$B$28:$AP$33,X8:X48)</f>
        <v>51.948699037328012</v>
      </c>
      <c r="Y60" s="90" t="e">
        <f>A60</f>
        <v>#REF!</v>
      </c>
      <c r="Z60" s="39">
        <f t="shared" ref="Z60:Z75" si="48">IF(AA60&gt;0,((1+(AC60/AA60))^(1/($A$101-$A$100))-1)*100,0)</f>
        <v>3.4510693323820618</v>
      </c>
      <c r="AA60" s="93">
        <f t="array" ref="AA60:AA75">MMULT(aggregation!$B$28:$AP$33,AA8:AA48)</f>
        <v>109.40097762183721</v>
      </c>
      <c r="AB60" s="93">
        <f t="array" ref="AB60:AB75">MMULT(aggregation!$B$28:$AP$33,AB8:AB48)</f>
        <v>9.4111962426802158</v>
      </c>
      <c r="AC60" s="93">
        <f t="array" ref="AC60:AC75">MMULT(aggregation!$B$28:$AP$33,AC8:AC48)</f>
        <v>44.19188844178916</v>
      </c>
      <c r="AD60" s="93">
        <f t="array" ref="AD60:AD75">MMULT(aggregation!$B$28:$AP$33,AD8:AD48)</f>
        <v>53.603084684469373</v>
      </c>
      <c r="AF60" s="39">
        <f t="shared" ref="AF60:AF75" si="49">IF(AG60&gt;0,((1+(AI60/AG60))^(1/($A$101-$A$100))-1)*100,0)</f>
        <v>3.8042706160036355</v>
      </c>
      <c r="AG60" s="93">
        <f t="array" ref="AG60:AG75">MMULT(aggregation!$B$28:$AP$33,AG8:AG48)</f>
        <v>13.890583179106276</v>
      </c>
      <c r="AH60" s="93">
        <f t="array" ref="AH60:AH75">MMULT(aggregation!$B$28:$AP$33,AH8:AH48)</f>
        <v>-3.9765127034124319</v>
      </c>
      <c r="AI60" s="93">
        <f t="array" ref="AI60:AI75">MMULT(aggregation!$B$28:$AP$33,AI8:AI48)</f>
        <v>6.2871647138905322</v>
      </c>
      <c r="AJ60" s="93">
        <f t="array" ref="AJ60:AJ75">MMULT(aggregation!$B$28:$AP$33,AJ8:AJ48)</f>
        <v>2.3106520104781003</v>
      </c>
      <c r="AL60" s="39">
        <f t="shared" ref="AL60:AL75" si="50">IF(AM60&gt;0,((1+(AO60/AM60))^(1/($A$101-$A$100))-1)*100,0)</f>
        <v>3.5604682409842825</v>
      </c>
      <c r="AM60" s="93">
        <f t="array" ref="AM60:AM75">MMULT(aggregation!$B$28:$AP$33,AM8:AM48)</f>
        <v>46.925666714529029</v>
      </c>
      <c r="AN60" s="93">
        <f t="array" ref="AN60:AN75">MMULT(aggregation!$B$28:$AP$33,AN8:AN48)</f>
        <v>3.8599342908012759</v>
      </c>
      <c r="AO60" s="93">
        <f t="array" ref="AO60:AO75">MMULT(aggregation!$B$28:$AP$33,AO8:AO48)</f>
        <v>19.655362728522867</v>
      </c>
      <c r="AP60" s="93">
        <f t="array" ref="AP60:AP75">MMULT(aggregation!$B$28:$AP$33,AP8:AP48)</f>
        <v>23.515297019324144</v>
      </c>
      <c r="AQ60" s="93"/>
      <c r="AR60" s="39">
        <f t="shared" ref="AR60:AR75" si="51">IF(AS60&gt;0,((1+(AU60/AS60))^(1/($A$101-$A$100))-1)*100,0)</f>
        <v>3.2404350006200788</v>
      </c>
      <c r="AS60" s="93">
        <f t="array" ref="AS60:AS75">MMULT(aggregation!$B$28:$AP$33,AS8:AS48)</f>
        <v>48.584727728201912</v>
      </c>
      <c r="AT60" s="93">
        <f t="array" ref="AT60:AT75">MMULT(aggregation!$B$28:$AP$33,AT8:AT48)</f>
        <v>9.5277746552913687</v>
      </c>
      <c r="AU60" s="93">
        <f t="array" ref="AU60:AU75">MMULT(aggregation!$B$28:$AP$33,AU8:AU48)</f>
        <v>18.249360999375764</v>
      </c>
      <c r="AV60" s="93">
        <f t="array" ref="AV60:AV75">MMULT(aggregation!$B$28:$AP$33,AV8:AV48)</f>
        <v>27.777135654667134</v>
      </c>
      <c r="AW60" s="90" t="e">
        <f>Y60</f>
        <v>#REF!</v>
      </c>
      <c r="AX60" s="39">
        <f t="shared" ref="AX60:AX75" si="52">IF(AY60&gt;0,((1+(BA60/AY60))^(1/($A$101-$A$100))-1)*100,0)</f>
        <v>2.5964738060617387</v>
      </c>
      <c r="AY60" s="93">
        <f t="array" ref="AY60:AY75">MMULT(aggregation!$B$28:$AP$33,AY8:AY48)</f>
        <v>133.76328434115098</v>
      </c>
      <c r="AZ60" s="93">
        <f t="array" ref="AZ60:AZ75">MMULT(aggregation!$B$28:$AP$33,AZ8:AZ48)</f>
        <v>2.9837836487827287</v>
      </c>
      <c r="BA60" s="93">
        <f t="array" ref="BA60:BA75">MMULT(aggregation!$B$28:$AP$33,BA8:BA48)</f>
        <v>39.083485919914963</v>
      </c>
      <c r="BB60" s="93">
        <f t="array" ref="BB60:BB75">MMULT(aggregation!$B$28:$AP$33,BB8:BB48)</f>
        <v>42.067269568697697</v>
      </c>
      <c r="BD60" s="39">
        <f t="shared" ref="BD60:BD75" si="53">IF(BE60&gt;0,((1+(BG60/BE60))^(1/($A$101-$A$100))-1)*100,0)</f>
        <v>2.547134735934975</v>
      </c>
      <c r="BE60" s="93">
        <f t="array" ref="BE60:BE75">MMULT(aggregation!$B$28:$AP$33,BE8:BE48)</f>
        <v>38.038082841341755</v>
      </c>
      <c r="BF60" s="93">
        <f t="array" ref="BF60:BF75">MMULT(aggregation!$B$28:$AP$33,BF8:BF48)</f>
        <v>-2.4133097813355744</v>
      </c>
      <c r="BG60" s="93">
        <f t="array" ref="BG60:BG75">MMULT(aggregation!$B$28:$AP$33,BG8:BG48)</f>
        <v>10.878253522030754</v>
      </c>
      <c r="BH60" s="93">
        <f t="array" ref="BH60:BH75">MMULT(aggregation!$B$28:$AP$33,BH8:BH48)</f>
        <v>8.4649437406951797</v>
      </c>
      <c r="BJ60" s="39">
        <f t="shared" ref="BJ60:BJ75" si="54">IF(BK60&gt;0,((1+(BM60/BK60))^(1/($A$101-$A$100))-1)*100,0)</f>
        <v>2.5845775387473902</v>
      </c>
      <c r="BK60" s="93">
        <f t="array" ref="BK60:BK75">MMULT(aggregation!$B$28:$AP$33,BK8:BK48)</f>
        <v>74.411735017406926</v>
      </c>
      <c r="BL60" s="93">
        <f t="array" ref="BL60:BL75">MMULT(aggregation!$B$28:$AP$33,BL8:BL48)</f>
        <v>3.1855192819452687</v>
      </c>
      <c r="BM60" s="93">
        <f t="array" ref="BM60:BM75">MMULT(aggregation!$B$28:$AP$33,BM8:BM48)</f>
        <v>21.630481362749549</v>
      </c>
      <c r="BN60" s="93">
        <f t="array" ref="BN60:BN75">MMULT(aggregation!$B$28:$AP$33,BN8:BN48)</f>
        <v>24.816000644694821</v>
      </c>
      <c r="BO60" s="93"/>
      <c r="BP60" s="39">
        <f t="shared" ref="BP60:BP75" si="55">IF(BQ60&gt;0,((1+(BS60/BQ60))^(1/($A$101-$A$100))-1)*100,0)</f>
        <v>2.7251222269226272</v>
      </c>
      <c r="BQ60" s="93">
        <f t="array" ref="BQ60:BQ75">MMULT(aggregation!$B$28:$AP$33,BQ8:BQ48)</f>
        <v>21.313466482402312</v>
      </c>
      <c r="BR60" s="93">
        <f t="array" ref="BR60:BR75">MMULT(aggregation!$B$28:$AP$33,BR8:BR48)</f>
        <v>2.2115741481730335</v>
      </c>
      <c r="BS60" s="93">
        <f t="array" ref="BS60:BS75">MMULT(aggregation!$B$28:$AP$33,BS8:BS48)</f>
        <v>6.5747510351346579</v>
      </c>
      <c r="BT60" s="93">
        <f t="array" ref="BT60:BT75">MMULT(aggregation!$B$28:$AP$33,BT8:BT48)</f>
        <v>8.7863251833076923</v>
      </c>
      <c r="BU60" s="90" t="e">
        <f>AW60</f>
        <v>#REF!</v>
      </c>
      <c r="BV60" s="39">
        <f t="shared" ref="BV60:BV75" si="56">IF(BW60&gt;0,((1+(BY60/BW60))^(1/($A$101-$A$100))-1)*100,0)</f>
        <v>3.485095393773241</v>
      </c>
      <c r="BW60" s="93">
        <f t="array" ref="BW60:BW75">MMULT(aggregation!$B$28:$AP$33,BW8:BW48)</f>
        <v>65.409196417553474</v>
      </c>
      <c r="BX60" s="93">
        <f t="array" ref="BX60:BX75">MMULT(aggregation!$B$28:$AP$33,BX8:BX48)</f>
        <v>-7.2725784365581729</v>
      </c>
      <c r="BY60" s="93">
        <f t="array" ref="BY60:BY75">MMULT(aggregation!$B$28:$AP$33,BY8:BY48)</f>
        <v>26.724152418105156</v>
      </c>
      <c r="BZ60" s="93">
        <f t="array" ref="BZ60:BZ75">MMULT(aggregation!$B$28:$AP$33,BZ8:BZ48)</f>
        <v>19.451573981546982</v>
      </c>
      <c r="CB60" s="39">
        <f t="shared" ref="CB60:CB75" si="57">IF(CC60&gt;0,((1+(CE60/CC60))^(1/($A$101-$A$100))-1)*100,0)</f>
        <v>3.3945866942973302</v>
      </c>
      <c r="CC60" s="93">
        <f t="array" ref="CC60:CC75">MMULT(aggregation!$B$28:$AP$33,CC8:CC48)</f>
        <v>21.05053288471078</v>
      </c>
      <c r="CD60" s="93">
        <f t="array" ref="CD60:CD75">MMULT(aggregation!$B$28:$AP$33,CD8:CD48)</f>
        <v>-8.6356916223892384</v>
      </c>
      <c r="CE60" s="93">
        <f t="array" ref="CE60:CE75">MMULT(aggregation!$B$28:$AP$33,CE8:CE48)</f>
        <v>8.342277262525851</v>
      </c>
      <c r="CF60" s="93">
        <f t="array" ref="CF60:CF75">MMULT(aggregation!$B$28:$AP$33,CF8:CF48)</f>
        <v>-0.2934143598633871</v>
      </c>
      <c r="CH60" s="39">
        <f t="shared" ref="CH60:CH75" si="58">IF(CI60&gt;0,((1+(CK60/CI60))^(1/($A$101-$A$100))-1)*100,0)</f>
        <v>3.4521857773551767</v>
      </c>
      <c r="CI60" s="93">
        <f t="array" ref="CI60:CI75">MMULT(aggregation!$B$28:$AP$33,CI8:CI48)</f>
        <v>34.546886160025707</v>
      </c>
      <c r="CJ60" s="93">
        <f t="array" ref="CJ60:CJ75">MMULT(aggregation!$B$28:$AP$33,CJ8:CJ48)</f>
        <v>-1.2189766380635714</v>
      </c>
      <c r="CK60" s="93">
        <f t="array" ref="CK60:CK75">MMULT(aggregation!$B$28:$AP$33,CK8:CK48)</f>
        <v>13.96024826295576</v>
      </c>
      <c r="CL60" s="93">
        <f t="array" ref="CL60:CL75">MMULT(aggregation!$B$28:$AP$33,CL8:CL48)</f>
        <v>12.741271624892187</v>
      </c>
      <c r="CM60" s="93"/>
      <c r="CN60" s="39">
        <f t="shared" ref="CN60:CN75" si="59">IF(CO60&gt;0,((1+(CQ60/CO60))^(1/($A$101-$A$100))-1)*100,0)</f>
        <v>3.7901429015048116</v>
      </c>
      <c r="CO60" s="93">
        <f t="array" ref="CO60:CO75">MMULT(aggregation!$B$28:$AP$33,CO8:CO48)</f>
        <v>9.8117773728169944</v>
      </c>
      <c r="CP60" s="93">
        <f t="array" ref="CP60:CP75">MMULT(aggregation!$B$28:$AP$33,CP8:CP48)</f>
        <v>2.5820898238946395</v>
      </c>
      <c r="CQ60" s="93">
        <f t="array" ref="CQ60:CQ75">MMULT(aggregation!$B$28:$AP$33,CQ8:CQ48)</f>
        <v>4.421626892623542</v>
      </c>
      <c r="CR60" s="93">
        <f t="array" ref="CR60:CR75">MMULT(aggregation!$B$28:$AP$33,CR8:CR48)</f>
        <v>7.0037167165181815</v>
      </c>
      <c r="CS60" s="90" t="e">
        <f>BU60</f>
        <v>#REF!</v>
      </c>
      <c r="CT60" s="39">
        <f t="shared" ref="CT60:CT75" si="60">IF(CU60&gt;0,((1+(CW60/CU60))^(1/($A$101-$A$100))-1)*100,0)</f>
        <v>2.6068626107773829</v>
      </c>
      <c r="CU60" s="93">
        <f t="array" ref="CU60:CU75">MMULT(aggregation!$B$28:$AP$33,CU8:CU48)</f>
        <v>57.854771524208537</v>
      </c>
      <c r="CV60" s="93">
        <f t="array" ref="CV60:CV75">MMULT(aggregation!$B$28:$AP$33,CV8:CV48)</f>
        <v>7.2534754986667886</v>
      </c>
      <c r="CW60" s="93">
        <f t="array" ref="CW60:CW75">MMULT(aggregation!$B$28:$AP$33,CW8:CW48)</f>
        <v>16.979970803791471</v>
      </c>
      <c r="CX60" s="93">
        <f t="array" ref="CX60:CX75">MMULT(aggregation!$B$28:$AP$33,CX8:CX48)</f>
        <v>24.233446302458258</v>
      </c>
      <c r="CZ60" s="39">
        <f t="shared" ref="CZ60:CZ75" si="61">IF(DA60&gt;0,((1+(DC60/DA60))^(1/($A$101-$A$100))-1)*100,0)</f>
        <v>2.5796471633499296</v>
      </c>
      <c r="DA60" s="93">
        <f t="array" ref="DA60:DA75">MMULT(aggregation!$B$28:$AP$33,DA8:DA48)</f>
        <v>24.397029178457057</v>
      </c>
      <c r="DB60" s="93">
        <f t="array" ref="DB60:DB75">MMULT(aggregation!$B$28:$AP$33,DB8:DB48)</f>
        <v>-5.1089043474145921</v>
      </c>
      <c r="DC60" s="93">
        <f t="array" ref="DC60:DC75">MMULT(aggregation!$B$28:$AP$33,DC8:DC48)</f>
        <v>7.0767544434361751</v>
      </c>
      <c r="DD60" s="93">
        <f t="array" ref="DD60:DD75">MMULT(aggregation!$B$28:$AP$33,DD8:DD48)</f>
        <v>1.967850096021583</v>
      </c>
      <c r="DF60" s="39">
        <f t="shared" ref="DF60:DF75" si="62">IF(DG60&gt;0,((1+(DI60/DG60))^(1/($A$101-$A$100))-1)*100,0)</f>
        <v>2.5822546806152147</v>
      </c>
      <c r="DG60" s="93">
        <f t="array" ref="DG60:DG75">MMULT(aggregation!$B$28:$AP$33,DG8:DG48)</f>
        <v>27.030998812491621</v>
      </c>
      <c r="DH60" s="93">
        <f t="array" ref="DH60:DH75">MMULT(aggregation!$B$28:$AP$33,DH8:DH48)</f>
        <v>6.0344293953067005</v>
      </c>
      <c r="DI60" s="93">
        <f t="array" ref="DI60:DI75">MMULT(aggregation!$B$28:$AP$33,DI8:DI48)</f>
        <v>7.8496453282949643</v>
      </c>
      <c r="DJ60" s="93">
        <f t="array" ref="DJ60:DJ75">MMULT(aggregation!$B$28:$AP$33,DJ8:DJ48)</f>
        <v>13.884074723601664</v>
      </c>
      <c r="DK60" s="93"/>
      <c r="DL60" s="39">
        <f t="shared" ref="DL60:DL75" si="63">IF(DM60&gt;0,((1+(DO60/DM60))^(1/($A$101-$A$100))-1)*100,0)</f>
        <v>2.8115955969045814</v>
      </c>
      <c r="DM60" s="93">
        <f t="array" ref="DM60:DM75">MMULT(aggregation!$B$28:$AP$33,DM8:DM48)</f>
        <v>6.426743533259863</v>
      </c>
      <c r="DN60" s="93">
        <f t="array" ref="DN60:DN75">MMULT(aggregation!$B$28:$AP$33,DN8:DN48)</f>
        <v>6.3279504507746802</v>
      </c>
      <c r="DO60" s="93">
        <f t="array" ref="DO60:DO75">MMULT(aggregation!$B$28:$AP$33,DO8:DO48)</f>
        <v>2.0535710320603289</v>
      </c>
      <c r="DP60" s="93">
        <f t="array" ref="DP60:DP75">MMULT(aggregation!$B$28:$AP$33,DP8:DP48)</f>
        <v>8.3815214828350086</v>
      </c>
    </row>
    <row r="61" spans="1:120" x14ac:dyDescent="0.3">
      <c r="A61" s="90" t="e">
        <f>name!#REF!</f>
        <v>#REF!</v>
      </c>
      <c r="B61" s="39">
        <f t="shared" si="44"/>
        <v>2.6428578302956751</v>
      </c>
      <c r="C61" s="93">
        <v>1531.9705805222009</v>
      </c>
      <c r="D61" s="93">
        <v>38.373634438141572</v>
      </c>
      <c r="E61" s="93">
        <v>456.58520540961894</v>
      </c>
      <c r="F61" s="93">
        <v>494.95883984776049</v>
      </c>
      <c r="H61" s="39">
        <f t="shared" si="45"/>
        <v>2.4792103651163355</v>
      </c>
      <c r="I61" s="93">
        <v>346.9543032994946</v>
      </c>
      <c r="J61" s="93">
        <v>-71.701267476699215</v>
      </c>
      <c r="K61" s="93">
        <v>96.27654812183178</v>
      </c>
      <c r="L61" s="93">
        <v>24.575280645132562</v>
      </c>
      <c r="N61" s="39">
        <f t="shared" si="46"/>
        <v>2.5614670093909275</v>
      </c>
      <c r="O61" s="93">
        <v>814.35141810968503</v>
      </c>
      <c r="P61" s="93">
        <v>55.745517961636317</v>
      </c>
      <c r="Q61" s="93">
        <v>234.35541894926229</v>
      </c>
      <c r="R61" s="93">
        <v>290.10093691089861</v>
      </c>
      <c r="S61" s="93"/>
      <c r="T61" s="39">
        <f t="shared" si="47"/>
        <v>2.9684351632191186</v>
      </c>
      <c r="U61" s="93">
        <v>370.66485911302107</v>
      </c>
      <c r="V61" s="93">
        <v>54.329383953204463</v>
      </c>
      <c r="W61" s="93">
        <v>125.95323833852494</v>
      </c>
      <c r="X61" s="93">
        <v>180.28262229172944</v>
      </c>
      <c r="Y61" s="90" t="e">
        <f t="shared" ref="Y61:Y75" si="64">A61</f>
        <v>#REF!</v>
      </c>
      <c r="Z61" s="39">
        <f t="shared" si="48"/>
        <v>3.09935723132575</v>
      </c>
      <c r="AA61" s="93">
        <v>449.17774942270398</v>
      </c>
      <c r="AB61" s="93">
        <v>50.084024973176945</v>
      </c>
      <c r="AC61" s="93">
        <v>160.32800726207913</v>
      </c>
      <c r="AD61" s="93">
        <v>210.41203223525608</v>
      </c>
      <c r="AF61" s="39">
        <f t="shared" si="49"/>
        <v>3.0553735251015013</v>
      </c>
      <c r="AG61" s="93">
        <v>43.103207322115679</v>
      </c>
      <c r="AH61" s="93">
        <v>0.19587937567616226</v>
      </c>
      <c r="AI61" s="93">
        <v>15.136073680613812</v>
      </c>
      <c r="AJ61" s="93">
        <v>15.331953056289972</v>
      </c>
      <c r="AL61" s="39">
        <f t="shared" si="50"/>
        <v>3.0511586415955083</v>
      </c>
      <c r="AM61" s="93">
        <v>165.52931783494364</v>
      </c>
      <c r="AN61" s="93">
        <v>19.535586179291034</v>
      </c>
      <c r="AO61" s="93">
        <v>58.035631729329729</v>
      </c>
      <c r="AP61" s="93">
        <v>77.571217908620767</v>
      </c>
      <c r="AQ61" s="93"/>
      <c r="AR61" s="39">
        <f t="shared" si="51"/>
        <v>3.1402482773775109</v>
      </c>
      <c r="AS61" s="93">
        <v>240.54522426564475</v>
      </c>
      <c r="AT61" s="93">
        <v>30.35255941820974</v>
      </c>
      <c r="AU61" s="93">
        <v>87.156301852135613</v>
      </c>
      <c r="AV61" s="93">
        <v>117.50886127034535</v>
      </c>
      <c r="AW61" s="90" t="e">
        <f t="shared" ref="AW61:AW75" si="65">Y61</f>
        <v>#REF!</v>
      </c>
      <c r="AX61" s="39">
        <f t="shared" si="52"/>
        <v>2.5119602836049859</v>
      </c>
      <c r="AY61" s="93">
        <v>382.12363836563554</v>
      </c>
      <c r="AZ61" s="93">
        <v>14.987876400880856</v>
      </c>
      <c r="BA61" s="93">
        <v>107.597993602248</v>
      </c>
      <c r="BB61" s="93">
        <v>122.58587000312885</v>
      </c>
      <c r="BD61" s="39">
        <f t="shared" si="53"/>
        <v>2.4324488727566429</v>
      </c>
      <c r="BE61" s="93">
        <v>68.87792182820661</v>
      </c>
      <c r="BF61" s="93">
        <v>-12.980223779533098</v>
      </c>
      <c r="BG61" s="93">
        <v>18.712292944480623</v>
      </c>
      <c r="BH61" s="93">
        <v>5.7320691649475206</v>
      </c>
      <c r="BJ61" s="39">
        <f t="shared" si="54"/>
        <v>2.4743901795061252</v>
      </c>
      <c r="BK61" s="93">
        <v>227.41154731887079</v>
      </c>
      <c r="BL61" s="93">
        <v>20.277004150306102</v>
      </c>
      <c r="BM61" s="93">
        <v>62.967942886752354</v>
      </c>
      <c r="BN61" s="93">
        <v>83.244947037058452</v>
      </c>
      <c r="BO61" s="93"/>
      <c r="BP61" s="39">
        <f t="shared" si="55"/>
        <v>2.6737634790460207</v>
      </c>
      <c r="BQ61" s="93">
        <v>85.834169218558088</v>
      </c>
      <c r="BR61" s="93">
        <v>7.6910960301078566</v>
      </c>
      <c r="BS61" s="93">
        <v>25.917757771015022</v>
      </c>
      <c r="BT61" s="93">
        <v>33.608853801122876</v>
      </c>
      <c r="BU61" s="90" t="e">
        <f t="shared" ref="BU61:BU75" si="66">AW61</f>
        <v>#REF!</v>
      </c>
      <c r="BV61" s="39">
        <f t="shared" si="56"/>
        <v>2.4273686289485896</v>
      </c>
      <c r="BW61" s="93">
        <v>618.6998990746248</v>
      </c>
      <c r="BX61" s="93">
        <v>-37.145990679902553</v>
      </c>
      <c r="BY61" s="93">
        <v>167.69412219711813</v>
      </c>
      <c r="BZ61" s="93">
        <v>130.54813151721558</v>
      </c>
      <c r="CB61" s="39">
        <f t="shared" si="57"/>
        <v>2.3908219482846826</v>
      </c>
      <c r="CC61" s="93">
        <v>200.76690413153926</v>
      </c>
      <c r="CD61" s="93">
        <v>-51.773551523444716</v>
      </c>
      <c r="CE61" s="93">
        <v>53.507365477367323</v>
      </c>
      <c r="CF61" s="93">
        <v>1.7338139539226114</v>
      </c>
      <c r="CH61" s="39">
        <f t="shared" si="58"/>
        <v>2.4281776316902093</v>
      </c>
      <c r="CI61" s="93">
        <v>377.66885349128535</v>
      </c>
      <c r="CJ61" s="93">
        <v>2.3971579400366365</v>
      </c>
      <c r="CK61" s="93">
        <v>102.40232056245216</v>
      </c>
      <c r="CL61" s="93">
        <v>104.79947850248878</v>
      </c>
      <c r="CM61" s="93"/>
      <c r="CN61" s="39">
        <f t="shared" si="59"/>
        <v>2.6003972395548303</v>
      </c>
      <c r="CO61" s="93">
        <v>40.264141451800178</v>
      </c>
      <c r="CP61" s="93">
        <v>12.230402903505531</v>
      </c>
      <c r="CQ61" s="93">
        <v>11.78443615729863</v>
      </c>
      <c r="CR61" s="93">
        <v>24.014839060804167</v>
      </c>
      <c r="CS61" s="90" t="e">
        <f t="shared" ref="CS61:CS75" si="67">BU61</f>
        <v>#REF!</v>
      </c>
      <c r="CT61" s="39">
        <f t="shared" si="60"/>
        <v>2.3036018395404811</v>
      </c>
      <c r="CU61" s="93">
        <v>81.969293659236243</v>
      </c>
      <c r="CV61" s="93">
        <v>10.447723743986325</v>
      </c>
      <c r="CW61" s="93">
        <v>20.965082348173706</v>
      </c>
      <c r="CX61" s="93">
        <v>31.412806092160039</v>
      </c>
      <c r="CZ61" s="39">
        <f t="shared" si="61"/>
        <v>2.3444837267214247</v>
      </c>
      <c r="DA61" s="93">
        <v>34.206270017633031</v>
      </c>
      <c r="DB61" s="93">
        <v>-7.1433715493975534</v>
      </c>
      <c r="DC61" s="93">
        <v>8.920816019370017</v>
      </c>
      <c r="DD61" s="93">
        <v>1.7774444699724654</v>
      </c>
      <c r="DF61" s="39">
        <f t="shared" si="62"/>
        <v>2.2591547110890398</v>
      </c>
      <c r="DG61" s="93">
        <v>43.741699464585146</v>
      </c>
      <c r="DH61" s="93">
        <v>13.535769692002548</v>
      </c>
      <c r="DI61" s="93">
        <v>10.949523770728023</v>
      </c>
      <c r="DJ61" s="93">
        <v>24.485293462730571</v>
      </c>
      <c r="DK61" s="93"/>
      <c r="DL61" s="39">
        <f t="shared" si="63"/>
        <v>2.4369670928403142</v>
      </c>
      <c r="DM61" s="93">
        <v>4.0213241770180499</v>
      </c>
      <c r="DN61" s="93">
        <v>4.055325601381333</v>
      </c>
      <c r="DO61" s="93">
        <v>1.0947425580756691</v>
      </c>
      <c r="DP61" s="93">
        <v>5.1500681594570024</v>
      </c>
    </row>
    <row r="62" spans="1:120" x14ac:dyDescent="0.3">
      <c r="A62" s="90" t="e">
        <f>name!#REF!</f>
        <v>#REF!</v>
      </c>
      <c r="B62" s="39">
        <f t="shared" si="44"/>
        <v>2.9873927143805101</v>
      </c>
      <c r="C62" s="93">
        <v>223.45199999999954</v>
      </c>
      <c r="D62" s="93">
        <v>16.32099999999997</v>
      </c>
      <c r="E62" s="93">
        <v>76.481434511542574</v>
      </c>
      <c r="F62" s="93">
        <v>92.802434511542543</v>
      </c>
      <c r="H62" s="39">
        <f t="shared" si="45"/>
        <v>2.7027065972447861</v>
      </c>
      <c r="I62" s="93">
        <v>10.129605191491642</v>
      </c>
      <c r="J62" s="93">
        <v>-0.34252249973408699</v>
      </c>
      <c r="K62" s="93">
        <v>3.0958737684558137</v>
      </c>
      <c r="L62" s="93">
        <v>2.753351268721727</v>
      </c>
      <c r="N62" s="39">
        <f t="shared" si="46"/>
        <v>2.7752129639048606</v>
      </c>
      <c r="O62" s="93">
        <v>49.401211396935132</v>
      </c>
      <c r="P62" s="93">
        <v>-7.2343121603684377</v>
      </c>
      <c r="Q62" s="93">
        <v>15.555114540422643</v>
      </c>
      <c r="R62" s="93">
        <v>8.3208023800542072</v>
      </c>
      <c r="S62" s="93"/>
      <c r="T62" s="39">
        <f t="shared" si="47"/>
        <v>3.0678398412407049</v>
      </c>
      <c r="U62" s="93">
        <v>163.92118341157277</v>
      </c>
      <c r="V62" s="93">
        <v>23.897834660102497</v>
      </c>
      <c r="W62" s="93">
        <v>57.830446202664113</v>
      </c>
      <c r="X62" s="93">
        <v>81.72828086276661</v>
      </c>
      <c r="Y62" s="90" t="e">
        <f t="shared" si="64"/>
        <v>#REF!</v>
      </c>
      <c r="Z62" s="39">
        <f t="shared" si="48"/>
        <v>3.115253870350565</v>
      </c>
      <c r="AA62" s="93">
        <v>152.77157011744924</v>
      </c>
      <c r="AB62" s="93">
        <v>23.667742514510199</v>
      </c>
      <c r="AC62" s="93">
        <v>54.849629303140759</v>
      </c>
      <c r="AD62" s="93">
        <v>78.517371817650954</v>
      </c>
      <c r="AF62" s="39">
        <f t="shared" si="49"/>
        <v>2.8153091738603475</v>
      </c>
      <c r="AG62" s="93">
        <v>4.0545970665235638</v>
      </c>
      <c r="AH62" s="93">
        <v>1.1763868580624641</v>
      </c>
      <c r="AI62" s="93">
        <v>1.2975194554462604</v>
      </c>
      <c r="AJ62" s="93">
        <v>2.4739063135087247</v>
      </c>
      <c r="AL62" s="39">
        <f t="shared" si="50"/>
        <v>2.9300260019708757</v>
      </c>
      <c r="AM62" s="93">
        <v>25.201713800358746</v>
      </c>
      <c r="AN62" s="93">
        <v>-0.99571290511587751</v>
      </c>
      <c r="AO62" s="93">
        <v>8.4378921676941143</v>
      </c>
      <c r="AP62" s="93">
        <v>7.4421792625782359</v>
      </c>
      <c r="AQ62" s="93"/>
      <c r="AR62" s="39">
        <f t="shared" si="51"/>
        <v>3.162364541262197</v>
      </c>
      <c r="AS62" s="93">
        <v>123.5152592505669</v>
      </c>
      <c r="AT62" s="93">
        <v>23.487068561563614</v>
      </c>
      <c r="AU62" s="93">
        <v>45.11421768000038</v>
      </c>
      <c r="AV62" s="93">
        <v>68.601286241563997</v>
      </c>
      <c r="AW62" s="90" t="e">
        <f t="shared" si="65"/>
        <v>#REF!</v>
      </c>
      <c r="AX62" s="39">
        <f t="shared" si="52"/>
        <v>2.7074686991907182</v>
      </c>
      <c r="AY62" s="93">
        <v>63.099183012426266</v>
      </c>
      <c r="AZ62" s="93">
        <v>-8.1666011273025987</v>
      </c>
      <c r="BA62" s="93">
        <v>19.322977545320413</v>
      </c>
      <c r="BB62" s="93">
        <v>11.156376418017812</v>
      </c>
      <c r="BD62" s="39">
        <f t="shared" si="53"/>
        <v>2.5809393895366073</v>
      </c>
      <c r="BE62" s="93">
        <v>3.8989278482616347</v>
      </c>
      <c r="BF62" s="93">
        <v>-1.4264888386863785</v>
      </c>
      <c r="BG62" s="93">
        <v>1.13158099277498</v>
      </c>
      <c r="BH62" s="93">
        <v>-0.29490784591139857</v>
      </c>
      <c r="BJ62" s="39">
        <f t="shared" si="54"/>
        <v>2.6099720549441985</v>
      </c>
      <c r="BK62" s="93">
        <v>20.535319575677597</v>
      </c>
      <c r="BL62" s="93">
        <v>-6.6729139331144127</v>
      </c>
      <c r="BM62" s="93">
        <v>6.0350233240421796</v>
      </c>
      <c r="BN62" s="93">
        <v>-0.63789060907223316</v>
      </c>
      <c r="BO62" s="93"/>
      <c r="BP62" s="39">
        <f t="shared" si="55"/>
        <v>2.7715378913155231</v>
      </c>
      <c r="BQ62" s="93">
        <v>38.66493558848704</v>
      </c>
      <c r="BR62" s="93">
        <v>-6.719835550180675E-2</v>
      </c>
      <c r="BS62" s="93">
        <v>12.156373228503252</v>
      </c>
      <c r="BT62" s="93">
        <v>12.089174873001445</v>
      </c>
      <c r="BU62" s="90" t="e">
        <f t="shared" si="66"/>
        <v>#REF!</v>
      </c>
      <c r="BV62" s="39">
        <f t="shared" si="56"/>
        <v>2.6220470512831273</v>
      </c>
      <c r="BW62" s="93">
        <v>5.5023713341610581</v>
      </c>
      <c r="BX62" s="93">
        <v>0.709064831134398</v>
      </c>
      <c r="BY62" s="93">
        <v>1.6254471384354698</v>
      </c>
      <c r="BZ62" s="93">
        <v>2.334511969569868</v>
      </c>
      <c r="CB62" s="39">
        <f t="shared" si="57"/>
        <v>2.5681173483516284</v>
      </c>
      <c r="CC62" s="93">
        <v>1.2121650788045106</v>
      </c>
      <c r="CD62" s="93">
        <v>0.18730291694992937</v>
      </c>
      <c r="CE62" s="93">
        <v>0.3498513913772372</v>
      </c>
      <c r="CF62" s="93">
        <v>0.53715430832716649</v>
      </c>
      <c r="CH62" s="39">
        <f t="shared" si="58"/>
        <v>2.5816875541381901</v>
      </c>
      <c r="CI62" s="93">
        <v>3.0029888388418309</v>
      </c>
      <c r="CJ62" s="93">
        <v>0.29040114785941096</v>
      </c>
      <c r="CK62" s="93">
        <v>0.87183632094087737</v>
      </c>
      <c r="CL62" s="93">
        <v>1.1622374688002883</v>
      </c>
      <c r="CM62" s="93"/>
      <c r="CN62" s="39">
        <f t="shared" si="59"/>
        <v>2.765792391549815</v>
      </c>
      <c r="CO62" s="93">
        <v>1.2872174165147163</v>
      </c>
      <c r="CP62" s="93">
        <v>0.23136076632505748</v>
      </c>
      <c r="CQ62" s="93">
        <v>0.40375942611735538</v>
      </c>
      <c r="CR62" s="93">
        <v>0.6351201924424128</v>
      </c>
      <c r="CS62" s="90" t="e">
        <f t="shared" si="67"/>
        <v>#REF!</v>
      </c>
      <c r="CT62" s="39">
        <f t="shared" si="60"/>
        <v>2.882982269596579</v>
      </c>
      <c r="CU62" s="93">
        <v>2.0788755359629878</v>
      </c>
      <c r="CV62" s="93">
        <v>0.11079378165796983</v>
      </c>
      <c r="CW62" s="93">
        <v>0.68338052464593657</v>
      </c>
      <c r="CX62" s="93">
        <v>0.7941743063039064</v>
      </c>
      <c r="CZ62" s="39">
        <f t="shared" si="61"/>
        <v>2.8834473778163394</v>
      </c>
      <c r="DA62" s="93">
        <v>0.9639151979019317</v>
      </c>
      <c r="DB62" s="93">
        <v>-0.27972343606010208</v>
      </c>
      <c r="DC62" s="93">
        <v>0.31692192885733617</v>
      </c>
      <c r="DD62" s="93">
        <v>3.7198492797234056E-2</v>
      </c>
      <c r="DF62" s="39">
        <f t="shared" si="62"/>
        <v>2.8008609727499634</v>
      </c>
      <c r="DG62" s="93">
        <v>0.66118918205696109</v>
      </c>
      <c r="DH62" s="93">
        <v>0.14391353000244075</v>
      </c>
      <c r="DI62" s="93">
        <v>0.21036272774547143</v>
      </c>
      <c r="DJ62" s="93">
        <v>0.35427625774791216</v>
      </c>
      <c r="DK62" s="93"/>
      <c r="DL62" s="39">
        <f t="shared" si="63"/>
        <v>3.0006170576280633</v>
      </c>
      <c r="DM62" s="93">
        <v>0.45377115600409529</v>
      </c>
      <c r="DN62" s="93">
        <v>0.24660368771563115</v>
      </c>
      <c r="DO62" s="93">
        <v>0.15609586804312911</v>
      </c>
      <c r="DP62" s="93">
        <v>0.40269955575876026</v>
      </c>
    </row>
    <row r="63" spans="1:120" x14ac:dyDescent="0.3">
      <c r="A63" s="90" t="e">
        <f>name!#REF!</f>
        <v>#REF!</v>
      </c>
      <c r="B63" s="39">
        <f t="shared" si="44"/>
        <v>2.8318785937824886</v>
      </c>
      <c r="C63" s="93">
        <v>2280.697111816894</v>
      </c>
      <c r="D63" s="93">
        <v>333.85127836326922</v>
      </c>
      <c r="E63" s="93">
        <v>734.70552907606873</v>
      </c>
      <c r="F63" s="93">
        <v>1068.5568074393379</v>
      </c>
      <c r="H63" s="39">
        <f t="shared" si="45"/>
        <v>2.7549207370162865</v>
      </c>
      <c r="I63" s="93">
        <v>283.04810837105344</v>
      </c>
      <c r="J63" s="93">
        <v>-0.74752589975027828</v>
      </c>
      <c r="K63" s="93">
        <v>88.390071573508365</v>
      </c>
      <c r="L63" s="93">
        <v>87.642545673758079</v>
      </c>
      <c r="N63" s="39">
        <f t="shared" si="46"/>
        <v>2.7471439144256316</v>
      </c>
      <c r="O63" s="93">
        <v>699.77572635201216</v>
      </c>
      <c r="P63" s="93">
        <v>138.82655476432222</v>
      </c>
      <c r="Q63" s="93">
        <v>217.83072664942705</v>
      </c>
      <c r="R63" s="93">
        <v>356.65728141374927</v>
      </c>
      <c r="S63" s="93"/>
      <c r="T63" s="39">
        <f t="shared" si="47"/>
        <v>2.8939541756485054</v>
      </c>
      <c r="U63" s="93">
        <v>1297.8732770938286</v>
      </c>
      <c r="V63" s="93">
        <v>195.77224949869728</v>
      </c>
      <c r="W63" s="93">
        <v>428.48473085313316</v>
      </c>
      <c r="X63" s="93">
        <v>624.25698035183052</v>
      </c>
      <c r="Y63" s="90" t="e">
        <f t="shared" si="64"/>
        <v>#REF!</v>
      </c>
      <c r="Z63" s="39">
        <f t="shared" si="48"/>
        <v>2.8785897697706897</v>
      </c>
      <c r="AA63" s="93">
        <v>1376.3410743701511</v>
      </c>
      <c r="AB63" s="93">
        <v>228.17890869238147</v>
      </c>
      <c r="AC63" s="93">
        <v>451.65852053812984</v>
      </c>
      <c r="AD63" s="93">
        <v>679.83742923051125</v>
      </c>
      <c r="AF63" s="39">
        <f t="shared" si="49"/>
        <v>2.7957231009731576</v>
      </c>
      <c r="AG63" s="93">
        <v>50.44110866811203</v>
      </c>
      <c r="AH63" s="93">
        <v>12.529196374543888</v>
      </c>
      <c r="AI63" s="93">
        <v>16.015026714248812</v>
      </c>
      <c r="AJ63" s="93">
        <v>28.544223088792698</v>
      </c>
      <c r="AL63" s="39">
        <f t="shared" si="50"/>
        <v>2.7886108998469661</v>
      </c>
      <c r="AM63" s="93">
        <v>237.91538858222418</v>
      </c>
      <c r="AN63" s="93">
        <v>57.839439754593094</v>
      </c>
      <c r="AO63" s="93">
        <v>75.321212862289059</v>
      </c>
      <c r="AP63" s="93">
        <v>133.16065261688217</v>
      </c>
      <c r="AQ63" s="93"/>
      <c r="AR63" s="39">
        <f t="shared" si="51"/>
        <v>2.9019926640608151</v>
      </c>
      <c r="AS63" s="93">
        <v>1087.984577119815</v>
      </c>
      <c r="AT63" s="93">
        <v>157.81027256324452</v>
      </c>
      <c r="AU63" s="93">
        <v>360.32228096159196</v>
      </c>
      <c r="AV63" s="93">
        <v>518.13255352483634</v>
      </c>
      <c r="AW63" s="90" t="e">
        <f t="shared" si="65"/>
        <v>#REF!</v>
      </c>
      <c r="AX63" s="39">
        <f t="shared" si="52"/>
        <v>2.6424249686811008</v>
      </c>
      <c r="AY63" s="93">
        <v>523.22518477326673</v>
      </c>
      <c r="AZ63" s="93">
        <v>52.913801027885178</v>
      </c>
      <c r="BA63" s="93">
        <v>155.91226381320303</v>
      </c>
      <c r="BB63" s="93">
        <v>208.82606484108817</v>
      </c>
      <c r="BD63" s="39">
        <f t="shared" si="53"/>
        <v>2.5567595525065601</v>
      </c>
      <c r="BE63" s="93">
        <v>71.038062853520373</v>
      </c>
      <c r="BF63" s="93">
        <v>-0.99683372471191745</v>
      </c>
      <c r="BG63" s="93">
        <v>20.401472725463666</v>
      </c>
      <c r="BH63" s="93">
        <v>19.40463900075175</v>
      </c>
      <c r="BJ63" s="39">
        <f t="shared" si="54"/>
        <v>2.5991209312550723</v>
      </c>
      <c r="BK63" s="93">
        <v>287.37783213184116</v>
      </c>
      <c r="BL63" s="93">
        <v>26.153950013495834</v>
      </c>
      <c r="BM63" s="93">
        <v>84.063015645700077</v>
      </c>
      <c r="BN63" s="93">
        <v>110.21696565919591</v>
      </c>
      <c r="BO63" s="93"/>
      <c r="BP63" s="39">
        <f t="shared" si="55"/>
        <v>2.7540294923941611</v>
      </c>
      <c r="BQ63" s="93">
        <v>164.80928978790524</v>
      </c>
      <c r="BR63" s="93">
        <v>27.756684739101249</v>
      </c>
      <c r="BS63" s="93">
        <v>51.44777544203928</v>
      </c>
      <c r="BT63" s="93">
        <v>79.204460181140519</v>
      </c>
      <c r="BU63" s="90" t="e">
        <f t="shared" si="66"/>
        <v>#REF!</v>
      </c>
      <c r="BV63" s="39">
        <f t="shared" si="56"/>
        <v>3.0340414804767457</v>
      </c>
      <c r="BW63" s="93">
        <v>85.622354303695573</v>
      </c>
      <c r="BX63" s="93">
        <v>25.553340948968874</v>
      </c>
      <c r="BY63" s="93">
        <v>29.827799955063963</v>
      </c>
      <c r="BZ63" s="93">
        <v>55.38114090403284</v>
      </c>
      <c r="CB63" s="39">
        <f t="shared" si="57"/>
        <v>2.8104311558199369</v>
      </c>
      <c r="CC63" s="93">
        <v>30.284463826404377</v>
      </c>
      <c r="CD63" s="93">
        <v>8.1375545884132379</v>
      </c>
      <c r="CE63" s="93">
        <v>9.6724276046623192</v>
      </c>
      <c r="CF63" s="93">
        <v>17.809982193075562</v>
      </c>
      <c r="CH63" s="39">
        <f t="shared" si="58"/>
        <v>3.032601937255075</v>
      </c>
      <c r="CI63" s="93">
        <v>41.892604481564547</v>
      </c>
      <c r="CJ63" s="93">
        <v>15.854631919648618</v>
      </c>
      <c r="CK63" s="93">
        <v>14.586010214101943</v>
      </c>
      <c r="CL63" s="93">
        <v>30.440642133750558</v>
      </c>
      <c r="CM63" s="93"/>
      <c r="CN63" s="39">
        <f t="shared" si="59"/>
        <v>3.5265698752577679</v>
      </c>
      <c r="CO63" s="93">
        <v>13.445285995726644</v>
      </c>
      <c r="CP63" s="93">
        <v>1.5611544409070162</v>
      </c>
      <c r="CQ63" s="93">
        <v>5.569362136299703</v>
      </c>
      <c r="CR63" s="93">
        <v>7.1305165772067181</v>
      </c>
      <c r="CS63" s="90" t="e">
        <f t="shared" si="67"/>
        <v>#REF!</v>
      </c>
      <c r="CT63" s="39">
        <f t="shared" si="60"/>
        <v>2.8873206920158934</v>
      </c>
      <c r="CU63" s="93">
        <v>295.50849836978091</v>
      </c>
      <c r="CV63" s="93">
        <v>27.205227694033695</v>
      </c>
      <c r="CW63" s="93">
        <v>97.30694476967183</v>
      </c>
      <c r="CX63" s="93">
        <v>124.51217246370554</v>
      </c>
      <c r="CZ63" s="39">
        <f t="shared" si="61"/>
        <v>2.8324154996547835</v>
      </c>
      <c r="DA63" s="93">
        <v>131.28447302301666</v>
      </c>
      <c r="DB63" s="93">
        <v>-20.417443137995487</v>
      </c>
      <c r="DC63" s="93">
        <v>42.301144529133552</v>
      </c>
      <c r="DD63" s="93">
        <v>21.883701391138072</v>
      </c>
      <c r="DF63" s="39">
        <f t="shared" si="62"/>
        <v>2.8990149638167262</v>
      </c>
      <c r="DG63" s="93">
        <v>132.58990115638235</v>
      </c>
      <c r="DH63" s="93">
        <v>38.978533076584675</v>
      </c>
      <c r="DI63" s="93">
        <v>43.860487927335967</v>
      </c>
      <c r="DJ63" s="93">
        <v>82.839021003920635</v>
      </c>
      <c r="DK63" s="93"/>
      <c r="DL63" s="39">
        <f t="shared" si="63"/>
        <v>3.0642208582672747</v>
      </c>
      <c r="DM63" s="93">
        <v>31.634124190381911</v>
      </c>
      <c r="DN63" s="93">
        <v>8.6441377554445076</v>
      </c>
      <c r="DO63" s="93">
        <v>11.145312313202311</v>
      </c>
      <c r="DP63" s="93">
        <v>19.789450068646818</v>
      </c>
    </row>
    <row r="64" spans="1:120" x14ac:dyDescent="0.3">
      <c r="A64" s="90" t="e">
        <f>name!#REF!</f>
        <v>#REF!</v>
      </c>
      <c r="B64" s="39">
        <f t="shared" si="44"/>
        <v>2.8169915417421754</v>
      </c>
      <c r="C64" s="93">
        <v>158.75130574877755</v>
      </c>
      <c r="D64" s="93">
        <v>31.053175488358242</v>
      </c>
      <c r="E64" s="93">
        <v>50.836604439456309</v>
      </c>
      <c r="F64" s="93">
        <v>81.889779927814544</v>
      </c>
      <c r="H64" s="39">
        <f t="shared" si="45"/>
        <v>2.7131406842493488</v>
      </c>
      <c r="I64" s="93">
        <v>37.269430586923946</v>
      </c>
      <c r="J64" s="93">
        <v>2.0080357660646397</v>
      </c>
      <c r="K64" s="93">
        <v>11.439976930786587</v>
      </c>
      <c r="L64" s="93">
        <v>13.448012696851226</v>
      </c>
      <c r="N64" s="39">
        <f t="shared" si="46"/>
        <v>2.6835187325179533</v>
      </c>
      <c r="O64" s="93">
        <v>64.168727676686729</v>
      </c>
      <c r="P64" s="93">
        <v>9.648746828409589</v>
      </c>
      <c r="Q64" s="93">
        <v>19.45525621806194</v>
      </c>
      <c r="R64" s="93">
        <v>29.104003046471529</v>
      </c>
      <c r="S64" s="93"/>
      <c r="T64" s="39">
        <f t="shared" si="47"/>
        <v>3.0307741956072665</v>
      </c>
      <c r="U64" s="93">
        <v>57.313147485166859</v>
      </c>
      <c r="V64" s="93">
        <v>19.396392893884016</v>
      </c>
      <c r="W64" s="93">
        <v>19.941371290607766</v>
      </c>
      <c r="X64" s="93">
        <v>39.337764184491782</v>
      </c>
      <c r="Y64" s="90" t="e">
        <f t="shared" si="64"/>
        <v>#REF!</v>
      </c>
      <c r="Z64" s="39">
        <f t="shared" si="48"/>
        <v>3.0844034831169376</v>
      </c>
      <c r="AA64" s="93">
        <v>54.043501876163091</v>
      </c>
      <c r="AB64" s="93">
        <v>16.838248878570081</v>
      </c>
      <c r="AC64" s="93">
        <v>19.18381203425853</v>
      </c>
      <c r="AD64" s="93">
        <v>36.022060912828607</v>
      </c>
      <c r="AF64" s="39">
        <f t="shared" si="49"/>
        <v>3.0687126992563263</v>
      </c>
      <c r="AG64" s="93">
        <v>2.872339077635929</v>
      </c>
      <c r="AH64" s="93">
        <v>0.88105911598627318</v>
      </c>
      <c r="AI64" s="93">
        <v>1.0136737094918047</v>
      </c>
      <c r="AJ64" s="93">
        <v>1.8947328254780778</v>
      </c>
      <c r="AL64" s="39">
        <f t="shared" si="50"/>
        <v>2.9854531104971826</v>
      </c>
      <c r="AM64" s="93">
        <v>8.4616752757594771</v>
      </c>
      <c r="AN64" s="93">
        <v>0.5129240985808613</v>
      </c>
      <c r="AO64" s="93">
        <v>2.8940583365838495</v>
      </c>
      <c r="AP64" s="93">
        <v>3.4069824351647107</v>
      </c>
      <c r="AQ64" s="93"/>
      <c r="AR64" s="39">
        <f t="shared" si="51"/>
        <v>3.1049593059016889</v>
      </c>
      <c r="AS64" s="93">
        <v>42.709487522767688</v>
      </c>
      <c r="AT64" s="93">
        <v>15.444265664002945</v>
      </c>
      <c r="AU64" s="93">
        <v>15.276079988182877</v>
      </c>
      <c r="AV64" s="93">
        <v>30.72034565218582</v>
      </c>
      <c r="AW64" s="90" t="e">
        <f t="shared" si="65"/>
        <v>#REF!</v>
      </c>
      <c r="AX64" s="39">
        <f t="shared" si="52"/>
        <v>2.6049805214462873</v>
      </c>
      <c r="AY64" s="93">
        <v>67.279720597550053</v>
      </c>
      <c r="AZ64" s="93">
        <v>-1.7061260839949342</v>
      </c>
      <c r="BA64" s="93">
        <v>19.73016584504331</v>
      </c>
      <c r="BB64" s="93">
        <v>18.024039761048375</v>
      </c>
      <c r="BD64" s="39">
        <f t="shared" si="53"/>
        <v>2.5409532368865007</v>
      </c>
      <c r="BE64" s="93">
        <v>14.926976334729311</v>
      </c>
      <c r="BF64" s="93">
        <v>-1.3830273865244627</v>
      </c>
      <c r="BG64" s="93">
        <v>4.2572967639145958</v>
      </c>
      <c r="BH64" s="93">
        <v>2.8742693773901333</v>
      </c>
      <c r="BJ64" s="39">
        <f t="shared" si="54"/>
        <v>2.5796718808031471</v>
      </c>
      <c r="BK64" s="93">
        <v>40.385319730226364</v>
      </c>
      <c r="BL64" s="93">
        <v>-0.75084702548436888</v>
      </c>
      <c r="BM64" s="93">
        <v>11.714543255967428</v>
      </c>
      <c r="BN64" s="93">
        <v>10.963696230483059</v>
      </c>
      <c r="BO64" s="93"/>
      <c r="BP64" s="39">
        <f t="shared" si="55"/>
        <v>2.7687485385664345</v>
      </c>
      <c r="BQ64" s="93">
        <v>11.967424532594377</v>
      </c>
      <c r="BR64" s="93">
        <v>0.42774832801389723</v>
      </c>
      <c r="BS64" s="93">
        <v>3.7583258251612852</v>
      </c>
      <c r="BT64" s="93">
        <v>4.1860741531751824</v>
      </c>
      <c r="BU64" s="90" t="e">
        <f t="shared" si="66"/>
        <v>#REF!</v>
      </c>
      <c r="BV64" s="39">
        <f t="shared" si="56"/>
        <v>2.518201489640326</v>
      </c>
      <c r="BW64" s="93">
        <v>11.027664527945932</v>
      </c>
      <c r="BX64" s="93">
        <v>1.3879359269084375</v>
      </c>
      <c r="BY64" s="93">
        <v>3.1137656010156576</v>
      </c>
      <c r="BZ64" s="93">
        <v>4.5017015279240953</v>
      </c>
      <c r="CB64" s="39">
        <f t="shared" si="57"/>
        <v>2.4600010102901804</v>
      </c>
      <c r="CC64" s="93">
        <v>4.6043551889988352</v>
      </c>
      <c r="CD64" s="93">
        <v>-9.4762721156135488E-2</v>
      </c>
      <c r="CE64" s="93">
        <v>1.2666488182504458</v>
      </c>
      <c r="CF64" s="93">
        <v>1.1718860970943104</v>
      </c>
      <c r="CH64" s="39">
        <f t="shared" si="58"/>
        <v>2.5135092689739569</v>
      </c>
      <c r="CI64" s="93">
        <v>5.3897928205850842</v>
      </c>
      <c r="CJ64" s="93">
        <v>0.93986804735963958</v>
      </c>
      <c r="CK64" s="93">
        <v>1.5186963016257615</v>
      </c>
      <c r="CL64" s="93">
        <v>2.458564348985401</v>
      </c>
      <c r="CM64" s="93"/>
      <c r="CN64" s="39">
        <f t="shared" si="59"/>
        <v>2.7978329732376128</v>
      </c>
      <c r="CO64" s="93">
        <v>1.0335165183620134</v>
      </c>
      <c r="CP64" s="93">
        <v>0.5428306007049335</v>
      </c>
      <c r="CQ64" s="93">
        <v>0.32842048113944977</v>
      </c>
      <c r="CR64" s="93">
        <v>0.87125108184438327</v>
      </c>
      <c r="CS64" s="90" t="e">
        <f t="shared" si="67"/>
        <v>#REF!</v>
      </c>
      <c r="CT64" s="39">
        <f t="shared" si="60"/>
        <v>2.9211505487475975</v>
      </c>
      <c r="CU64" s="93">
        <v>26.400418747118454</v>
      </c>
      <c r="CV64" s="93">
        <v>14.533116766874658</v>
      </c>
      <c r="CW64" s="93">
        <v>8.8088609591388032</v>
      </c>
      <c r="CX64" s="93">
        <v>23.341977726013461</v>
      </c>
      <c r="CZ64" s="39">
        <f t="shared" si="61"/>
        <v>2.8911023071172881</v>
      </c>
      <c r="DA64" s="93">
        <v>14.865759985559873</v>
      </c>
      <c r="DB64" s="93">
        <v>2.6047667577589646</v>
      </c>
      <c r="DC64" s="93">
        <v>4.9023576391297414</v>
      </c>
      <c r="DD64" s="93">
        <v>7.507124396888706</v>
      </c>
      <c r="DF64" s="39">
        <f t="shared" si="62"/>
        <v>2.9320472834624356</v>
      </c>
      <c r="DG64" s="93">
        <v>9.9319398501158016</v>
      </c>
      <c r="DH64" s="93">
        <v>8.9468017079534565</v>
      </c>
      <c r="DI64" s="93">
        <v>3.3279583238849022</v>
      </c>
      <c r="DJ64" s="93">
        <v>12.274760031838358</v>
      </c>
      <c r="DK64" s="93"/>
      <c r="DL64" s="39">
        <f t="shared" si="63"/>
        <v>3.1300160142738953</v>
      </c>
      <c r="DM64" s="93">
        <v>1.6027189114427818</v>
      </c>
      <c r="DN64" s="93">
        <v>2.981548301162237</v>
      </c>
      <c r="DO64" s="93">
        <v>0.57854499612415899</v>
      </c>
      <c r="DP64" s="93">
        <v>3.5600932972863961</v>
      </c>
    </row>
    <row r="65" spans="1:120" x14ac:dyDescent="0.3">
      <c r="A65" s="90" t="e">
        <f>name!#REF!</f>
        <v>#REF!</v>
      </c>
      <c r="B65" s="39">
        <f t="shared" si="44"/>
        <v>0</v>
      </c>
      <c r="C65" s="93">
        <v>0</v>
      </c>
      <c r="D65" s="93">
        <v>0</v>
      </c>
      <c r="E65" s="93">
        <v>0</v>
      </c>
      <c r="F65" s="93">
        <v>0</v>
      </c>
      <c r="H65" s="39">
        <f t="shared" si="45"/>
        <v>0</v>
      </c>
      <c r="I65" s="93">
        <v>0</v>
      </c>
      <c r="J65" s="93">
        <v>0</v>
      </c>
      <c r="K65" s="93">
        <v>0</v>
      </c>
      <c r="L65" s="93">
        <v>0</v>
      </c>
      <c r="N65" s="39">
        <f t="shared" si="46"/>
        <v>0</v>
      </c>
      <c r="O65" s="93">
        <v>0</v>
      </c>
      <c r="P65" s="93">
        <v>0</v>
      </c>
      <c r="Q65" s="93">
        <v>0</v>
      </c>
      <c r="R65" s="93">
        <v>0</v>
      </c>
      <c r="S65" s="93"/>
      <c r="T65" s="39">
        <f t="shared" si="47"/>
        <v>0</v>
      </c>
      <c r="U65" s="93">
        <v>0</v>
      </c>
      <c r="V65" s="93">
        <v>0</v>
      </c>
      <c r="W65" s="93">
        <v>0</v>
      </c>
      <c r="X65" s="93">
        <v>0</v>
      </c>
      <c r="Y65" s="90" t="e">
        <f t="shared" si="64"/>
        <v>#REF!</v>
      </c>
      <c r="Z65" s="39">
        <f t="shared" si="48"/>
        <v>0</v>
      </c>
      <c r="AA65" s="93">
        <v>0</v>
      </c>
      <c r="AB65" s="93">
        <v>0</v>
      </c>
      <c r="AC65" s="93">
        <v>0</v>
      </c>
      <c r="AD65" s="93">
        <v>0</v>
      </c>
      <c r="AF65" s="39">
        <f t="shared" si="49"/>
        <v>0</v>
      </c>
      <c r="AG65" s="93">
        <v>0</v>
      </c>
      <c r="AH65" s="93">
        <v>0</v>
      </c>
      <c r="AI65" s="93">
        <v>0</v>
      </c>
      <c r="AJ65" s="93">
        <v>0</v>
      </c>
      <c r="AL65" s="39">
        <f t="shared" si="50"/>
        <v>0</v>
      </c>
      <c r="AM65" s="93">
        <v>0</v>
      </c>
      <c r="AN65" s="93">
        <v>0</v>
      </c>
      <c r="AO65" s="93">
        <v>0</v>
      </c>
      <c r="AP65" s="93">
        <v>0</v>
      </c>
      <c r="AQ65" s="93"/>
      <c r="AR65" s="39">
        <f t="shared" si="51"/>
        <v>0</v>
      </c>
      <c r="AS65" s="93">
        <v>0</v>
      </c>
      <c r="AT65" s="93">
        <v>0</v>
      </c>
      <c r="AU65" s="93">
        <v>0</v>
      </c>
      <c r="AV65" s="93">
        <v>0</v>
      </c>
      <c r="AW65" s="90" t="e">
        <f t="shared" si="65"/>
        <v>#REF!</v>
      </c>
      <c r="AX65" s="39">
        <f t="shared" si="52"/>
        <v>0</v>
      </c>
      <c r="AY65" s="93">
        <v>0</v>
      </c>
      <c r="AZ65" s="93">
        <v>0</v>
      </c>
      <c r="BA65" s="93">
        <v>0</v>
      </c>
      <c r="BB65" s="93">
        <v>0</v>
      </c>
      <c r="BD65" s="39">
        <f t="shared" si="53"/>
        <v>0</v>
      </c>
      <c r="BE65" s="93">
        <v>0</v>
      </c>
      <c r="BF65" s="93">
        <v>0</v>
      </c>
      <c r="BG65" s="93">
        <v>0</v>
      </c>
      <c r="BH65" s="93">
        <v>0</v>
      </c>
      <c r="BJ65" s="39">
        <f t="shared" si="54"/>
        <v>0</v>
      </c>
      <c r="BK65" s="93">
        <v>0</v>
      </c>
      <c r="BL65" s="93">
        <v>0</v>
      </c>
      <c r="BM65" s="93">
        <v>0</v>
      </c>
      <c r="BN65" s="93">
        <v>0</v>
      </c>
      <c r="BO65" s="93"/>
      <c r="BP65" s="39">
        <f t="shared" si="55"/>
        <v>0</v>
      </c>
      <c r="BQ65" s="93">
        <v>0</v>
      </c>
      <c r="BR65" s="93">
        <v>0</v>
      </c>
      <c r="BS65" s="93">
        <v>0</v>
      </c>
      <c r="BT65" s="93">
        <v>0</v>
      </c>
      <c r="BU65" s="90" t="e">
        <f t="shared" si="66"/>
        <v>#REF!</v>
      </c>
      <c r="BV65" s="39">
        <f t="shared" si="56"/>
        <v>0</v>
      </c>
      <c r="BW65" s="93">
        <v>0</v>
      </c>
      <c r="BX65" s="93">
        <v>0</v>
      </c>
      <c r="BY65" s="93">
        <v>0</v>
      </c>
      <c r="BZ65" s="93">
        <v>0</v>
      </c>
      <c r="CB65" s="39">
        <f t="shared" si="57"/>
        <v>0</v>
      </c>
      <c r="CC65" s="93">
        <v>0</v>
      </c>
      <c r="CD65" s="93">
        <v>0</v>
      </c>
      <c r="CE65" s="93">
        <v>0</v>
      </c>
      <c r="CF65" s="93">
        <v>0</v>
      </c>
      <c r="CH65" s="39">
        <f t="shared" si="58"/>
        <v>0</v>
      </c>
      <c r="CI65" s="93">
        <v>0</v>
      </c>
      <c r="CJ65" s="93">
        <v>0</v>
      </c>
      <c r="CK65" s="93">
        <v>0</v>
      </c>
      <c r="CL65" s="93">
        <v>0</v>
      </c>
      <c r="CM65" s="93"/>
      <c r="CN65" s="39">
        <f t="shared" si="59"/>
        <v>0</v>
      </c>
      <c r="CO65" s="93">
        <v>0</v>
      </c>
      <c r="CP65" s="93">
        <v>0</v>
      </c>
      <c r="CQ65" s="93">
        <v>0</v>
      </c>
      <c r="CR65" s="93">
        <v>0</v>
      </c>
      <c r="CS65" s="90" t="e">
        <f t="shared" si="67"/>
        <v>#REF!</v>
      </c>
      <c r="CT65" s="39">
        <f t="shared" si="60"/>
        <v>0</v>
      </c>
      <c r="CU65" s="93">
        <v>0</v>
      </c>
      <c r="CV65" s="93">
        <v>0</v>
      </c>
      <c r="CW65" s="93">
        <v>0</v>
      </c>
      <c r="CX65" s="93">
        <v>0</v>
      </c>
      <c r="CZ65" s="39">
        <f t="shared" si="61"/>
        <v>0</v>
      </c>
      <c r="DA65" s="93">
        <v>0</v>
      </c>
      <c r="DB65" s="93">
        <v>0</v>
      </c>
      <c r="DC65" s="93">
        <v>0</v>
      </c>
      <c r="DD65" s="93">
        <v>0</v>
      </c>
      <c r="DF65" s="39">
        <f t="shared" si="62"/>
        <v>0</v>
      </c>
      <c r="DG65" s="93">
        <v>0</v>
      </c>
      <c r="DH65" s="93">
        <v>0</v>
      </c>
      <c r="DI65" s="93">
        <v>0</v>
      </c>
      <c r="DJ65" s="93">
        <v>0</v>
      </c>
      <c r="DK65" s="93"/>
      <c r="DL65" s="39">
        <f t="shared" si="63"/>
        <v>0</v>
      </c>
      <c r="DM65" s="93">
        <v>0</v>
      </c>
      <c r="DN65" s="93">
        <v>0</v>
      </c>
      <c r="DO65" s="93">
        <v>0</v>
      </c>
      <c r="DP65" s="93">
        <v>0</v>
      </c>
    </row>
    <row r="66" spans="1:120" x14ac:dyDescent="0.3">
      <c r="A66" s="90" t="e">
        <f>name!#REF!</f>
        <v>#REF!</v>
      </c>
      <c r="B66" s="39" t="e">
        <f t="shared" si="44"/>
        <v>#N/A</v>
      </c>
      <c r="C66" s="93" t="e">
        <v>#N/A</v>
      </c>
      <c r="D66" s="93" t="e">
        <v>#N/A</v>
      </c>
      <c r="E66" s="93" t="e">
        <v>#N/A</v>
      </c>
      <c r="F66" s="93" t="e">
        <v>#N/A</v>
      </c>
      <c r="H66" s="39" t="e">
        <f t="shared" si="45"/>
        <v>#N/A</v>
      </c>
      <c r="I66" s="93" t="e">
        <v>#N/A</v>
      </c>
      <c r="J66" s="93" t="e">
        <v>#N/A</v>
      </c>
      <c r="K66" s="93" t="e">
        <v>#N/A</v>
      </c>
      <c r="L66" s="93" t="e">
        <v>#N/A</v>
      </c>
      <c r="N66" s="39" t="e">
        <f t="shared" si="46"/>
        <v>#N/A</v>
      </c>
      <c r="O66" s="93" t="e">
        <v>#N/A</v>
      </c>
      <c r="P66" s="93" t="e">
        <v>#N/A</v>
      </c>
      <c r="Q66" s="93" t="e">
        <v>#N/A</v>
      </c>
      <c r="R66" s="93" t="e">
        <v>#N/A</v>
      </c>
      <c r="S66" s="93"/>
      <c r="T66" s="39" t="e">
        <f t="shared" si="47"/>
        <v>#N/A</v>
      </c>
      <c r="U66" s="93" t="e">
        <v>#N/A</v>
      </c>
      <c r="V66" s="93" t="e">
        <v>#N/A</v>
      </c>
      <c r="W66" s="93" t="e">
        <v>#N/A</v>
      </c>
      <c r="X66" s="93" t="e">
        <v>#N/A</v>
      </c>
      <c r="Y66" s="90" t="e">
        <f t="shared" si="64"/>
        <v>#REF!</v>
      </c>
      <c r="Z66" s="39" t="e">
        <f t="shared" si="48"/>
        <v>#N/A</v>
      </c>
      <c r="AA66" s="93" t="e">
        <v>#N/A</v>
      </c>
      <c r="AB66" s="93" t="e">
        <v>#N/A</v>
      </c>
      <c r="AC66" s="93" t="e">
        <v>#N/A</v>
      </c>
      <c r="AD66" s="93" t="e">
        <v>#N/A</v>
      </c>
      <c r="AF66" s="39" t="e">
        <f t="shared" si="49"/>
        <v>#N/A</v>
      </c>
      <c r="AG66" s="93" t="e">
        <v>#N/A</v>
      </c>
      <c r="AH66" s="93" t="e">
        <v>#N/A</v>
      </c>
      <c r="AI66" s="93" t="e">
        <v>#N/A</v>
      </c>
      <c r="AJ66" s="93" t="e">
        <v>#N/A</v>
      </c>
      <c r="AL66" s="39" t="e">
        <f t="shared" si="50"/>
        <v>#N/A</v>
      </c>
      <c r="AM66" s="93" t="e">
        <v>#N/A</v>
      </c>
      <c r="AN66" s="93" t="e">
        <v>#N/A</v>
      </c>
      <c r="AO66" s="93" t="e">
        <v>#N/A</v>
      </c>
      <c r="AP66" s="93" t="e">
        <v>#N/A</v>
      </c>
      <c r="AQ66" s="93"/>
      <c r="AR66" s="39" t="e">
        <f t="shared" si="51"/>
        <v>#N/A</v>
      </c>
      <c r="AS66" s="93" t="e">
        <v>#N/A</v>
      </c>
      <c r="AT66" s="93" t="e">
        <v>#N/A</v>
      </c>
      <c r="AU66" s="93" t="e">
        <v>#N/A</v>
      </c>
      <c r="AV66" s="93" t="e">
        <v>#N/A</v>
      </c>
      <c r="AW66" s="90" t="e">
        <f t="shared" si="65"/>
        <v>#REF!</v>
      </c>
      <c r="AX66" s="39" t="e">
        <f t="shared" si="52"/>
        <v>#N/A</v>
      </c>
      <c r="AY66" s="93" t="e">
        <v>#N/A</v>
      </c>
      <c r="AZ66" s="93" t="e">
        <v>#N/A</v>
      </c>
      <c r="BA66" s="93" t="e">
        <v>#N/A</v>
      </c>
      <c r="BB66" s="93" t="e">
        <v>#N/A</v>
      </c>
      <c r="BD66" s="39" t="e">
        <f t="shared" si="53"/>
        <v>#N/A</v>
      </c>
      <c r="BE66" s="93" t="e">
        <v>#N/A</v>
      </c>
      <c r="BF66" s="93" t="e">
        <v>#N/A</v>
      </c>
      <c r="BG66" s="93" t="e">
        <v>#N/A</v>
      </c>
      <c r="BH66" s="93" t="e">
        <v>#N/A</v>
      </c>
      <c r="BJ66" s="39" t="e">
        <f t="shared" si="54"/>
        <v>#N/A</v>
      </c>
      <c r="BK66" s="93" t="e">
        <v>#N/A</v>
      </c>
      <c r="BL66" s="93" t="e">
        <v>#N/A</v>
      </c>
      <c r="BM66" s="93" t="e">
        <v>#N/A</v>
      </c>
      <c r="BN66" s="93" t="e">
        <v>#N/A</v>
      </c>
      <c r="BO66" s="93"/>
      <c r="BP66" s="39" t="e">
        <f t="shared" si="55"/>
        <v>#N/A</v>
      </c>
      <c r="BQ66" s="93" t="e">
        <v>#N/A</v>
      </c>
      <c r="BR66" s="93" t="e">
        <v>#N/A</v>
      </c>
      <c r="BS66" s="93" t="e">
        <v>#N/A</v>
      </c>
      <c r="BT66" s="93" t="e">
        <v>#N/A</v>
      </c>
      <c r="BU66" s="90" t="e">
        <f t="shared" si="66"/>
        <v>#REF!</v>
      </c>
      <c r="BV66" s="39" t="e">
        <f t="shared" si="56"/>
        <v>#N/A</v>
      </c>
      <c r="BW66" s="93" t="e">
        <v>#N/A</v>
      </c>
      <c r="BX66" s="93" t="e">
        <v>#N/A</v>
      </c>
      <c r="BY66" s="93" t="e">
        <v>#N/A</v>
      </c>
      <c r="BZ66" s="93" t="e">
        <v>#N/A</v>
      </c>
      <c r="CB66" s="39" t="e">
        <f t="shared" si="57"/>
        <v>#N/A</v>
      </c>
      <c r="CC66" s="93" t="e">
        <v>#N/A</v>
      </c>
      <c r="CD66" s="93" t="e">
        <v>#N/A</v>
      </c>
      <c r="CE66" s="93" t="e">
        <v>#N/A</v>
      </c>
      <c r="CF66" s="93" t="e">
        <v>#N/A</v>
      </c>
      <c r="CH66" s="39" t="e">
        <f t="shared" si="58"/>
        <v>#N/A</v>
      </c>
      <c r="CI66" s="93" t="e">
        <v>#N/A</v>
      </c>
      <c r="CJ66" s="93" t="e">
        <v>#N/A</v>
      </c>
      <c r="CK66" s="93" t="e">
        <v>#N/A</v>
      </c>
      <c r="CL66" s="93" t="e">
        <v>#N/A</v>
      </c>
      <c r="CM66" s="93"/>
      <c r="CN66" s="39" t="e">
        <f t="shared" si="59"/>
        <v>#N/A</v>
      </c>
      <c r="CO66" s="93" t="e">
        <v>#N/A</v>
      </c>
      <c r="CP66" s="93" t="e">
        <v>#N/A</v>
      </c>
      <c r="CQ66" s="93" t="e">
        <v>#N/A</v>
      </c>
      <c r="CR66" s="93" t="e">
        <v>#N/A</v>
      </c>
      <c r="CS66" s="90" t="e">
        <f t="shared" si="67"/>
        <v>#REF!</v>
      </c>
      <c r="CT66" s="39" t="e">
        <f t="shared" si="60"/>
        <v>#N/A</v>
      </c>
      <c r="CU66" s="93" t="e">
        <v>#N/A</v>
      </c>
      <c r="CV66" s="93" t="e">
        <v>#N/A</v>
      </c>
      <c r="CW66" s="93" t="e">
        <v>#N/A</v>
      </c>
      <c r="CX66" s="93" t="e">
        <v>#N/A</v>
      </c>
      <c r="CZ66" s="39" t="e">
        <f t="shared" si="61"/>
        <v>#N/A</v>
      </c>
      <c r="DA66" s="93" t="e">
        <v>#N/A</v>
      </c>
      <c r="DB66" s="93" t="e">
        <v>#N/A</v>
      </c>
      <c r="DC66" s="93" t="e">
        <v>#N/A</v>
      </c>
      <c r="DD66" s="93" t="e">
        <v>#N/A</v>
      </c>
      <c r="DF66" s="39" t="e">
        <f t="shared" si="62"/>
        <v>#N/A</v>
      </c>
      <c r="DG66" s="93" t="e">
        <v>#N/A</v>
      </c>
      <c r="DH66" s="93" t="e">
        <v>#N/A</v>
      </c>
      <c r="DI66" s="93" t="e">
        <v>#N/A</v>
      </c>
      <c r="DJ66" s="93" t="e">
        <v>#N/A</v>
      </c>
      <c r="DK66" s="93"/>
      <c r="DL66" s="39" t="e">
        <f t="shared" si="63"/>
        <v>#N/A</v>
      </c>
      <c r="DM66" s="93" t="e">
        <v>#N/A</v>
      </c>
      <c r="DN66" s="93" t="e">
        <v>#N/A</v>
      </c>
      <c r="DO66" s="93" t="e">
        <v>#N/A</v>
      </c>
      <c r="DP66" s="93" t="e">
        <v>#N/A</v>
      </c>
    </row>
    <row r="67" spans="1:120" x14ac:dyDescent="0.3">
      <c r="A67" s="90" t="e">
        <f>name!#REF!</f>
        <v>#REF!</v>
      </c>
      <c r="B67" s="39" t="e">
        <f t="shared" si="44"/>
        <v>#N/A</v>
      </c>
      <c r="C67" s="93" t="e">
        <v>#N/A</v>
      </c>
      <c r="D67" s="93" t="e">
        <v>#N/A</v>
      </c>
      <c r="E67" s="93" t="e">
        <v>#N/A</v>
      </c>
      <c r="F67" s="93" t="e">
        <v>#N/A</v>
      </c>
      <c r="H67" s="39" t="e">
        <f t="shared" si="45"/>
        <v>#N/A</v>
      </c>
      <c r="I67" s="93" t="e">
        <v>#N/A</v>
      </c>
      <c r="J67" s="93" t="e">
        <v>#N/A</v>
      </c>
      <c r="K67" s="93" t="e">
        <v>#N/A</v>
      </c>
      <c r="L67" s="93" t="e">
        <v>#N/A</v>
      </c>
      <c r="N67" s="39" t="e">
        <f t="shared" si="46"/>
        <v>#N/A</v>
      </c>
      <c r="O67" s="93" t="e">
        <v>#N/A</v>
      </c>
      <c r="P67" s="93" t="e">
        <v>#N/A</v>
      </c>
      <c r="Q67" s="93" t="e">
        <v>#N/A</v>
      </c>
      <c r="R67" s="93" t="e">
        <v>#N/A</v>
      </c>
      <c r="S67" s="93"/>
      <c r="T67" s="39" t="e">
        <f t="shared" si="47"/>
        <v>#N/A</v>
      </c>
      <c r="U67" s="93" t="e">
        <v>#N/A</v>
      </c>
      <c r="V67" s="93" t="e">
        <v>#N/A</v>
      </c>
      <c r="W67" s="93" t="e">
        <v>#N/A</v>
      </c>
      <c r="X67" s="93" t="e">
        <v>#N/A</v>
      </c>
      <c r="Y67" s="90" t="e">
        <f t="shared" si="64"/>
        <v>#REF!</v>
      </c>
      <c r="Z67" s="39" t="e">
        <f t="shared" si="48"/>
        <v>#N/A</v>
      </c>
      <c r="AA67" s="93" t="e">
        <v>#N/A</v>
      </c>
      <c r="AB67" s="93" t="e">
        <v>#N/A</v>
      </c>
      <c r="AC67" s="93" t="e">
        <v>#N/A</v>
      </c>
      <c r="AD67" s="93" t="e">
        <v>#N/A</v>
      </c>
      <c r="AF67" s="39" t="e">
        <f t="shared" si="49"/>
        <v>#N/A</v>
      </c>
      <c r="AG67" s="93" t="e">
        <v>#N/A</v>
      </c>
      <c r="AH67" s="93" t="e">
        <v>#N/A</v>
      </c>
      <c r="AI67" s="93" t="e">
        <v>#N/A</v>
      </c>
      <c r="AJ67" s="93" t="e">
        <v>#N/A</v>
      </c>
      <c r="AL67" s="39" t="e">
        <f t="shared" si="50"/>
        <v>#N/A</v>
      </c>
      <c r="AM67" s="93" t="e">
        <v>#N/A</v>
      </c>
      <c r="AN67" s="93" t="e">
        <v>#N/A</v>
      </c>
      <c r="AO67" s="93" t="e">
        <v>#N/A</v>
      </c>
      <c r="AP67" s="93" t="e">
        <v>#N/A</v>
      </c>
      <c r="AQ67" s="93"/>
      <c r="AR67" s="39" t="e">
        <f t="shared" si="51"/>
        <v>#N/A</v>
      </c>
      <c r="AS67" s="93" t="e">
        <v>#N/A</v>
      </c>
      <c r="AT67" s="93" t="e">
        <v>#N/A</v>
      </c>
      <c r="AU67" s="93" t="e">
        <v>#N/A</v>
      </c>
      <c r="AV67" s="93" t="e">
        <v>#N/A</v>
      </c>
      <c r="AW67" s="90" t="e">
        <f t="shared" si="65"/>
        <v>#REF!</v>
      </c>
      <c r="AX67" s="39" t="e">
        <f t="shared" si="52"/>
        <v>#N/A</v>
      </c>
      <c r="AY67" s="93" t="e">
        <v>#N/A</v>
      </c>
      <c r="AZ67" s="93" t="e">
        <v>#N/A</v>
      </c>
      <c r="BA67" s="93" t="e">
        <v>#N/A</v>
      </c>
      <c r="BB67" s="93" t="e">
        <v>#N/A</v>
      </c>
      <c r="BD67" s="39" t="e">
        <f t="shared" si="53"/>
        <v>#N/A</v>
      </c>
      <c r="BE67" s="93" t="e">
        <v>#N/A</v>
      </c>
      <c r="BF67" s="93" t="e">
        <v>#N/A</v>
      </c>
      <c r="BG67" s="93" t="e">
        <v>#N/A</v>
      </c>
      <c r="BH67" s="93" t="e">
        <v>#N/A</v>
      </c>
      <c r="BJ67" s="39" t="e">
        <f t="shared" si="54"/>
        <v>#N/A</v>
      </c>
      <c r="BK67" s="93" t="e">
        <v>#N/A</v>
      </c>
      <c r="BL67" s="93" t="e">
        <v>#N/A</v>
      </c>
      <c r="BM67" s="93" t="e">
        <v>#N/A</v>
      </c>
      <c r="BN67" s="93" t="e">
        <v>#N/A</v>
      </c>
      <c r="BO67" s="93"/>
      <c r="BP67" s="39" t="e">
        <f t="shared" si="55"/>
        <v>#N/A</v>
      </c>
      <c r="BQ67" s="93" t="e">
        <v>#N/A</v>
      </c>
      <c r="BR67" s="93" t="e">
        <v>#N/A</v>
      </c>
      <c r="BS67" s="93" t="e">
        <v>#N/A</v>
      </c>
      <c r="BT67" s="93" t="e">
        <v>#N/A</v>
      </c>
      <c r="BU67" s="90" t="e">
        <f t="shared" si="66"/>
        <v>#REF!</v>
      </c>
      <c r="BV67" s="39" t="e">
        <f t="shared" si="56"/>
        <v>#N/A</v>
      </c>
      <c r="BW67" s="93" t="e">
        <v>#N/A</v>
      </c>
      <c r="BX67" s="93" t="e">
        <v>#N/A</v>
      </c>
      <c r="BY67" s="93" t="e">
        <v>#N/A</v>
      </c>
      <c r="BZ67" s="93" t="e">
        <v>#N/A</v>
      </c>
      <c r="CB67" s="39" t="e">
        <f t="shared" si="57"/>
        <v>#N/A</v>
      </c>
      <c r="CC67" s="93" t="e">
        <v>#N/A</v>
      </c>
      <c r="CD67" s="93" t="e">
        <v>#N/A</v>
      </c>
      <c r="CE67" s="93" t="e">
        <v>#N/A</v>
      </c>
      <c r="CF67" s="93" t="e">
        <v>#N/A</v>
      </c>
      <c r="CH67" s="39" t="e">
        <f t="shared" si="58"/>
        <v>#N/A</v>
      </c>
      <c r="CI67" s="93" t="e">
        <v>#N/A</v>
      </c>
      <c r="CJ67" s="93" t="e">
        <v>#N/A</v>
      </c>
      <c r="CK67" s="93" t="e">
        <v>#N/A</v>
      </c>
      <c r="CL67" s="93" t="e">
        <v>#N/A</v>
      </c>
      <c r="CM67" s="93"/>
      <c r="CN67" s="39" t="e">
        <f t="shared" si="59"/>
        <v>#N/A</v>
      </c>
      <c r="CO67" s="93" t="e">
        <v>#N/A</v>
      </c>
      <c r="CP67" s="93" t="e">
        <v>#N/A</v>
      </c>
      <c r="CQ67" s="93" t="e">
        <v>#N/A</v>
      </c>
      <c r="CR67" s="93" t="e">
        <v>#N/A</v>
      </c>
      <c r="CS67" s="90" t="e">
        <f t="shared" si="67"/>
        <v>#REF!</v>
      </c>
      <c r="CT67" s="39" t="e">
        <f t="shared" si="60"/>
        <v>#N/A</v>
      </c>
      <c r="CU67" s="93" t="e">
        <v>#N/A</v>
      </c>
      <c r="CV67" s="93" t="e">
        <v>#N/A</v>
      </c>
      <c r="CW67" s="93" t="e">
        <v>#N/A</v>
      </c>
      <c r="CX67" s="93" t="e">
        <v>#N/A</v>
      </c>
      <c r="CZ67" s="39" t="e">
        <f t="shared" si="61"/>
        <v>#N/A</v>
      </c>
      <c r="DA67" s="93" t="e">
        <v>#N/A</v>
      </c>
      <c r="DB67" s="93" t="e">
        <v>#N/A</v>
      </c>
      <c r="DC67" s="93" t="e">
        <v>#N/A</v>
      </c>
      <c r="DD67" s="93" t="e">
        <v>#N/A</v>
      </c>
      <c r="DF67" s="39" t="e">
        <f t="shared" si="62"/>
        <v>#N/A</v>
      </c>
      <c r="DG67" s="93" t="e">
        <v>#N/A</v>
      </c>
      <c r="DH67" s="93" t="e">
        <v>#N/A</v>
      </c>
      <c r="DI67" s="93" t="e">
        <v>#N/A</v>
      </c>
      <c r="DJ67" s="93" t="e">
        <v>#N/A</v>
      </c>
      <c r="DK67" s="93"/>
      <c r="DL67" s="39" t="e">
        <f t="shared" si="63"/>
        <v>#N/A</v>
      </c>
      <c r="DM67" s="93" t="e">
        <v>#N/A</v>
      </c>
      <c r="DN67" s="93" t="e">
        <v>#N/A</v>
      </c>
      <c r="DO67" s="93" t="e">
        <v>#N/A</v>
      </c>
      <c r="DP67" s="93" t="e">
        <v>#N/A</v>
      </c>
    </row>
    <row r="68" spans="1:120" x14ac:dyDescent="0.3">
      <c r="A68" s="90" t="e">
        <f>name!#REF!</f>
        <v>#REF!</v>
      </c>
      <c r="B68" s="39" t="e">
        <f t="shared" si="44"/>
        <v>#N/A</v>
      </c>
      <c r="C68" s="93" t="e">
        <v>#N/A</v>
      </c>
      <c r="D68" s="93" t="e">
        <v>#N/A</v>
      </c>
      <c r="E68" s="93" t="e">
        <v>#N/A</v>
      </c>
      <c r="F68" s="93" t="e">
        <v>#N/A</v>
      </c>
      <c r="H68" s="39" t="e">
        <f t="shared" si="45"/>
        <v>#N/A</v>
      </c>
      <c r="I68" s="93" t="e">
        <v>#N/A</v>
      </c>
      <c r="J68" s="93" t="e">
        <v>#N/A</v>
      </c>
      <c r="K68" s="93" t="e">
        <v>#N/A</v>
      </c>
      <c r="L68" s="93" t="e">
        <v>#N/A</v>
      </c>
      <c r="N68" s="39" t="e">
        <f t="shared" si="46"/>
        <v>#N/A</v>
      </c>
      <c r="O68" s="93" t="e">
        <v>#N/A</v>
      </c>
      <c r="P68" s="93" t="e">
        <v>#N/A</v>
      </c>
      <c r="Q68" s="93" t="e">
        <v>#N/A</v>
      </c>
      <c r="R68" s="93" t="e">
        <v>#N/A</v>
      </c>
      <c r="S68" s="93"/>
      <c r="T68" s="39" t="e">
        <f t="shared" si="47"/>
        <v>#N/A</v>
      </c>
      <c r="U68" s="93" t="e">
        <v>#N/A</v>
      </c>
      <c r="V68" s="93" t="e">
        <v>#N/A</v>
      </c>
      <c r="W68" s="93" t="e">
        <v>#N/A</v>
      </c>
      <c r="X68" s="93" t="e">
        <v>#N/A</v>
      </c>
      <c r="Y68" s="90" t="e">
        <f t="shared" si="64"/>
        <v>#REF!</v>
      </c>
      <c r="Z68" s="39" t="e">
        <f t="shared" si="48"/>
        <v>#N/A</v>
      </c>
      <c r="AA68" s="93" t="e">
        <v>#N/A</v>
      </c>
      <c r="AB68" s="93" t="e">
        <v>#N/A</v>
      </c>
      <c r="AC68" s="93" t="e">
        <v>#N/A</v>
      </c>
      <c r="AD68" s="93" t="e">
        <v>#N/A</v>
      </c>
      <c r="AF68" s="39" t="e">
        <f t="shared" si="49"/>
        <v>#N/A</v>
      </c>
      <c r="AG68" s="93" t="e">
        <v>#N/A</v>
      </c>
      <c r="AH68" s="93" t="e">
        <v>#N/A</v>
      </c>
      <c r="AI68" s="93" t="e">
        <v>#N/A</v>
      </c>
      <c r="AJ68" s="93" t="e">
        <v>#N/A</v>
      </c>
      <c r="AL68" s="39" t="e">
        <f t="shared" si="50"/>
        <v>#N/A</v>
      </c>
      <c r="AM68" s="93" t="e">
        <v>#N/A</v>
      </c>
      <c r="AN68" s="93" t="e">
        <v>#N/A</v>
      </c>
      <c r="AO68" s="93" t="e">
        <v>#N/A</v>
      </c>
      <c r="AP68" s="93" t="e">
        <v>#N/A</v>
      </c>
      <c r="AQ68" s="93"/>
      <c r="AR68" s="39" t="e">
        <f t="shared" si="51"/>
        <v>#N/A</v>
      </c>
      <c r="AS68" s="93" t="e">
        <v>#N/A</v>
      </c>
      <c r="AT68" s="93" t="e">
        <v>#N/A</v>
      </c>
      <c r="AU68" s="93" t="e">
        <v>#N/A</v>
      </c>
      <c r="AV68" s="93" t="e">
        <v>#N/A</v>
      </c>
      <c r="AW68" s="90" t="e">
        <f t="shared" si="65"/>
        <v>#REF!</v>
      </c>
      <c r="AX68" s="39" t="e">
        <f t="shared" si="52"/>
        <v>#N/A</v>
      </c>
      <c r="AY68" s="93" t="e">
        <v>#N/A</v>
      </c>
      <c r="AZ68" s="93" t="e">
        <v>#N/A</v>
      </c>
      <c r="BA68" s="93" t="e">
        <v>#N/A</v>
      </c>
      <c r="BB68" s="93" t="e">
        <v>#N/A</v>
      </c>
      <c r="BD68" s="39" t="e">
        <f t="shared" si="53"/>
        <v>#N/A</v>
      </c>
      <c r="BE68" s="93" t="e">
        <v>#N/A</v>
      </c>
      <c r="BF68" s="93" t="e">
        <v>#N/A</v>
      </c>
      <c r="BG68" s="93" t="e">
        <v>#N/A</v>
      </c>
      <c r="BH68" s="93" t="e">
        <v>#N/A</v>
      </c>
      <c r="BJ68" s="39" t="e">
        <f t="shared" si="54"/>
        <v>#N/A</v>
      </c>
      <c r="BK68" s="93" t="e">
        <v>#N/A</v>
      </c>
      <c r="BL68" s="93" t="e">
        <v>#N/A</v>
      </c>
      <c r="BM68" s="93" t="e">
        <v>#N/A</v>
      </c>
      <c r="BN68" s="93" t="e">
        <v>#N/A</v>
      </c>
      <c r="BO68" s="93"/>
      <c r="BP68" s="39" t="e">
        <f t="shared" si="55"/>
        <v>#N/A</v>
      </c>
      <c r="BQ68" s="93" t="e">
        <v>#N/A</v>
      </c>
      <c r="BR68" s="93" t="e">
        <v>#N/A</v>
      </c>
      <c r="BS68" s="93" t="e">
        <v>#N/A</v>
      </c>
      <c r="BT68" s="93" t="e">
        <v>#N/A</v>
      </c>
      <c r="BU68" s="90" t="e">
        <f t="shared" si="66"/>
        <v>#REF!</v>
      </c>
      <c r="BV68" s="39" t="e">
        <f t="shared" si="56"/>
        <v>#N/A</v>
      </c>
      <c r="BW68" s="93" t="e">
        <v>#N/A</v>
      </c>
      <c r="BX68" s="93" t="e">
        <v>#N/A</v>
      </c>
      <c r="BY68" s="93" t="e">
        <v>#N/A</v>
      </c>
      <c r="BZ68" s="93" t="e">
        <v>#N/A</v>
      </c>
      <c r="CB68" s="39" t="e">
        <f t="shared" si="57"/>
        <v>#N/A</v>
      </c>
      <c r="CC68" s="93" t="e">
        <v>#N/A</v>
      </c>
      <c r="CD68" s="93" t="e">
        <v>#N/A</v>
      </c>
      <c r="CE68" s="93" t="e">
        <v>#N/A</v>
      </c>
      <c r="CF68" s="93" t="e">
        <v>#N/A</v>
      </c>
      <c r="CH68" s="39" t="e">
        <f t="shared" si="58"/>
        <v>#N/A</v>
      </c>
      <c r="CI68" s="93" t="e">
        <v>#N/A</v>
      </c>
      <c r="CJ68" s="93" t="e">
        <v>#N/A</v>
      </c>
      <c r="CK68" s="93" t="e">
        <v>#N/A</v>
      </c>
      <c r="CL68" s="93" t="e">
        <v>#N/A</v>
      </c>
      <c r="CM68" s="93"/>
      <c r="CN68" s="39" t="e">
        <f t="shared" si="59"/>
        <v>#N/A</v>
      </c>
      <c r="CO68" s="93" t="e">
        <v>#N/A</v>
      </c>
      <c r="CP68" s="93" t="e">
        <v>#N/A</v>
      </c>
      <c r="CQ68" s="93" t="e">
        <v>#N/A</v>
      </c>
      <c r="CR68" s="93" t="e">
        <v>#N/A</v>
      </c>
      <c r="CS68" s="90" t="e">
        <f t="shared" si="67"/>
        <v>#REF!</v>
      </c>
      <c r="CT68" s="39" t="e">
        <f t="shared" si="60"/>
        <v>#N/A</v>
      </c>
      <c r="CU68" s="93" t="e">
        <v>#N/A</v>
      </c>
      <c r="CV68" s="93" t="e">
        <v>#N/A</v>
      </c>
      <c r="CW68" s="93" t="e">
        <v>#N/A</v>
      </c>
      <c r="CX68" s="93" t="e">
        <v>#N/A</v>
      </c>
      <c r="CZ68" s="39" t="e">
        <f t="shared" si="61"/>
        <v>#N/A</v>
      </c>
      <c r="DA68" s="93" t="e">
        <v>#N/A</v>
      </c>
      <c r="DB68" s="93" t="e">
        <v>#N/A</v>
      </c>
      <c r="DC68" s="93" t="e">
        <v>#N/A</v>
      </c>
      <c r="DD68" s="93" t="e">
        <v>#N/A</v>
      </c>
      <c r="DF68" s="39" t="e">
        <f t="shared" si="62"/>
        <v>#N/A</v>
      </c>
      <c r="DG68" s="93" t="e">
        <v>#N/A</v>
      </c>
      <c r="DH68" s="93" t="e">
        <v>#N/A</v>
      </c>
      <c r="DI68" s="93" t="e">
        <v>#N/A</v>
      </c>
      <c r="DJ68" s="93" t="e">
        <v>#N/A</v>
      </c>
      <c r="DK68" s="93"/>
      <c r="DL68" s="39" t="e">
        <f t="shared" si="63"/>
        <v>#N/A</v>
      </c>
      <c r="DM68" s="93" t="e">
        <v>#N/A</v>
      </c>
      <c r="DN68" s="93" t="e">
        <v>#N/A</v>
      </c>
      <c r="DO68" s="93" t="e">
        <v>#N/A</v>
      </c>
      <c r="DP68" s="93" t="e">
        <v>#N/A</v>
      </c>
    </row>
    <row r="69" spans="1:120" x14ac:dyDescent="0.3">
      <c r="A69" s="90" t="e">
        <f>name!#REF!</f>
        <v>#REF!</v>
      </c>
      <c r="B69" s="39" t="e">
        <f t="shared" si="44"/>
        <v>#N/A</v>
      </c>
      <c r="C69" s="93" t="e">
        <v>#N/A</v>
      </c>
      <c r="D69" s="93" t="e">
        <v>#N/A</v>
      </c>
      <c r="E69" s="93" t="e">
        <v>#N/A</v>
      </c>
      <c r="F69" s="93" t="e">
        <v>#N/A</v>
      </c>
      <c r="H69" s="39" t="e">
        <f t="shared" si="45"/>
        <v>#N/A</v>
      </c>
      <c r="I69" s="93" t="e">
        <v>#N/A</v>
      </c>
      <c r="J69" s="93" t="e">
        <v>#N/A</v>
      </c>
      <c r="K69" s="93" t="e">
        <v>#N/A</v>
      </c>
      <c r="L69" s="93" t="e">
        <v>#N/A</v>
      </c>
      <c r="N69" s="39" t="e">
        <f t="shared" si="46"/>
        <v>#N/A</v>
      </c>
      <c r="O69" s="93" t="e">
        <v>#N/A</v>
      </c>
      <c r="P69" s="93" t="e">
        <v>#N/A</v>
      </c>
      <c r="Q69" s="93" t="e">
        <v>#N/A</v>
      </c>
      <c r="R69" s="93" t="e">
        <v>#N/A</v>
      </c>
      <c r="S69" s="93"/>
      <c r="T69" s="39" t="e">
        <f t="shared" si="47"/>
        <v>#N/A</v>
      </c>
      <c r="U69" s="93" t="e">
        <v>#N/A</v>
      </c>
      <c r="V69" s="93" t="e">
        <v>#N/A</v>
      </c>
      <c r="W69" s="93" t="e">
        <v>#N/A</v>
      </c>
      <c r="X69" s="93" t="e">
        <v>#N/A</v>
      </c>
      <c r="Y69" s="90" t="e">
        <f t="shared" si="64"/>
        <v>#REF!</v>
      </c>
      <c r="Z69" s="39" t="e">
        <f t="shared" si="48"/>
        <v>#N/A</v>
      </c>
      <c r="AA69" s="93" t="e">
        <v>#N/A</v>
      </c>
      <c r="AB69" s="93" t="e">
        <v>#N/A</v>
      </c>
      <c r="AC69" s="93" t="e">
        <v>#N/A</v>
      </c>
      <c r="AD69" s="93" t="e">
        <v>#N/A</v>
      </c>
      <c r="AF69" s="39" t="e">
        <f t="shared" si="49"/>
        <v>#N/A</v>
      </c>
      <c r="AG69" s="93" t="e">
        <v>#N/A</v>
      </c>
      <c r="AH69" s="93" t="e">
        <v>#N/A</v>
      </c>
      <c r="AI69" s="93" t="e">
        <v>#N/A</v>
      </c>
      <c r="AJ69" s="93" t="e">
        <v>#N/A</v>
      </c>
      <c r="AL69" s="39" t="e">
        <f t="shared" si="50"/>
        <v>#N/A</v>
      </c>
      <c r="AM69" s="93" t="e">
        <v>#N/A</v>
      </c>
      <c r="AN69" s="93" t="e">
        <v>#N/A</v>
      </c>
      <c r="AO69" s="93" t="e">
        <v>#N/A</v>
      </c>
      <c r="AP69" s="93" t="e">
        <v>#N/A</v>
      </c>
      <c r="AQ69" s="93"/>
      <c r="AR69" s="39" t="e">
        <f t="shared" si="51"/>
        <v>#N/A</v>
      </c>
      <c r="AS69" s="93" t="e">
        <v>#N/A</v>
      </c>
      <c r="AT69" s="93" t="e">
        <v>#N/A</v>
      </c>
      <c r="AU69" s="93" t="e">
        <v>#N/A</v>
      </c>
      <c r="AV69" s="93" t="e">
        <v>#N/A</v>
      </c>
      <c r="AW69" s="90" t="e">
        <f t="shared" si="65"/>
        <v>#REF!</v>
      </c>
      <c r="AX69" s="39" t="e">
        <f t="shared" si="52"/>
        <v>#N/A</v>
      </c>
      <c r="AY69" s="93" t="e">
        <v>#N/A</v>
      </c>
      <c r="AZ69" s="93" t="e">
        <v>#N/A</v>
      </c>
      <c r="BA69" s="93" t="e">
        <v>#N/A</v>
      </c>
      <c r="BB69" s="93" t="e">
        <v>#N/A</v>
      </c>
      <c r="BD69" s="39" t="e">
        <f t="shared" si="53"/>
        <v>#N/A</v>
      </c>
      <c r="BE69" s="93" t="e">
        <v>#N/A</v>
      </c>
      <c r="BF69" s="93" t="e">
        <v>#N/A</v>
      </c>
      <c r="BG69" s="93" t="e">
        <v>#N/A</v>
      </c>
      <c r="BH69" s="93" t="e">
        <v>#N/A</v>
      </c>
      <c r="BJ69" s="39" t="e">
        <f t="shared" si="54"/>
        <v>#N/A</v>
      </c>
      <c r="BK69" s="93" t="e">
        <v>#N/A</v>
      </c>
      <c r="BL69" s="93" t="e">
        <v>#N/A</v>
      </c>
      <c r="BM69" s="93" t="e">
        <v>#N/A</v>
      </c>
      <c r="BN69" s="93" t="e">
        <v>#N/A</v>
      </c>
      <c r="BO69" s="93"/>
      <c r="BP69" s="39" t="e">
        <f t="shared" si="55"/>
        <v>#N/A</v>
      </c>
      <c r="BQ69" s="93" t="e">
        <v>#N/A</v>
      </c>
      <c r="BR69" s="93" t="e">
        <v>#N/A</v>
      </c>
      <c r="BS69" s="93" t="e">
        <v>#N/A</v>
      </c>
      <c r="BT69" s="93" t="e">
        <v>#N/A</v>
      </c>
      <c r="BU69" s="90" t="e">
        <f t="shared" si="66"/>
        <v>#REF!</v>
      </c>
      <c r="BV69" s="39" t="e">
        <f t="shared" si="56"/>
        <v>#N/A</v>
      </c>
      <c r="BW69" s="93" t="e">
        <v>#N/A</v>
      </c>
      <c r="BX69" s="93" t="e">
        <v>#N/A</v>
      </c>
      <c r="BY69" s="93" t="e">
        <v>#N/A</v>
      </c>
      <c r="BZ69" s="93" t="e">
        <v>#N/A</v>
      </c>
      <c r="CB69" s="39" t="e">
        <f t="shared" si="57"/>
        <v>#N/A</v>
      </c>
      <c r="CC69" s="93" t="e">
        <v>#N/A</v>
      </c>
      <c r="CD69" s="93" t="e">
        <v>#N/A</v>
      </c>
      <c r="CE69" s="93" t="e">
        <v>#N/A</v>
      </c>
      <c r="CF69" s="93" t="e">
        <v>#N/A</v>
      </c>
      <c r="CH69" s="39" t="e">
        <f t="shared" si="58"/>
        <v>#N/A</v>
      </c>
      <c r="CI69" s="93" t="e">
        <v>#N/A</v>
      </c>
      <c r="CJ69" s="93" t="e">
        <v>#N/A</v>
      </c>
      <c r="CK69" s="93" t="e">
        <v>#N/A</v>
      </c>
      <c r="CL69" s="93" t="e">
        <v>#N/A</v>
      </c>
      <c r="CM69" s="93"/>
      <c r="CN69" s="39" t="e">
        <f t="shared" si="59"/>
        <v>#N/A</v>
      </c>
      <c r="CO69" s="93" t="e">
        <v>#N/A</v>
      </c>
      <c r="CP69" s="93" t="e">
        <v>#N/A</v>
      </c>
      <c r="CQ69" s="93" t="e">
        <v>#N/A</v>
      </c>
      <c r="CR69" s="93" t="e">
        <v>#N/A</v>
      </c>
      <c r="CS69" s="90" t="e">
        <f t="shared" si="67"/>
        <v>#REF!</v>
      </c>
      <c r="CT69" s="39" t="e">
        <f t="shared" si="60"/>
        <v>#N/A</v>
      </c>
      <c r="CU69" s="93" t="e">
        <v>#N/A</v>
      </c>
      <c r="CV69" s="93" t="e">
        <v>#N/A</v>
      </c>
      <c r="CW69" s="93" t="e">
        <v>#N/A</v>
      </c>
      <c r="CX69" s="93" t="e">
        <v>#N/A</v>
      </c>
      <c r="CZ69" s="39" t="e">
        <f t="shared" si="61"/>
        <v>#N/A</v>
      </c>
      <c r="DA69" s="93" t="e">
        <v>#N/A</v>
      </c>
      <c r="DB69" s="93" t="e">
        <v>#N/A</v>
      </c>
      <c r="DC69" s="93" t="e">
        <v>#N/A</v>
      </c>
      <c r="DD69" s="93" t="e">
        <v>#N/A</v>
      </c>
      <c r="DF69" s="39" t="e">
        <f t="shared" si="62"/>
        <v>#N/A</v>
      </c>
      <c r="DG69" s="93" t="e">
        <v>#N/A</v>
      </c>
      <c r="DH69" s="93" t="e">
        <v>#N/A</v>
      </c>
      <c r="DI69" s="93" t="e">
        <v>#N/A</v>
      </c>
      <c r="DJ69" s="93" t="e">
        <v>#N/A</v>
      </c>
      <c r="DK69" s="93"/>
      <c r="DL69" s="39" t="e">
        <f t="shared" si="63"/>
        <v>#N/A</v>
      </c>
      <c r="DM69" s="93" t="e">
        <v>#N/A</v>
      </c>
      <c r="DN69" s="93" t="e">
        <v>#N/A</v>
      </c>
      <c r="DO69" s="93" t="e">
        <v>#N/A</v>
      </c>
      <c r="DP69" s="93" t="e">
        <v>#N/A</v>
      </c>
    </row>
    <row r="70" spans="1:120" x14ac:dyDescent="0.3">
      <c r="A70" s="90" t="e">
        <f>name!#REF!</f>
        <v>#REF!</v>
      </c>
      <c r="B70" s="39" t="e">
        <f t="shared" si="44"/>
        <v>#N/A</v>
      </c>
      <c r="C70" s="93" t="e">
        <v>#N/A</v>
      </c>
      <c r="D70" s="93" t="e">
        <v>#N/A</v>
      </c>
      <c r="E70" s="93" t="e">
        <v>#N/A</v>
      </c>
      <c r="F70" s="93" t="e">
        <v>#N/A</v>
      </c>
      <c r="H70" s="39" t="e">
        <f t="shared" si="45"/>
        <v>#N/A</v>
      </c>
      <c r="I70" s="93" t="e">
        <v>#N/A</v>
      </c>
      <c r="J70" s="93" t="e">
        <v>#N/A</v>
      </c>
      <c r="K70" s="93" t="e">
        <v>#N/A</v>
      </c>
      <c r="L70" s="93" t="e">
        <v>#N/A</v>
      </c>
      <c r="N70" s="39" t="e">
        <f t="shared" si="46"/>
        <v>#N/A</v>
      </c>
      <c r="O70" s="93" t="e">
        <v>#N/A</v>
      </c>
      <c r="P70" s="93" t="e">
        <v>#N/A</v>
      </c>
      <c r="Q70" s="93" t="e">
        <v>#N/A</v>
      </c>
      <c r="R70" s="93" t="e">
        <v>#N/A</v>
      </c>
      <c r="S70" s="93"/>
      <c r="T70" s="39" t="e">
        <f t="shared" si="47"/>
        <v>#N/A</v>
      </c>
      <c r="U70" s="93" t="e">
        <v>#N/A</v>
      </c>
      <c r="V70" s="93" t="e">
        <v>#N/A</v>
      </c>
      <c r="W70" s="93" t="e">
        <v>#N/A</v>
      </c>
      <c r="X70" s="93" t="e">
        <v>#N/A</v>
      </c>
      <c r="Y70" s="90" t="e">
        <f t="shared" si="64"/>
        <v>#REF!</v>
      </c>
      <c r="Z70" s="39" t="e">
        <f t="shared" si="48"/>
        <v>#N/A</v>
      </c>
      <c r="AA70" s="93" t="e">
        <v>#N/A</v>
      </c>
      <c r="AB70" s="93" t="e">
        <v>#N/A</v>
      </c>
      <c r="AC70" s="93" t="e">
        <v>#N/A</v>
      </c>
      <c r="AD70" s="93" t="e">
        <v>#N/A</v>
      </c>
      <c r="AF70" s="39" t="e">
        <f t="shared" si="49"/>
        <v>#N/A</v>
      </c>
      <c r="AG70" s="93" t="e">
        <v>#N/A</v>
      </c>
      <c r="AH70" s="93" t="e">
        <v>#N/A</v>
      </c>
      <c r="AI70" s="93" t="e">
        <v>#N/A</v>
      </c>
      <c r="AJ70" s="93" t="e">
        <v>#N/A</v>
      </c>
      <c r="AL70" s="39" t="e">
        <f t="shared" si="50"/>
        <v>#N/A</v>
      </c>
      <c r="AM70" s="93" t="e">
        <v>#N/A</v>
      </c>
      <c r="AN70" s="93" t="e">
        <v>#N/A</v>
      </c>
      <c r="AO70" s="93" t="e">
        <v>#N/A</v>
      </c>
      <c r="AP70" s="93" t="e">
        <v>#N/A</v>
      </c>
      <c r="AQ70" s="93"/>
      <c r="AR70" s="39" t="e">
        <f t="shared" si="51"/>
        <v>#N/A</v>
      </c>
      <c r="AS70" s="93" t="e">
        <v>#N/A</v>
      </c>
      <c r="AT70" s="93" t="e">
        <v>#N/A</v>
      </c>
      <c r="AU70" s="93" t="e">
        <v>#N/A</v>
      </c>
      <c r="AV70" s="93" t="e">
        <v>#N/A</v>
      </c>
      <c r="AW70" s="90" t="e">
        <f t="shared" si="65"/>
        <v>#REF!</v>
      </c>
      <c r="AX70" s="39" t="e">
        <f t="shared" si="52"/>
        <v>#N/A</v>
      </c>
      <c r="AY70" s="93" t="e">
        <v>#N/A</v>
      </c>
      <c r="AZ70" s="93" t="e">
        <v>#N/A</v>
      </c>
      <c r="BA70" s="93" t="e">
        <v>#N/A</v>
      </c>
      <c r="BB70" s="93" t="e">
        <v>#N/A</v>
      </c>
      <c r="BD70" s="39" t="e">
        <f t="shared" si="53"/>
        <v>#N/A</v>
      </c>
      <c r="BE70" s="93" t="e">
        <v>#N/A</v>
      </c>
      <c r="BF70" s="93" t="e">
        <v>#N/A</v>
      </c>
      <c r="BG70" s="93" t="e">
        <v>#N/A</v>
      </c>
      <c r="BH70" s="93" t="e">
        <v>#N/A</v>
      </c>
      <c r="BJ70" s="39" t="e">
        <f t="shared" si="54"/>
        <v>#N/A</v>
      </c>
      <c r="BK70" s="93" t="e">
        <v>#N/A</v>
      </c>
      <c r="BL70" s="93" t="e">
        <v>#N/A</v>
      </c>
      <c r="BM70" s="93" t="e">
        <v>#N/A</v>
      </c>
      <c r="BN70" s="93" t="e">
        <v>#N/A</v>
      </c>
      <c r="BO70" s="93"/>
      <c r="BP70" s="39" t="e">
        <f t="shared" si="55"/>
        <v>#N/A</v>
      </c>
      <c r="BQ70" s="93" t="e">
        <v>#N/A</v>
      </c>
      <c r="BR70" s="93" t="e">
        <v>#N/A</v>
      </c>
      <c r="BS70" s="93" t="e">
        <v>#N/A</v>
      </c>
      <c r="BT70" s="93" t="e">
        <v>#N/A</v>
      </c>
      <c r="BU70" s="90" t="e">
        <f t="shared" si="66"/>
        <v>#REF!</v>
      </c>
      <c r="BV70" s="39" t="e">
        <f t="shared" si="56"/>
        <v>#N/A</v>
      </c>
      <c r="BW70" s="93" t="e">
        <v>#N/A</v>
      </c>
      <c r="BX70" s="93" t="e">
        <v>#N/A</v>
      </c>
      <c r="BY70" s="93" t="e">
        <v>#N/A</v>
      </c>
      <c r="BZ70" s="93" t="e">
        <v>#N/A</v>
      </c>
      <c r="CB70" s="39" t="e">
        <f t="shared" si="57"/>
        <v>#N/A</v>
      </c>
      <c r="CC70" s="93" t="e">
        <v>#N/A</v>
      </c>
      <c r="CD70" s="93" t="e">
        <v>#N/A</v>
      </c>
      <c r="CE70" s="93" t="e">
        <v>#N/A</v>
      </c>
      <c r="CF70" s="93" t="e">
        <v>#N/A</v>
      </c>
      <c r="CH70" s="39" t="e">
        <f t="shared" si="58"/>
        <v>#N/A</v>
      </c>
      <c r="CI70" s="93" t="e">
        <v>#N/A</v>
      </c>
      <c r="CJ70" s="93" t="e">
        <v>#N/A</v>
      </c>
      <c r="CK70" s="93" t="e">
        <v>#N/A</v>
      </c>
      <c r="CL70" s="93" t="e">
        <v>#N/A</v>
      </c>
      <c r="CM70" s="93"/>
      <c r="CN70" s="39" t="e">
        <f t="shared" si="59"/>
        <v>#N/A</v>
      </c>
      <c r="CO70" s="93" t="e">
        <v>#N/A</v>
      </c>
      <c r="CP70" s="93" t="e">
        <v>#N/A</v>
      </c>
      <c r="CQ70" s="93" t="e">
        <v>#N/A</v>
      </c>
      <c r="CR70" s="93" t="e">
        <v>#N/A</v>
      </c>
      <c r="CS70" s="90" t="e">
        <f t="shared" si="67"/>
        <v>#REF!</v>
      </c>
      <c r="CT70" s="39" t="e">
        <f t="shared" si="60"/>
        <v>#N/A</v>
      </c>
      <c r="CU70" s="93" t="e">
        <v>#N/A</v>
      </c>
      <c r="CV70" s="93" t="e">
        <v>#N/A</v>
      </c>
      <c r="CW70" s="93" t="e">
        <v>#N/A</v>
      </c>
      <c r="CX70" s="93" t="e">
        <v>#N/A</v>
      </c>
      <c r="CZ70" s="39" t="e">
        <f t="shared" si="61"/>
        <v>#N/A</v>
      </c>
      <c r="DA70" s="93" t="e">
        <v>#N/A</v>
      </c>
      <c r="DB70" s="93" t="e">
        <v>#N/A</v>
      </c>
      <c r="DC70" s="93" t="e">
        <v>#N/A</v>
      </c>
      <c r="DD70" s="93" t="e">
        <v>#N/A</v>
      </c>
      <c r="DF70" s="39" t="e">
        <f t="shared" si="62"/>
        <v>#N/A</v>
      </c>
      <c r="DG70" s="93" t="e">
        <v>#N/A</v>
      </c>
      <c r="DH70" s="93" t="e">
        <v>#N/A</v>
      </c>
      <c r="DI70" s="93" t="e">
        <v>#N/A</v>
      </c>
      <c r="DJ70" s="93" t="e">
        <v>#N/A</v>
      </c>
      <c r="DK70" s="93"/>
      <c r="DL70" s="39" t="e">
        <f t="shared" si="63"/>
        <v>#N/A</v>
      </c>
      <c r="DM70" s="93" t="e">
        <v>#N/A</v>
      </c>
      <c r="DN70" s="93" t="e">
        <v>#N/A</v>
      </c>
      <c r="DO70" s="93" t="e">
        <v>#N/A</v>
      </c>
      <c r="DP70" s="93" t="e">
        <v>#N/A</v>
      </c>
    </row>
    <row r="71" spans="1:120" x14ac:dyDescent="0.3">
      <c r="A71" s="90" t="e">
        <f>name!#REF!</f>
        <v>#REF!</v>
      </c>
      <c r="B71" s="39" t="e">
        <f t="shared" si="44"/>
        <v>#N/A</v>
      </c>
      <c r="C71" s="93" t="e">
        <v>#N/A</v>
      </c>
      <c r="D71" s="93" t="e">
        <v>#N/A</v>
      </c>
      <c r="E71" s="93" t="e">
        <v>#N/A</v>
      </c>
      <c r="F71" s="93" t="e">
        <v>#N/A</v>
      </c>
      <c r="H71" s="39" t="e">
        <f t="shared" si="45"/>
        <v>#N/A</v>
      </c>
      <c r="I71" s="93" t="e">
        <v>#N/A</v>
      </c>
      <c r="J71" s="93" t="e">
        <v>#N/A</v>
      </c>
      <c r="K71" s="93" t="e">
        <v>#N/A</v>
      </c>
      <c r="L71" s="93" t="e">
        <v>#N/A</v>
      </c>
      <c r="N71" s="39" t="e">
        <f t="shared" si="46"/>
        <v>#N/A</v>
      </c>
      <c r="O71" s="93" t="e">
        <v>#N/A</v>
      </c>
      <c r="P71" s="93" t="e">
        <v>#N/A</v>
      </c>
      <c r="Q71" s="93" t="e">
        <v>#N/A</v>
      </c>
      <c r="R71" s="93" t="e">
        <v>#N/A</v>
      </c>
      <c r="S71" s="93"/>
      <c r="T71" s="39" t="e">
        <f t="shared" si="47"/>
        <v>#N/A</v>
      </c>
      <c r="U71" s="93" t="e">
        <v>#N/A</v>
      </c>
      <c r="V71" s="93" t="e">
        <v>#N/A</v>
      </c>
      <c r="W71" s="93" t="e">
        <v>#N/A</v>
      </c>
      <c r="X71" s="93" t="e">
        <v>#N/A</v>
      </c>
      <c r="Y71" s="90" t="e">
        <f t="shared" si="64"/>
        <v>#REF!</v>
      </c>
      <c r="Z71" s="39" t="e">
        <f t="shared" si="48"/>
        <v>#N/A</v>
      </c>
      <c r="AA71" s="93" t="e">
        <v>#N/A</v>
      </c>
      <c r="AB71" s="93" t="e">
        <v>#N/A</v>
      </c>
      <c r="AC71" s="93" t="e">
        <v>#N/A</v>
      </c>
      <c r="AD71" s="93" t="e">
        <v>#N/A</v>
      </c>
      <c r="AF71" s="39" t="e">
        <f t="shared" si="49"/>
        <v>#N/A</v>
      </c>
      <c r="AG71" s="93" t="e">
        <v>#N/A</v>
      </c>
      <c r="AH71" s="93" t="e">
        <v>#N/A</v>
      </c>
      <c r="AI71" s="93" t="e">
        <v>#N/A</v>
      </c>
      <c r="AJ71" s="93" t="e">
        <v>#N/A</v>
      </c>
      <c r="AL71" s="39" t="e">
        <f t="shared" si="50"/>
        <v>#N/A</v>
      </c>
      <c r="AM71" s="93" t="e">
        <v>#N/A</v>
      </c>
      <c r="AN71" s="93" t="e">
        <v>#N/A</v>
      </c>
      <c r="AO71" s="93" t="e">
        <v>#N/A</v>
      </c>
      <c r="AP71" s="93" t="e">
        <v>#N/A</v>
      </c>
      <c r="AQ71" s="93"/>
      <c r="AR71" s="39" t="e">
        <f t="shared" si="51"/>
        <v>#N/A</v>
      </c>
      <c r="AS71" s="93" t="e">
        <v>#N/A</v>
      </c>
      <c r="AT71" s="93" t="e">
        <v>#N/A</v>
      </c>
      <c r="AU71" s="93" t="e">
        <v>#N/A</v>
      </c>
      <c r="AV71" s="93" t="e">
        <v>#N/A</v>
      </c>
      <c r="AW71" s="90" t="e">
        <f t="shared" si="65"/>
        <v>#REF!</v>
      </c>
      <c r="AX71" s="39" t="e">
        <f t="shared" si="52"/>
        <v>#N/A</v>
      </c>
      <c r="AY71" s="93" t="e">
        <v>#N/A</v>
      </c>
      <c r="AZ71" s="93" t="e">
        <v>#N/A</v>
      </c>
      <c r="BA71" s="93" t="e">
        <v>#N/A</v>
      </c>
      <c r="BB71" s="93" t="e">
        <v>#N/A</v>
      </c>
      <c r="BD71" s="39" t="e">
        <f t="shared" si="53"/>
        <v>#N/A</v>
      </c>
      <c r="BE71" s="93" t="e">
        <v>#N/A</v>
      </c>
      <c r="BF71" s="93" t="e">
        <v>#N/A</v>
      </c>
      <c r="BG71" s="93" t="e">
        <v>#N/A</v>
      </c>
      <c r="BH71" s="93" t="e">
        <v>#N/A</v>
      </c>
      <c r="BJ71" s="39" t="e">
        <f t="shared" si="54"/>
        <v>#N/A</v>
      </c>
      <c r="BK71" s="93" t="e">
        <v>#N/A</v>
      </c>
      <c r="BL71" s="93" t="e">
        <v>#N/A</v>
      </c>
      <c r="BM71" s="93" t="e">
        <v>#N/A</v>
      </c>
      <c r="BN71" s="93" t="e">
        <v>#N/A</v>
      </c>
      <c r="BO71" s="93"/>
      <c r="BP71" s="39" t="e">
        <f t="shared" si="55"/>
        <v>#N/A</v>
      </c>
      <c r="BQ71" s="93" t="e">
        <v>#N/A</v>
      </c>
      <c r="BR71" s="93" t="e">
        <v>#N/A</v>
      </c>
      <c r="BS71" s="93" t="e">
        <v>#N/A</v>
      </c>
      <c r="BT71" s="93" t="e">
        <v>#N/A</v>
      </c>
      <c r="BU71" s="90" t="e">
        <f t="shared" si="66"/>
        <v>#REF!</v>
      </c>
      <c r="BV71" s="39" t="e">
        <f t="shared" si="56"/>
        <v>#N/A</v>
      </c>
      <c r="BW71" s="93" t="e">
        <v>#N/A</v>
      </c>
      <c r="BX71" s="93" t="e">
        <v>#N/A</v>
      </c>
      <c r="BY71" s="93" t="e">
        <v>#N/A</v>
      </c>
      <c r="BZ71" s="93" t="e">
        <v>#N/A</v>
      </c>
      <c r="CB71" s="39" t="e">
        <f t="shared" si="57"/>
        <v>#N/A</v>
      </c>
      <c r="CC71" s="93" t="e">
        <v>#N/A</v>
      </c>
      <c r="CD71" s="93" t="e">
        <v>#N/A</v>
      </c>
      <c r="CE71" s="93" t="e">
        <v>#N/A</v>
      </c>
      <c r="CF71" s="93" t="e">
        <v>#N/A</v>
      </c>
      <c r="CH71" s="39" t="e">
        <f t="shared" si="58"/>
        <v>#N/A</v>
      </c>
      <c r="CI71" s="93" t="e">
        <v>#N/A</v>
      </c>
      <c r="CJ71" s="93" t="e">
        <v>#N/A</v>
      </c>
      <c r="CK71" s="93" t="e">
        <v>#N/A</v>
      </c>
      <c r="CL71" s="93" t="e">
        <v>#N/A</v>
      </c>
      <c r="CM71" s="93"/>
      <c r="CN71" s="39" t="e">
        <f t="shared" si="59"/>
        <v>#N/A</v>
      </c>
      <c r="CO71" s="93" t="e">
        <v>#N/A</v>
      </c>
      <c r="CP71" s="93" t="e">
        <v>#N/A</v>
      </c>
      <c r="CQ71" s="93" t="e">
        <v>#N/A</v>
      </c>
      <c r="CR71" s="93" t="e">
        <v>#N/A</v>
      </c>
      <c r="CS71" s="90" t="e">
        <f t="shared" si="67"/>
        <v>#REF!</v>
      </c>
      <c r="CT71" s="39" t="e">
        <f t="shared" si="60"/>
        <v>#N/A</v>
      </c>
      <c r="CU71" s="93" t="e">
        <v>#N/A</v>
      </c>
      <c r="CV71" s="93" t="e">
        <v>#N/A</v>
      </c>
      <c r="CW71" s="93" t="e">
        <v>#N/A</v>
      </c>
      <c r="CX71" s="93" t="e">
        <v>#N/A</v>
      </c>
      <c r="CZ71" s="39" t="e">
        <f t="shared" si="61"/>
        <v>#N/A</v>
      </c>
      <c r="DA71" s="93" t="e">
        <v>#N/A</v>
      </c>
      <c r="DB71" s="93" t="e">
        <v>#N/A</v>
      </c>
      <c r="DC71" s="93" t="e">
        <v>#N/A</v>
      </c>
      <c r="DD71" s="93" t="e">
        <v>#N/A</v>
      </c>
      <c r="DF71" s="39" t="e">
        <f t="shared" si="62"/>
        <v>#N/A</v>
      </c>
      <c r="DG71" s="93" t="e">
        <v>#N/A</v>
      </c>
      <c r="DH71" s="93" t="e">
        <v>#N/A</v>
      </c>
      <c r="DI71" s="93" t="e">
        <v>#N/A</v>
      </c>
      <c r="DJ71" s="93" t="e">
        <v>#N/A</v>
      </c>
      <c r="DK71" s="93"/>
      <c r="DL71" s="39" t="e">
        <f t="shared" si="63"/>
        <v>#N/A</v>
      </c>
      <c r="DM71" s="93" t="e">
        <v>#N/A</v>
      </c>
      <c r="DN71" s="93" t="e">
        <v>#N/A</v>
      </c>
      <c r="DO71" s="93" t="e">
        <v>#N/A</v>
      </c>
      <c r="DP71" s="93" t="e">
        <v>#N/A</v>
      </c>
    </row>
    <row r="72" spans="1:120" x14ac:dyDescent="0.3">
      <c r="A72" s="90" t="e">
        <f>name!#REF!</f>
        <v>#REF!</v>
      </c>
      <c r="B72" s="39" t="e">
        <f t="shared" si="44"/>
        <v>#N/A</v>
      </c>
      <c r="C72" s="93" t="e">
        <v>#N/A</v>
      </c>
      <c r="D72" s="93" t="e">
        <v>#N/A</v>
      </c>
      <c r="E72" s="93" t="e">
        <v>#N/A</v>
      </c>
      <c r="F72" s="93" t="e">
        <v>#N/A</v>
      </c>
      <c r="H72" s="39" t="e">
        <f t="shared" si="45"/>
        <v>#N/A</v>
      </c>
      <c r="I72" s="93" t="e">
        <v>#N/A</v>
      </c>
      <c r="J72" s="93" t="e">
        <v>#N/A</v>
      </c>
      <c r="K72" s="93" t="e">
        <v>#N/A</v>
      </c>
      <c r="L72" s="93" t="e">
        <v>#N/A</v>
      </c>
      <c r="N72" s="39" t="e">
        <f t="shared" si="46"/>
        <v>#N/A</v>
      </c>
      <c r="O72" s="93" t="e">
        <v>#N/A</v>
      </c>
      <c r="P72" s="93" t="e">
        <v>#N/A</v>
      </c>
      <c r="Q72" s="93" t="e">
        <v>#N/A</v>
      </c>
      <c r="R72" s="93" t="e">
        <v>#N/A</v>
      </c>
      <c r="S72" s="93"/>
      <c r="T72" s="39" t="e">
        <f t="shared" si="47"/>
        <v>#N/A</v>
      </c>
      <c r="U72" s="93" t="e">
        <v>#N/A</v>
      </c>
      <c r="V72" s="93" t="e">
        <v>#N/A</v>
      </c>
      <c r="W72" s="93" t="e">
        <v>#N/A</v>
      </c>
      <c r="X72" s="93" t="e">
        <v>#N/A</v>
      </c>
      <c r="Y72" s="90" t="e">
        <f t="shared" si="64"/>
        <v>#REF!</v>
      </c>
      <c r="Z72" s="39" t="e">
        <f t="shared" si="48"/>
        <v>#N/A</v>
      </c>
      <c r="AA72" s="93" t="e">
        <v>#N/A</v>
      </c>
      <c r="AB72" s="93" t="e">
        <v>#N/A</v>
      </c>
      <c r="AC72" s="93" t="e">
        <v>#N/A</v>
      </c>
      <c r="AD72" s="93" t="e">
        <v>#N/A</v>
      </c>
      <c r="AF72" s="39" t="e">
        <f t="shared" si="49"/>
        <v>#N/A</v>
      </c>
      <c r="AG72" s="93" t="e">
        <v>#N/A</v>
      </c>
      <c r="AH72" s="93" t="e">
        <v>#N/A</v>
      </c>
      <c r="AI72" s="93" t="e">
        <v>#N/A</v>
      </c>
      <c r="AJ72" s="93" t="e">
        <v>#N/A</v>
      </c>
      <c r="AL72" s="39" t="e">
        <f t="shared" si="50"/>
        <v>#N/A</v>
      </c>
      <c r="AM72" s="93" t="e">
        <v>#N/A</v>
      </c>
      <c r="AN72" s="93" t="e">
        <v>#N/A</v>
      </c>
      <c r="AO72" s="93" t="e">
        <v>#N/A</v>
      </c>
      <c r="AP72" s="93" t="e">
        <v>#N/A</v>
      </c>
      <c r="AQ72" s="93"/>
      <c r="AR72" s="39" t="e">
        <f t="shared" si="51"/>
        <v>#N/A</v>
      </c>
      <c r="AS72" s="93" t="e">
        <v>#N/A</v>
      </c>
      <c r="AT72" s="93" t="e">
        <v>#N/A</v>
      </c>
      <c r="AU72" s="93" t="e">
        <v>#N/A</v>
      </c>
      <c r="AV72" s="93" t="e">
        <v>#N/A</v>
      </c>
      <c r="AW72" s="90" t="e">
        <f t="shared" si="65"/>
        <v>#REF!</v>
      </c>
      <c r="AX72" s="39" t="e">
        <f t="shared" si="52"/>
        <v>#N/A</v>
      </c>
      <c r="AY72" s="93" t="e">
        <v>#N/A</v>
      </c>
      <c r="AZ72" s="93" t="e">
        <v>#N/A</v>
      </c>
      <c r="BA72" s="93" t="e">
        <v>#N/A</v>
      </c>
      <c r="BB72" s="93" t="e">
        <v>#N/A</v>
      </c>
      <c r="BD72" s="39" t="e">
        <f t="shared" si="53"/>
        <v>#N/A</v>
      </c>
      <c r="BE72" s="93" t="e">
        <v>#N/A</v>
      </c>
      <c r="BF72" s="93" t="e">
        <v>#N/A</v>
      </c>
      <c r="BG72" s="93" t="e">
        <v>#N/A</v>
      </c>
      <c r="BH72" s="93" t="e">
        <v>#N/A</v>
      </c>
      <c r="BJ72" s="39" t="e">
        <f t="shared" si="54"/>
        <v>#N/A</v>
      </c>
      <c r="BK72" s="93" t="e">
        <v>#N/A</v>
      </c>
      <c r="BL72" s="93" t="e">
        <v>#N/A</v>
      </c>
      <c r="BM72" s="93" t="e">
        <v>#N/A</v>
      </c>
      <c r="BN72" s="93" t="e">
        <v>#N/A</v>
      </c>
      <c r="BO72" s="93"/>
      <c r="BP72" s="39" t="e">
        <f t="shared" si="55"/>
        <v>#N/A</v>
      </c>
      <c r="BQ72" s="93" t="e">
        <v>#N/A</v>
      </c>
      <c r="BR72" s="93" t="e">
        <v>#N/A</v>
      </c>
      <c r="BS72" s="93" t="e">
        <v>#N/A</v>
      </c>
      <c r="BT72" s="93" t="e">
        <v>#N/A</v>
      </c>
      <c r="BU72" s="90" t="e">
        <f t="shared" si="66"/>
        <v>#REF!</v>
      </c>
      <c r="BV72" s="39" t="e">
        <f t="shared" si="56"/>
        <v>#N/A</v>
      </c>
      <c r="BW72" s="93" t="e">
        <v>#N/A</v>
      </c>
      <c r="BX72" s="93" t="e">
        <v>#N/A</v>
      </c>
      <c r="BY72" s="93" t="e">
        <v>#N/A</v>
      </c>
      <c r="BZ72" s="93" t="e">
        <v>#N/A</v>
      </c>
      <c r="CB72" s="39" t="e">
        <f t="shared" si="57"/>
        <v>#N/A</v>
      </c>
      <c r="CC72" s="93" t="e">
        <v>#N/A</v>
      </c>
      <c r="CD72" s="93" t="e">
        <v>#N/A</v>
      </c>
      <c r="CE72" s="93" t="e">
        <v>#N/A</v>
      </c>
      <c r="CF72" s="93" t="e">
        <v>#N/A</v>
      </c>
      <c r="CH72" s="39" t="e">
        <f t="shared" si="58"/>
        <v>#N/A</v>
      </c>
      <c r="CI72" s="93" t="e">
        <v>#N/A</v>
      </c>
      <c r="CJ72" s="93" t="e">
        <v>#N/A</v>
      </c>
      <c r="CK72" s="93" t="e">
        <v>#N/A</v>
      </c>
      <c r="CL72" s="93" t="e">
        <v>#N/A</v>
      </c>
      <c r="CM72" s="93"/>
      <c r="CN72" s="39" t="e">
        <f t="shared" si="59"/>
        <v>#N/A</v>
      </c>
      <c r="CO72" s="93" t="e">
        <v>#N/A</v>
      </c>
      <c r="CP72" s="93" t="e">
        <v>#N/A</v>
      </c>
      <c r="CQ72" s="93" t="e">
        <v>#N/A</v>
      </c>
      <c r="CR72" s="93" t="e">
        <v>#N/A</v>
      </c>
      <c r="CS72" s="90" t="e">
        <f t="shared" si="67"/>
        <v>#REF!</v>
      </c>
      <c r="CT72" s="39" t="e">
        <f t="shared" si="60"/>
        <v>#N/A</v>
      </c>
      <c r="CU72" s="93" t="e">
        <v>#N/A</v>
      </c>
      <c r="CV72" s="93" t="e">
        <v>#N/A</v>
      </c>
      <c r="CW72" s="93" t="e">
        <v>#N/A</v>
      </c>
      <c r="CX72" s="93" t="e">
        <v>#N/A</v>
      </c>
      <c r="CZ72" s="39" t="e">
        <f t="shared" si="61"/>
        <v>#N/A</v>
      </c>
      <c r="DA72" s="93" t="e">
        <v>#N/A</v>
      </c>
      <c r="DB72" s="93" t="e">
        <v>#N/A</v>
      </c>
      <c r="DC72" s="93" t="e">
        <v>#N/A</v>
      </c>
      <c r="DD72" s="93" t="e">
        <v>#N/A</v>
      </c>
      <c r="DF72" s="39" t="e">
        <f t="shared" si="62"/>
        <v>#N/A</v>
      </c>
      <c r="DG72" s="93" t="e">
        <v>#N/A</v>
      </c>
      <c r="DH72" s="93" t="e">
        <v>#N/A</v>
      </c>
      <c r="DI72" s="93" t="e">
        <v>#N/A</v>
      </c>
      <c r="DJ72" s="93" t="e">
        <v>#N/A</v>
      </c>
      <c r="DK72" s="93"/>
      <c r="DL72" s="39" t="e">
        <f t="shared" si="63"/>
        <v>#N/A</v>
      </c>
      <c r="DM72" s="93" t="e">
        <v>#N/A</v>
      </c>
      <c r="DN72" s="93" t="e">
        <v>#N/A</v>
      </c>
      <c r="DO72" s="93" t="e">
        <v>#N/A</v>
      </c>
      <c r="DP72" s="93" t="e">
        <v>#N/A</v>
      </c>
    </row>
    <row r="73" spans="1:120" x14ac:dyDescent="0.3">
      <c r="A73" s="90" t="e">
        <f>name!#REF!</f>
        <v>#REF!</v>
      </c>
      <c r="B73" s="39" t="e">
        <f t="shared" si="44"/>
        <v>#N/A</v>
      </c>
      <c r="C73" s="93" t="e">
        <v>#N/A</v>
      </c>
      <c r="D73" s="93" t="e">
        <v>#N/A</v>
      </c>
      <c r="E73" s="93" t="e">
        <v>#N/A</v>
      </c>
      <c r="F73" s="93" t="e">
        <v>#N/A</v>
      </c>
      <c r="H73" s="39" t="e">
        <f t="shared" si="45"/>
        <v>#N/A</v>
      </c>
      <c r="I73" s="93" t="e">
        <v>#N/A</v>
      </c>
      <c r="J73" s="93" t="e">
        <v>#N/A</v>
      </c>
      <c r="K73" s="93" t="e">
        <v>#N/A</v>
      </c>
      <c r="L73" s="93" t="e">
        <v>#N/A</v>
      </c>
      <c r="N73" s="39" t="e">
        <f t="shared" si="46"/>
        <v>#N/A</v>
      </c>
      <c r="O73" s="93" t="e">
        <v>#N/A</v>
      </c>
      <c r="P73" s="93" t="e">
        <v>#N/A</v>
      </c>
      <c r="Q73" s="93" t="e">
        <v>#N/A</v>
      </c>
      <c r="R73" s="93" t="e">
        <v>#N/A</v>
      </c>
      <c r="S73" s="93"/>
      <c r="T73" s="39" t="e">
        <f t="shared" si="47"/>
        <v>#N/A</v>
      </c>
      <c r="U73" s="93" t="e">
        <v>#N/A</v>
      </c>
      <c r="V73" s="93" t="e">
        <v>#N/A</v>
      </c>
      <c r="W73" s="93" t="e">
        <v>#N/A</v>
      </c>
      <c r="X73" s="93" t="e">
        <v>#N/A</v>
      </c>
      <c r="Y73" s="90" t="e">
        <f t="shared" si="64"/>
        <v>#REF!</v>
      </c>
      <c r="Z73" s="39" t="e">
        <f t="shared" si="48"/>
        <v>#N/A</v>
      </c>
      <c r="AA73" s="93" t="e">
        <v>#N/A</v>
      </c>
      <c r="AB73" s="93" t="e">
        <v>#N/A</v>
      </c>
      <c r="AC73" s="93" t="e">
        <v>#N/A</v>
      </c>
      <c r="AD73" s="93" t="e">
        <v>#N/A</v>
      </c>
      <c r="AF73" s="39" t="e">
        <f t="shared" si="49"/>
        <v>#N/A</v>
      </c>
      <c r="AG73" s="93" t="e">
        <v>#N/A</v>
      </c>
      <c r="AH73" s="93" t="e">
        <v>#N/A</v>
      </c>
      <c r="AI73" s="93" t="e">
        <v>#N/A</v>
      </c>
      <c r="AJ73" s="93" t="e">
        <v>#N/A</v>
      </c>
      <c r="AL73" s="39" t="e">
        <f t="shared" si="50"/>
        <v>#N/A</v>
      </c>
      <c r="AM73" s="93" t="e">
        <v>#N/A</v>
      </c>
      <c r="AN73" s="93" t="e">
        <v>#N/A</v>
      </c>
      <c r="AO73" s="93" t="e">
        <v>#N/A</v>
      </c>
      <c r="AP73" s="93" t="e">
        <v>#N/A</v>
      </c>
      <c r="AQ73" s="93"/>
      <c r="AR73" s="39" t="e">
        <f t="shared" si="51"/>
        <v>#N/A</v>
      </c>
      <c r="AS73" s="93" t="e">
        <v>#N/A</v>
      </c>
      <c r="AT73" s="93" t="e">
        <v>#N/A</v>
      </c>
      <c r="AU73" s="93" t="e">
        <v>#N/A</v>
      </c>
      <c r="AV73" s="93" t="e">
        <v>#N/A</v>
      </c>
      <c r="AW73" s="90" t="e">
        <f t="shared" si="65"/>
        <v>#REF!</v>
      </c>
      <c r="AX73" s="39" t="e">
        <f t="shared" si="52"/>
        <v>#N/A</v>
      </c>
      <c r="AY73" s="93" t="e">
        <v>#N/A</v>
      </c>
      <c r="AZ73" s="93" t="e">
        <v>#N/A</v>
      </c>
      <c r="BA73" s="93" t="e">
        <v>#N/A</v>
      </c>
      <c r="BB73" s="93" t="e">
        <v>#N/A</v>
      </c>
      <c r="BD73" s="39" t="e">
        <f t="shared" si="53"/>
        <v>#N/A</v>
      </c>
      <c r="BE73" s="93" t="e">
        <v>#N/A</v>
      </c>
      <c r="BF73" s="93" t="e">
        <v>#N/A</v>
      </c>
      <c r="BG73" s="93" t="e">
        <v>#N/A</v>
      </c>
      <c r="BH73" s="93" t="e">
        <v>#N/A</v>
      </c>
      <c r="BJ73" s="39" t="e">
        <f t="shared" si="54"/>
        <v>#N/A</v>
      </c>
      <c r="BK73" s="93" t="e">
        <v>#N/A</v>
      </c>
      <c r="BL73" s="93" t="e">
        <v>#N/A</v>
      </c>
      <c r="BM73" s="93" t="e">
        <v>#N/A</v>
      </c>
      <c r="BN73" s="93" t="e">
        <v>#N/A</v>
      </c>
      <c r="BO73" s="93"/>
      <c r="BP73" s="39" t="e">
        <f t="shared" si="55"/>
        <v>#N/A</v>
      </c>
      <c r="BQ73" s="93" t="e">
        <v>#N/A</v>
      </c>
      <c r="BR73" s="93" t="e">
        <v>#N/A</v>
      </c>
      <c r="BS73" s="93" t="e">
        <v>#N/A</v>
      </c>
      <c r="BT73" s="93" t="e">
        <v>#N/A</v>
      </c>
      <c r="BU73" s="90" t="e">
        <f t="shared" si="66"/>
        <v>#REF!</v>
      </c>
      <c r="BV73" s="39" t="e">
        <f t="shared" si="56"/>
        <v>#N/A</v>
      </c>
      <c r="BW73" s="93" t="e">
        <v>#N/A</v>
      </c>
      <c r="BX73" s="93" t="e">
        <v>#N/A</v>
      </c>
      <c r="BY73" s="93" t="e">
        <v>#N/A</v>
      </c>
      <c r="BZ73" s="93" t="e">
        <v>#N/A</v>
      </c>
      <c r="CB73" s="39" t="e">
        <f t="shared" si="57"/>
        <v>#N/A</v>
      </c>
      <c r="CC73" s="93" t="e">
        <v>#N/A</v>
      </c>
      <c r="CD73" s="93" t="e">
        <v>#N/A</v>
      </c>
      <c r="CE73" s="93" t="e">
        <v>#N/A</v>
      </c>
      <c r="CF73" s="93" t="e">
        <v>#N/A</v>
      </c>
      <c r="CH73" s="39" t="e">
        <f t="shared" si="58"/>
        <v>#N/A</v>
      </c>
      <c r="CI73" s="93" t="e">
        <v>#N/A</v>
      </c>
      <c r="CJ73" s="93" t="e">
        <v>#N/A</v>
      </c>
      <c r="CK73" s="93" t="e">
        <v>#N/A</v>
      </c>
      <c r="CL73" s="93" t="e">
        <v>#N/A</v>
      </c>
      <c r="CM73" s="93"/>
      <c r="CN73" s="39" t="e">
        <f t="shared" si="59"/>
        <v>#N/A</v>
      </c>
      <c r="CO73" s="93" t="e">
        <v>#N/A</v>
      </c>
      <c r="CP73" s="93" t="e">
        <v>#N/A</v>
      </c>
      <c r="CQ73" s="93" t="e">
        <v>#N/A</v>
      </c>
      <c r="CR73" s="93" t="e">
        <v>#N/A</v>
      </c>
      <c r="CS73" s="90" t="e">
        <f t="shared" si="67"/>
        <v>#REF!</v>
      </c>
      <c r="CT73" s="39" t="e">
        <f t="shared" si="60"/>
        <v>#N/A</v>
      </c>
      <c r="CU73" s="93" t="e">
        <v>#N/A</v>
      </c>
      <c r="CV73" s="93" t="e">
        <v>#N/A</v>
      </c>
      <c r="CW73" s="93" t="e">
        <v>#N/A</v>
      </c>
      <c r="CX73" s="93" t="e">
        <v>#N/A</v>
      </c>
      <c r="CZ73" s="39" t="e">
        <f t="shared" si="61"/>
        <v>#N/A</v>
      </c>
      <c r="DA73" s="93" t="e">
        <v>#N/A</v>
      </c>
      <c r="DB73" s="93" t="e">
        <v>#N/A</v>
      </c>
      <c r="DC73" s="93" t="e">
        <v>#N/A</v>
      </c>
      <c r="DD73" s="93" t="e">
        <v>#N/A</v>
      </c>
      <c r="DF73" s="39" t="e">
        <f t="shared" si="62"/>
        <v>#N/A</v>
      </c>
      <c r="DG73" s="93" t="e">
        <v>#N/A</v>
      </c>
      <c r="DH73" s="93" t="e">
        <v>#N/A</v>
      </c>
      <c r="DI73" s="93" t="e">
        <v>#N/A</v>
      </c>
      <c r="DJ73" s="93" t="e">
        <v>#N/A</v>
      </c>
      <c r="DK73" s="93"/>
      <c r="DL73" s="39" t="e">
        <f t="shared" si="63"/>
        <v>#N/A</v>
      </c>
      <c r="DM73" s="93" t="e">
        <v>#N/A</v>
      </c>
      <c r="DN73" s="93" t="e">
        <v>#N/A</v>
      </c>
      <c r="DO73" s="93" t="e">
        <v>#N/A</v>
      </c>
      <c r="DP73" s="93" t="e">
        <v>#N/A</v>
      </c>
    </row>
    <row r="74" spans="1:120" x14ac:dyDescent="0.3">
      <c r="A74" s="90" t="e">
        <f>name!#REF!</f>
        <v>#REF!</v>
      </c>
      <c r="B74" s="39" t="e">
        <f t="shared" si="44"/>
        <v>#N/A</v>
      </c>
      <c r="C74" s="93" t="e">
        <v>#N/A</v>
      </c>
      <c r="D74" s="93" t="e">
        <v>#N/A</v>
      </c>
      <c r="E74" s="93" t="e">
        <v>#N/A</v>
      </c>
      <c r="F74" s="93" t="e">
        <v>#N/A</v>
      </c>
      <c r="H74" s="39" t="e">
        <f t="shared" si="45"/>
        <v>#N/A</v>
      </c>
      <c r="I74" s="93" t="e">
        <v>#N/A</v>
      </c>
      <c r="J74" s="93" t="e">
        <v>#N/A</v>
      </c>
      <c r="K74" s="93" t="e">
        <v>#N/A</v>
      </c>
      <c r="L74" s="93" t="e">
        <v>#N/A</v>
      </c>
      <c r="N74" s="39" t="e">
        <f t="shared" si="46"/>
        <v>#N/A</v>
      </c>
      <c r="O74" s="93" t="e">
        <v>#N/A</v>
      </c>
      <c r="P74" s="93" t="e">
        <v>#N/A</v>
      </c>
      <c r="Q74" s="93" t="e">
        <v>#N/A</v>
      </c>
      <c r="R74" s="93" t="e">
        <v>#N/A</v>
      </c>
      <c r="S74" s="93"/>
      <c r="T74" s="39" t="e">
        <f t="shared" si="47"/>
        <v>#N/A</v>
      </c>
      <c r="U74" s="93" t="e">
        <v>#N/A</v>
      </c>
      <c r="V74" s="93" t="e">
        <v>#N/A</v>
      </c>
      <c r="W74" s="93" t="e">
        <v>#N/A</v>
      </c>
      <c r="X74" s="93" t="e">
        <v>#N/A</v>
      </c>
      <c r="Y74" s="90" t="e">
        <f t="shared" si="64"/>
        <v>#REF!</v>
      </c>
      <c r="Z74" s="39" t="e">
        <f t="shared" si="48"/>
        <v>#N/A</v>
      </c>
      <c r="AA74" s="93" t="e">
        <v>#N/A</v>
      </c>
      <c r="AB74" s="93" t="e">
        <v>#N/A</v>
      </c>
      <c r="AC74" s="93" t="e">
        <v>#N/A</v>
      </c>
      <c r="AD74" s="93" t="e">
        <v>#N/A</v>
      </c>
      <c r="AF74" s="39" t="e">
        <f t="shared" si="49"/>
        <v>#N/A</v>
      </c>
      <c r="AG74" s="93" t="e">
        <v>#N/A</v>
      </c>
      <c r="AH74" s="93" t="e">
        <v>#N/A</v>
      </c>
      <c r="AI74" s="93" t="e">
        <v>#N/A</v>
      </c>
      <c r="AJ74" s="93" t="e">
        <v>#N/A</v>
      </c>
      <c r="AL74" s="39" t="e">
        <f t="shared" si="50"/>
        <v>#N/A</v>
      </c>
      <c r="AM74" s="93" t="e">
        <v>#N/A</v>
      </c>
      <c r="AN74" s="93" t="e">
        <v>#N/A</v>
      </c>
      <c r="AO74" s="93" t="e">
        <v>#N/A</v>
      </c>
      <c r="AP74" s="93" t="e">
        <v>#N/A</v>
      </c>
      <c r="AQ74" s="93"/>
      <c r="AR74" s="39" t="e">
        <f t="shared" si="51"/>
        <v>#N/A</v>
      </c>
      <c r="AS74" s="93" t="e">
        <v>#N/A</v>
      </c>
      <c r="AT74" s="93" t="e">
        <v>#N/A</v>
      </c>
      <c r="AU74" s="93" t="e">
        <v>#N/A</v>
      </c>
      <c r="AV74" s="93" t="e">
        <v>#N/A</v>
      </c>
      <c r="AW74" s="90" t="e">
        <f t="shared" si="65"/>
        <v>#REF!</v>
      </c>
      <c r="AX74" s="39" t="e">
        <f t="shared" si="52"/>
        <v>#N/A</v>
      </c>
      <c r="AY74" s="93" t="e">
        <v>#N/A</v>
      </c>
      <c r="AZ74" s="93" t="e">
        <v>#N/A</v>
      </c>
      <c r="BA74" s="93" t="e">
        <v>#N/A</v>
      </c>
      <c r="BB74" s="93" t="e">
        <v>#N/A</v>
      </c>
      <c r="BD74" s="39" t="e">
        <f t="shared" si="53"/>
        <v>#N/A</v>
      </c>
      <c r="BE74" s="93" t="e">
        <v>#N/A</v>
      </c>
      <c r="BF74" s="93" t="e">
        <v>#N/A</v>
      </c>
      <c r="BG74" s="93" t="e">
        <v>#N/A</v>
      </c>
      <c r="BH74" s="93" t="e">
        <v>#N/A</v>
      </c>
      <c r="BJ74" s="39" t="e">
        <f t="shared" si="54"/>
        <v>#N/A</v>
      </c>
      <c r="BK74" s="93" t="e">
        <v>#N/A</v>
      </c>
      <c r="BL74" s="93" t="e">
        <v>#N/A</v>
      </c>
      <c r="BM74" s="93" t="e">
        <v>#N/A</v>
      </c>
      <c r="BN74" s="93" t="e">
        <v>#N/A</v>
      </c>
      <c r="BO74" s="93"/>
      <c r="BP74" s="39" t="e">
        <f t="shared" si="55"/>
        <v>#N/A</v>
      </c>
      <c r="BQ74" s="93" t="e">
        <v>#N/A</v>
      </c>
      <c r="BR74" s="93" t="e">
        <v>#N/A</v>
      </c>
      <c r="BS74" s="93" t="e">
        <v>#N/A</v>
      </c>
      <c r="BT74" s="93" t="e">
        <v>#N/A</v>
      </c>
      <c r="BU74" s="90" t="e">
        <f t="shared" si="66"/>
        <v>#REF!</v>
      </c>
      <c r="BV74" s="39" t="e">
        <f t="shared" si="56"/>
        <v>#N/A</v>
      </c>
      <c r="BW74" s="93" t="e">
        <v>#N/A</v>
      </c>
      <c r="BX74" s="93" t="e">
        <v>#N/A</v>
      </c>
      <c r="BY74" s="93" t="e">
        <v>#N/A</v>
      </c>
      <c r="BZ74" s="93" t="e">
        <v>#N/A</v>
      </c>
      <c r="CB74" s="39" t="e">
        <f t="shared" si="57"/>
        <v>#N/A</v>
      </c>
      <c r="CC74" s="93" t="e">
        <v>#N/A</v>
      </c>
      <c r="CD74" s="93" t="e">
        <v>#N/A</v>
      </c>
      <c r="CE74" s="93" t="e">
        <v>#N/A</v>
      </c>
      <c r="CF74" s="93" t="e">
        <v>#N/A</v>
      </c>
      <c r="CH74" s="39" t="e">
        <f t="shared" si="58"/>
        <v>#N/A</v>
      </c>
      <c r="CI74" s="93" t="e">
        <v>#N/A</v>
      </c>
      <c r="CJ74" s="93" t="e">
        <v>#N/A</v>
      </c>
      <c r="CK74" s="93" t="e">
        <v>#N/A</v>
      </c>
      <c r="CL74" s="93" t="e">
        <v>#N/A</v>
      </c>
      <c r="CM74" s="93"/>
      <c r="CN74" s="39" t="e">
        <f t="shared" si="59"/>
        <v>#N/A</v>
      </c>
      <c r="CO74" s="93" t="e">
        <v>#N/A</v>
      </c>
      <c r="CP74" s="93" t="e">
        <v>#N/A</v>
      </c>
      <c r="CQ74" s="93" t="e">
        <v>#N/A</v>
      </c>
      <c r="CR74" s="93" t="e">
        <v>#N/A</v>
      </c>
      <c r="CS74" s="90" t="e">
        <f t="shared" si="67"/>
        <v>#REF!</v>
      </c>
      <c r="CT74" s="39" t="e">
        <f t="shared" si="60"/>
        <v>#N/A</v>
      </c>
      <c r="CU74" s="93" t="e">
        <v>#N/A</v>
      </c>
      <c r="CV74" s="93" t="e">
        <v>#N/A</v>
      </c>
      <c r="CW74" s="93" t="e">
        <v>#N/A</v>
      </c>
      <c r="CX74" s="93" t="e">
        <v>#N/A</v>
      </c>
      <c r="CZ74" s="39" t="e">
        <f t="shared" si="61"/>
        <v>#N/A</v>
      </c>
      <c r="DA74" s="93" t="e">
        <v>#N/A</v>
      </c>
      <c r="DB74" s="93" t="e">
        <v>#N/A</v>
      </c>
      <c r="DC74" s="93" t="e">
        <v>#N/A</v>
      </c>
      <c r="DD74" s="93" t="e">
        <v>#N/A</v>
      </c>
      <c r="DF74" s="39" t="e">
        <f t="shared" si="62"/>
        <v>#N/A</v>
      </c>
      <c r="DG74" s="93" t="e">
        <v>#N/A</v>
      </c>
      <c r="DH74" s="93" t="e">
        <v>#N/A</v>
      </c>
      <c r="DI74" s="93" t="e">
        <v>#N/A</v>
      </c>
      <c r="DJ74" s="93" t="e">
        <v>#N/A</v>
      </c>
      <c r="DK74" s="93"/>
      <c r="DL74" s="39" t="e">
        <f t="shared" si="63"/>
        <v>#N/A</v>
      </c>
      <c r="DM74" s="93" t="e">
        <v>#N/A</v>
      </c>
      <c r="DN74" s="93" t="e">
        <v>#N/A</v>
      </c>
      <c r="DO74" s="93" t="e">
        <v>#N/A</v>
      </c>
      <c r="DP74" s="93" t="e">
        <v>#N/A</v>
      </c>
    </row>
    <row r="75" spans="1:120" x14ac:dyDescent="0.3">
      <c r="A75" s="90" t="e">
        <f>name!#REF!</f>
        <v>#REF!</v>
      </c>
      <c r="B75" s="39" t="e">
        <f t="shared" si="44"/>
        <v>#N/A</v>
      </c>
      <c r="C75" s="93" t="e">
        <v>#N/A</v>
      </c>
      <c r="D75" s="93" t="e">
        <v>#N/A</v>
      </c>
      <c r="E75" s="93" t="e">
        <v>#N/A</v>
      </c>
      <c r="F75" s="93" t="e">
        <v>#N/A</v>
      </c>
      <c r="H75" s="39" t="e">
        <f t="shared" si="45"/>
        <v>#N/A</v>
      </c>
      <c r="I75" s="93" t="e">
        <v>#N/A</v>
      </c>
      <c r="J75" s="93" t="e">
        <v>#N/A</v>
      </c>
      <c r="K75" s="93" t="e">
        <v>#N/A</v>
      </c>
      <c r="L75" s="93" t="e">
        <v>#N/A</v>
      </c>
      <c r="N75" s="39" t="e">
        <f t="shared" si="46"/>
        <v>#N/A</v>
      </c>
      <c r="O75" s="93" t="e">
        <v>#N/A</v>
      </c>
      <c r="P75" s="93" t="e">
        <v>#N/A</v>
      </c>
      <c r="Q75" s="93" t="e">
        <v>#N/A</v>
      </c>
      <c r="R75" s="93" t="e">
        <v>#N/A</v>
      </c>
      <c r="S75" s="93"/>
      <c r="T75" s="39" t="e">
        <f t="shared" si="47"/>
        <v>#N/A</v>
      </c>
      <c r="U75" s="93" t="e">
        <v>#N/A</v>
      </c>
      <c r="V75" s="93" t="e">
        <v>#N/A</v>
      </c>
      <c r="W75" s="93" t="e">
        <v>#N/A</v>
      </c>
      <c r="X75" s="93" t="e">
        <v>#N/A</v>
      </c>
      <c r="Y75" s="90" t="e">
        <f t="shared" si="64"/>
        <v>#REF!</v>
      </c>
      <c r="Z75" s="39" t="e">
        <f t="shared" si="48"/>
        <v>#N/A</v>
      </c>
      <c r="AA75" s="93" t="e">
        <v>#N/A</v>
      </c>
      <c r="AB75" s="93" t="e">
        <v>#N/A</v>
      </c>
      <c r="AC75" s="93" t="e">
        <v>#N/A</v>
      </c>
      <c r="AD75" s="93" t="e">
        <v>#N/A</v>
      </c>
      <c r="AF75" s="39" t="e">
        <f t="shared" si="49"/>
        <v>#N/A</v>
      </c>
      <c r="AG75" s="93" t="e">
        <v>#N/A</v>
      </c>
      <c r="AH75" s="93" t="e">
        <v>#N/A</v>
      </c>
      <c r="AI75" s="93" t="e">
        <v>#N/A</v>
      </c>
      <c r="AJ75" s="93" t="e">
        <v>#N/A</v>
      </c>
      <c r="AL75" s="39" t="e">
        <f t="shared" si="50"/>
        <v>#N/A</v>
      </c>
      <c r="AM75" s="93" t="e">
        <v>#N/A</v>
      </c>
      <c r="AN75" s="93" t="e">
        <v>#N/A</v>
      </c>
      <c r="AO75" s="93" t="e">
        <v>#N/A</v>
      </c>
      <c r="AP75" s="93" t="e">
        <v>#N/A</v>
      </c>
      <c r="AQ75" s="93"/>
      <c r="AR75" s="39" t="e">
        <f t="shared" si="51"/>
        <v>#N/A</v>
      </c>
      <c r="AS75" s="93" t="e">
        <v>#N/A</v>
      </c>
      <c r="AT75" s="93" t="e">
        <v>#N/A</v>
      </c>
      <c r="AU75" s="93" t="e">
        <v>#N/A</v>
      </c>
      <c r="AV75" s="93" t="e">
        <v>#N/A</v>
      </c>
      <c r="AW75" s="90" t="e">
        <f t="shared" si="65"/>
        <v>#REF!</v>
      </c>
      <c r="AX75" s="39" t="e">
        <f t="shared" si="52"/>
        <v>#N/A</v>
      </c>
      <c r="AY75" s="93" t="e">
        <v>#N/A</v>
      </c>
      <c r="AZ75" s="93" t="e">
        <v>#N/A</v>
      </c>
      <c r="BA75" s="93" t="e">
        <v>#N/A</v>
      </c>
      <c r="BB75" s="93" t="e">
        <v>#N/A</v>
      </c>
      <c r="BD75" s="39" t="e">
        <f t="shared" si="53"/>
        <v>#N/A</v>
      </c>
      <c r="BE75" s="93" t="e">
        <v>#N/A</v>
      </c>
      <c r="BF75" s="93" t="e">
        <v>#N/A</v>
      </c>
      <c r="BG75" s="93" t="e">
        <v>#N/A</v>
      </c>
      <c r="BH75" s="93" t="e">
        <v>#N/A</v>
      </c>
      <c r="BJ75" s="39" t="e">
        <f t="shared" si="54"/>
        <v>#N/A</v>
      </c>
      <c r="BK75" s="93" t="e">
        <v>#N/A</v>
      </c>
      <c r="BL75" s="93" t="e">
        <v>#N/A</v>
      </c>
      <c r="BM75" s="93" t="e">
        <v>#N/A</v>
      </c>
      <c r="BN75" s="93" t="e">
        <v>#N/A</v>
      </c>
      <c r="BO75" s="93"/>
      <c r="BP75" s="39" t="e">
        <f t="shared" si="55"/>
        <v>#N/A</v>
      </c>
      <c r="BQ75" s="93" t="e">
        <v>#N/A</v>
      </c>
      <c r="BR75" s="93" t="e">
        <v>#N/A</v>
      </c>
      <c r="BS75" s="93" t="e">
        <v>#N/A</v>
      </c>
      <c r="BT75" s="93" t="e">
        <v>#N/A</v>
      </c>
      <c r="BU75" s="90" t="e">
        <f t="shared" si="66"/>
        <v>#REF!</v>
      </c>
      <c r="BV75" s="39" t="e">
        <f t="shared" si="56"/>
        <v>#N/A</v>
      </c>
      <c r="BW75" s="93" t="e">
        <v>#N/A</v>
      </c>
      <c r="BX75" s="93" t="e">
        <v>#N/A</v>
      </c>
      <c r="BY75" s="93" t="e">
        <v>#N/A</v>
      </c>
      <c r="BZ75" s="93" t="e">
        <v>#N/A</v>
      </c>
      <c r="CB75" s="39" t="e">
        <f t="shared" si="57"/>
        <v>#N/A</v>
      </c>
      <c r="CC75" s="93" t="e">
        <v>#N/A</v>
      </c>
      <c r="CD75" s="93" t="e">
        <v>#N/A</v>
      </c>
      <c r="CE75" s="93" t="e">
        <v>#N/A</v>
      </c>
      <c r="CF75" s="93" t="e">
        <v>#N/A</v>
      </c>
      <c r="CH75" s="39" t="e">
        <f t="shared" si="58"/>
        <v>#N/A</v>
      </c>
      <c r="CI75" s="93" t="e">
        <v>#N/A</v>
      </c>
      <c r="CJ75" s="93" t="e">
        <v>#N/A</v>
      </c>
      <c r="CK75" s="93" t="e">
        <v>#N/A</v>
      </c>
      <c r="CL75" s="93" t="e">
        <v>#N/A</v>
      </c>
      <c r="CM75" s="93"/>
      <c r="CN75" s="39" t="e">
        <f t="shared" si="59"/>
        <v>#N/A</v>
      </c>
      <c r="CO75" s="93" t="e">
        <v>#N/A</v>
      </c>
      <c r="CP75" s="93" t="e">
        <v>#N/A</v>
      </c>
      <c r="CQ75" s="93" t="e">
        <v>#N/A</v>
      </c>
      <c r="CR75" s="93" t="e">
        <v>#N/A</v>
      </c>
      <c r="CS75" s="90" t="e">
        <f t="shared" si="67"/>
        <v>#REF!</v>
      </c>
      <c r="CT75" s="39" t="e">
        <f t="shared" si="60"/>
        <v>#N/A</v>
      </c>
      <c r="CU75" s="93" t="e">
        <v>#N/A</v>
      </c>
      <c r="CV75" s="93" t="e">
        <v>#N/A</v>
      </c>
      <c r="CW75" s="93" t="e">
        <v>#N/A</v>
      </c>
      <c r="CX75" s="93" t="e">
        <v>#N/A</v>
      </c>
      <c r="CZ75" s="39" t="e">
        <f t="shared" si="61"/>
        <v>#N/A</v>
      </c>
      <c r="DA75" s="93" t="e">
        <v>#N/A</v>
      </c>
      <c r="DB75" s="93" t="e">
        <v>#N/A</v>
      </c>
      <c r="DC75" s="93" t="e">
        <v>#N/A</v>
      </c>
      <c r="DD75" s="93" t="e">
        <v>#N/A</v>
      </c>
      <c r="DF75" s="39" t="e">
        <f t="shared" si="62"/>
        <v>#N/A</v>
      </c>
      <c r="DG75" s="93" t="e">
        <v>#N/A</v>
      </c>
      <c r="DH75" s="93" t="e">
        <v>#N/A</v>
      </c>
      <c r="DI75" s="93" t="e">
        <v>#N/A</v>
      </c>
      <c r="DJ75" s="93" t="e">
        <v>#N/A</v>
      </c>
      <c r="DK75" s="93"/>
      <c r="DL75" s="39" t="e">
        <f t="shared" si="63"/>
        <v>#N/A</v>
      </c>
      <c r="DM75" s="93" t="e">
        <v>#N/A</v>
      </c>
      <c r="DN75" s="93" t="e">
        <v>#N/A</v>
      </c>
      <c r="DO75" s="93" t="e">
        <v>#N/A</v>
      </c>
      <c r="DP75" s="93" t="e">
        <v>#N/A</v>
      </c>
    </row>
    <row r="76" spans="1:120" x14ac:dyDescent="0.3">
      <c r="B76" s="39"/>
      <c r="H76" s="39"/>
      <c r="N76" s="39"/>
      <c r="T76" s="39"/>
      <c r="Z76" s="39"/>
      <c r="AF76" s="39"/>
      <c r="AL76" s="39"/>
      <c r="AR76" s="39"/>
      <c r="AX76" s="39"/>
      <c r="BD76" s="39"/>
      <c r="BJ76" s="39"/>
      <c r="BP76" s="39"/>
      <c r="BV76" s="39"/>
      <c r="CB76" s="39"/>
      <c r="CH76" s="39"/>
      <c r="CN76" s="39"/>
      <c r="CT76" s="39"/>
      <c r="CZ76" s="39"/>
      <c r="DF76" s="39"/>
      <c r="DL76" s="39"/>
    </row>
    <row r="77" spans="1:120" x14ac:dyDescent="0.3">
      <c r="A77" s="91" t="e">
        <f>name!#REF!</f>
        <v>#REF!</v>
      </c>
      <c r="B77" s="42">
        <f t="shared" si="44"/>
        <v>2.7912372459239387</v>
      </c>
      <c r="C77" s="92">
        <f>C50</f>
        <v>4561.2992279926211</v>
      </c>
      <c r="D77" s="92">
        <f>D50</f>
        <v>431.97496524334053</v>
      </c>
      <c r="E77" s="92">
        <f>E50</f>
        <v>1445.5882710202891</v>
      </c>
      <c r="F77" s="92">
        <f>F50</f>
        <v>1877.5632362636297</v>
      </c>
      <c r="G77" s="91"/>
      <c r="H77" s="42">
        <f t="shared" si="45"/>
        <v>2.6517730789267446</v>
      </c>
      <c r="I77" s="92">
        <f>I50</f>
        <v>774.77767553257945</v>
      </c>
      <c r="J77" s="92">
        <f>J50</f>
        <v>-90.9176985646708</v>
      </c>
      <c r="K77" s="92">
        <f>K50</f>
        <v>231.78692033646578</v>
      </c>
      <c r="L77" s="92">
        <f>L50</f>
        <v>140.86922177179497</v>
      </c>
      <c r="M77" s="91"/>
      <c r="N77" s="42">
        <f t="shared" si="46"/>
        <v>2.6893242464146816</v>
      </c>
      <c r="O77" s="92">
        <f>O50</f>
        <v>1810.6123702397726</v>
      </c>
      <c r="P77" s="92">
        <f>P50</f>
        <v>208.84741372398935</v>
      </c>
      <c r="Q77" s="92">
        <f>Q50</f>
        <v>550.29225403969679</v>
      </c>
      <c r="R77" s="92">
        <f>R50</f>
        <v>759.13966776368613</v>
      </c>
      <c r="S77" s="92"/>
      <c r="T77" s="42">
        <f t="shared" si="47"/>
        <v>2.9376202991175049</v>
      </c>
      <c r="U77" s="92">
        <f>U50</f>
        <v>1975.9091822202711</v>
      </c>
      <c r="V77" s="92">
        <f>V50</f>
        <v>314.04525008402186</v>
      </c>
      <c r="W77" s="92">
        <f>W50</f>
        <v>663.50909664412427</v>
      </c>
      <c r="X77" s="92">
        <f>X50</f>
        <v>977.55434672814613</v>
      </c>
      <c r="Y77" s="91" t="e">
        <f>A77</f>
        <v>#REF!</v>
      </c>
      <c r="Z77" s="42">
        <f>IF(AA77&gt;0,((1+(AC77/AA77))^(1/($A$101-$A$100))-1)*100,0)</f>
        <v>2.9771972098236787</v>
      </c>
      <c r="AA77" s="92">
        <f>AA50</f>
        <v>2141.7348734083043</v>
      </c>
      <c r="AB77" s="92">
        <f>AB50</f>
        <v>328.18012130131888</v>
      </c>
      <c r="AC77" s="92">
        <f>AC50</f>
        <v>730.21185757939747</v>
      </c>
      <c r="AD77" s="92">
        <f>AD50</f>
        <v>1058.3919788807164</v>
      </c>
      <c r="AE77" s="91"/>
      <c r="AF77" s="42">
        <f>IF(AG77&gt;0,((1+(AI77/AG77))^(1/($A$101-$A$100))-1)*100,0)</f>
        <v>3.0280155732974823</v>
      </c>
      <c r="AG77" s="92">
        <f>AG50</f>
        <v>114.36183531349347</v>
      </c>
      <c r="AH77" s="92">
        <f>AH50</f>
        <v>10.806009020856356</v>
      </c>
      <c r="AI77" s="92">
        <f>AI50</f>
        <v>39.749458273691218</v>
      </c>
      <c r="AJ77" s="92">
        <f>AJ50</f>
        <v>50.555467294547576</v>
      </c>
      <c r="AK77" s="91"/>
      <c r="AL77" s="42">
        <f>IF(AM77&gt;0,((1+(AO77/AM77))^(1/($A$101-$A$100))-1)*100,0)</f>
        <v>2.9663353480916088</v>
      </c>
      <c r="AM77" s="92">
        <f>AM50</f>
        <v>484.03376220781502</v>
      </c>
      <c r="AN77" s="92">
        <f>AN50</f>
        <v>80.752171418150368</v>
      </c>
      <c r="AO77" s="92">
        <f>AO50</f>
        <v>164.34415782441963</v>
      </c>
      <c r="AP77" s="92">
        <f>AP50</f>
        <v>245.09632924256999</v>
      </c>
      <c r="AQ77" s="92"/>
      <c r="AR77" s="42">
        <f>IF(AS77&gt;0,((1+(AU77/AS77))^(1/($A$101-$A$100))-1)*100,0)</f>
        <v>2.9768281396108875</v>
      </c>
      <c r="AS77" s="92">
        <f>AS50</f>
        <v>1543.3392758869961</v>
      </c>
      <c r="AT77" s="92">
        <f>AT50</f>
        <v>236.62194086231219</v>
      </c>
      <c r="AU77" s="92">
        <f>AU50</f>
        <v>526.11824148128676</v>
      </c>
      <c r="AV77" s="92">
        <f>AV50</f>
        <v>762.74018234359892</v>
      </c>
      <c r="AW77" s="91" t="e">
        <f>Y77</f>
        <v>#REF!</v>
      </c>
      <c r="AX77" s="42">
        <f>IF(AY77&gt;0,((1+(BA77/AY77))^(1/($A$101-$A$100))-1)*100,0)</f>
        <v>2.5960689907792656</v>
      </c>
      <c r="AY77" s="92">
        <f>AY50</f>
        <v>1169.4910110900296</v>
      </c>
      <c r="AZ77" s="92">
        <f>AZ50</f>
        <v>61.012733866251224</v>
      </c>
      <c r="BA77" s="92">
        <f>BA50</f>
        <v>341.64688672572964</v>
      </c>
      <c r="BB77" s="92">
        <f>BB50</f>
        <v>402.65962059198085</v>
      </c>
      <c r="BC77" s="91"/>
      <c r="BD77" s="42">
        <f>IF(BE77&gt;0,((1+(BG77/BE77))^(1/($A$101-$A$100))-1)*100,0)</f>
        <v>2.5108134589674425</v>
      </c>
      <c r="BE77" s="92">
        <f>BE50</f>
        <v>196.77997170605971</v>
      </c>
      <c r="BF77" s="92">
        <f>BF50</f>
        <v>-19.19988351079143</v>
      </c>
      <c r="BG77" s="92">
        <f>BG50</f>
        <v>55.380896948664599</v>
      </c>
      <c r="BH77" s="92">
        <f>BH50</f>
        <v>36.181013437873169</v>
      </c>
      <c r="BI77" s="91"/>
      <c r="BJ77" s="42">
        <f>IF(BK77&gt;0,((1+(BM77/BK77))^(1/($A$101-$A$100))-1)*100,0)</f>
        <v>2.5531077119064882</v>
      </c>
      <c r="BK77" s="92">
        <f>BK50</f>
        <v>650.12175377402275</v>
      </c>
      <c r="BL77" s="92">
        <f>BL50</f>
        <v>42.192712487148434</v>
      </c>
      <c r="BM77" s="92">
        <f>BM50</f>
        <v>186.41100647521165</v>
      </c>
      <c r="BN77" s="92">
        <f>BN50</f>
        <v>228.60371896236009</v>
      </c>
      <c r="BO77" s="92"/>
      <c r="BP77" s="42">
        <f>IF(BQ77&gt;0,((1+(BS77/BQ77))^(1/($A$101-$A$100))-1)*100,0)</f>
        <v>2.7334678665663192</v>
      </c>
      <c r="BQ77" s="92">
        <f>BQ50</f>
        <v>322.58928560994713</v>
      </c>
      <c r="BR77" s="92">
        <f>BR50</f>
        <v>38.019904889894228</v>
      </c>
      <c r="BS77" s="92">
        <f>BS50</f>
        <v>99.854983301853494</v>
      </c>
      <c r="BT77" s="92">
        <f>BT50</f>
        <v>137.87488819174771</v>
      </c>
      <c r="BU77" s="91" t="e">
        <f>AW77</f>
        <v>#REF!</v>
      </c>
      <c r="BV77" s="42">
        <f>IF(BW77&gt;0,((1+(BY77/BW77))^(1/($A$101-$A$100))-1)*100,0)</f>
        <v>2.5889208699682698</v>
      </c>
      <c r="BW77" s="92">
        <f>BW50</f>
        <v>786.26148565798121</v>
      </c>
      <c r="BX77" s="92">
        <f>BX50</f>
        <v>-16.768227409449015</v>
      </c>
      <c r="BY77" s="92">
        <f>BY50</f>
        <v>228.98528730973825</v>
      </c>
      <c r="BZ77" s="92">
        <f>BZ50</f>
        <v>212.21705990028923</v>
      </c>
      <c r="CA77" s="91"/>
      <c r="CB77" s="42">
        <f>IF(CC77&gt;0,((1+(CE77/CC77))^(1/($A$101-$A$100))-1)*100,0)</f>
        <v>2.5278948366694864</v>
      </c>
      <c r="CC77" s="92">
        <f>CC50</f>
        <v>257.91842111045776</v>
      </c>
      <c r="CD77" s="92">
        <f>CD50</f>
        <v>-52.179148361626908</v>
      </c>
      <c r="CE77" s="92">
        <f>CE50</f>
        <v>73.138570554183204</v>
      </c>
      <c r="CF77" s="92">
        <f>CF50</f>
        <v>20.959422192556296</v>
      </c>
      <c r="CG77" s="91"/>
      <c r="CH77" s="42">
        <f>IF(CI77&gt;0,((1+(CK77/CI77))^(1/($A$101-$A$100))-1)*100,0)</f>
        <v>2.5655949055339189</v>
      </c>
      <c r="CI77" s="92">
        <f>CI50</f>
        <v>462.50112579230256</v>
      </c>
      <c r="CJ77" s="92">
        <f>CJ50</f>
        <v>18.263082416840735</v>
      </c>
      <c r="CK77" s="92">
        <f>CK50</f>
        <v>133.33911166207648</v>
      </c>
      <c r="CL77" s="92">
        <f>CL50</f>
        <v>151.60219407891722</v>
      </c>
      <c r="CM77" s="92"/>
      <c r="CN77" s="42">
        <f>IF(CO77&gt;0,((1+(CQ77/CO77))^(1/($A$101-$A$100))-1)*100,0)</f>
        <v>2.9840981402702971</v>
      </c>
      <c r="CO77" s="92">
        <f>CO50</f>
        <v>65.841938755220539</v>
      </c>
      <c r="CP77" s="92">
        <f>CP50</f>
        <v>17.147838535337179</v>
      </c>
      <c r="CQ77" s="92">
        <f>CQ50</f>
        <v>22.507605093478684</v>
      </c>
      <c r="CR77" s="92">
        <f>CR50</f>
        <v>39.65544362881586</v>
      </c>
      <c r="CS77" s="91" t="e">
        <f>BU77</f>
        <v>#REF!</v>
      </c>
      <c r="CT77" s="42">
        <f>IF(CU77&gt;0,((1+(CW77/CU77))^(1/($A$101-$A$100))-1)*100,0)</f>
        <v>2.7533233225370157</v>
      </c>
      <c r="CU77" s="92">
        <f>CU50</f>
        <v>463.81185783630696</v>
      </c>
      <c r="CV77" s="92">
        <f>CV50</f>
        <v>59.550337485219423</v>
      </c>
      <c r="CW77" s="92">
        <f>CW50</f>
        <v>144.74423940542175</v>
      </c>
      <c r="CX77" s="92">
        <f>CX50</f>
        <v>204.29457689064117</v>
      </c>
      <c r="CY77" s="91"/>
      <c r="CZ77" s="42">
        <f>IF(DA77&gt;0,((1+(DC77/DA77))^(1/($A$101-$A$100))-1)*100,0)</f>
        <v>2.7273559755584653</v>
      </c>
      <c r="DA77" s="92">
        <f>DA50</f>
        <v>205.71744740256855</v>
      </c>
      <c r="DB77" s="92">
        <f>DB50</f>
        <v>-30.344675713108767</v>
      </c>
      <c r="DC77" s="92">
        <f>DC50</f>
        <v>63.517994559926827</v>
      </c>
      <c r="DD77" s="92">
        <f>DD50</f>
        <v>33.173318846818063</v>
      </c>
      <c r="DE77" s="91"/>
      <c r="DF77" s="42">
        <f>IF(DG77&gt;0,((1+(DI77/DG77))^(1/($A$101-$A$100))-1)*100,0)</f>
        <v>2.7323553670193235</v>
      </c>
      <c r="DG77" s="92">
        <f>DG50</f>
        <v>213.95572846563186</v>
      </c>
      <c r="DH77" s="92">
        <f>DH50</f>
        <v>67.639447401849822</v>
      </c>
      <c r="DI77" s="92">
        <f>DI50</f>
        <v>66.197978077989319</v>
      </c>
      <c r="DJ77" s="92">
        <f>DJ50</f>
        <v>133.83742547983914</v>
      </c>
      <c r="DK77" s="92"/>
      <c r="DL77" s="42">
        <f>IF(DM77&gt;0,((1+(DO77/DM77))^(1/($A$101-$A$100))-1)*100,0)</f>
        <v>2.9736201868302725</v>
      </c>
      <c r="DM77" s="92">
        <f>DM50</f>
        <v>44.13868196810671</v>
      </c>
      <c r="DN77" s="92">
        <f>DN50</f>
        <v>22.25556579647839</v>
      </c>
      <c r="DO77" s="92">
        <f>DO50</f>
        <v>15.028266767505601</v>
      </c>
      <c r="DP77" s="92">
        <f>DP50</f>
        <v>37.283832563983992</v>
      </c>
    </row>
    <row r="79" spans="1:120" x14ac:dyDescent="0.3">
      <c r="A79" s="90" t="str">
        <f ca="1">CELL("filename")</f>
        <v>https://educationgovuk.sharepoint.com/sites/UnitforFutureSkills/Shared Documents/Analytical Projects/Analysis/Ad hoc/Economics Surgery/[a01may2024 (1).xlsm]Sheet1</v>
      </c>
      <c r="Y79" s="90" t="str">
        <f ca="1">CELL("filename")</f>
        <v>https://educationgovuk.sharepoint.com/sites/UnitforFutureSkills/Shared Documents/Analytical Projects/Analysis/Ad hoc/Economics Surgery/[a01may2024 (1).xlsm]Sheet1</v>
      </c>
      <c r="AW79" s="90" t="str">
        <f ca="1">CELL("filename")</f>
        <v>https://educationgovuk.sharepoint.com/sites/UnitforFutureSkills/Shared Documents/Analytical Projects/Analysis/Ad hoc/Economics Surgery/[a01may2024 (1).xlsm]Sheet1</v>
      </c>
      <c r="BU79" s="90" t="str">
        <f ca="1">CELL("filename")</f>
        <v>https://educationgovuk.sharepoint.com/sites/UnitforFutureSkills/Shared Documents/Analytical Projects/Analysis/Ad hoc/Economics Surgery/[a01may2024 (1).xlsm]Sheet1</v>
      </c>
      <c r="CS79" s="90" t="str">
        <f ca="1">CELL("filename")</f>
        <v>https://educationgovuk.sharepoint.com/sites/UnitforFutureSkills/Shared Documents/Analytical Projects/Analysis/Ad hoc/Economics Surgery/[a01may2024 (1).xlsm]Sheet1</v>
      </c>
    </row>
    <row r="80" spans="1:120" ht="15.45" x14ac:dyDescent="0.4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3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115" t="str">
        <f>$X$3</f>
        <v>thousands</v>
      </c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115" t="str">
        <f>$X$3</f>
        <v>thousands</v>
      </c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115" t="str">
        <f>$X$3</f>
        <v>thousands</v>
      </c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115" t="str">
        <f>$X$3</f>
        <v>thousands</v>
      </c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115" t="str">
        <f>$X$3</f>
        <v>thousands</v>
      </c>
    </row>
    <row r="83" spans="1:120" x14ac:dyDescent="0.3">
      <c r="B83" s="383" t="str">
        <f>B4</f>
        <v>All qualifications</v>
      </c>
      <c r="C83" s="383"/>
      <c r="D83" s="383"/>
      <c r="E83" s="383"/>
      <c r="F83" s="383"/>
      <c r="G83" s="113"/>
      <c r="H83" s="383" t="str">
        <f>H4</f>
        <v>RQF8 Doctorate</v>
      </c>
      <c r="I83" s="383"/>
      <c r="J83" s="383"/>
      <c r="K83" s="383"/>
      <c r="L83" s="383"/>
      <c r="M83" s="113"/>
      <c r="N83" s="382" t="str">
        <f>N4</f>
        <v>RQF7 Other higher degree</v>
      </c>
      <c r="O83" s="382"/>
      <c r="P83" s="382"/>
      <c r="Q83" s="382"/>
      <c r="R83" s="382"/>
      <c r="S83" s="110"/>
      <c r="T83" s="382" t="str">
        <f>T4</f>
        <v>RQF6 First degree</v>
      </c>
      <c r="U83" s="382"/>
      <c r="V83" s="382"/>
      <c r="W83" s="382"/>
      <c r="X83" s="382"/>
      <c r="Z83" s="383" t="str">
        <f>Z4</f>
        <v>All qualifications</v>
      </c>
      <c r="AA83" s="383"/>
      <c r="AB83" s="383"/>
      <c r="AC83" s="383"/>
      <c r="AD83" s="383"/>
      <c r="AE83" s="113"/>
      <c r="AF83" s="383" t="str">
        <f>AF4</f>
        <v>RQF8 Doctorate</v>
      </c>
      <c r="AG83" s="383"/>
      <c r="AH83" s="383"/>
      <c r="AI83" s="383"/>
      <c r="AJ83" s="383"/>
      <c r="AK83" s="113"/>
      <c r="AL83" s="382" t="str">
        <f>AL4</f>
        <v>RQF7 Other higher degree</v>
      </c>
      <c r="AM83" s="382"/>
      <c r="AN83" s="382"/>
      <c r="AO83" s="382"/>
      <c r="AP83" s="382"/>
      <c r="AQ83" s="110"/>
      <c r="AR83" s="382" t="str">
        <f>AR4</f>
        <v>RQF6 First degree</v>
      </c>
      <c r="AS83" s="382"/>
      <c r="AT83" s="382"/>
      <c r="AU83" s="382"/>
      <c r="AV83" s="382"/>
      <c r="AX83" s="383" t="str">
        <f>AX4</f>
        <v>All qualifications</v>
      </c>
      <c r="AY83" s="383"/>
      <c r="AZ83" s="383"/>
      <c r="BA83" s="383"/>
      <c r="BB83" s="383"/>
      <c r="BC83" s="113"/>
      <c r="BD83" s="383" t="str">
        <f>BD4</f>
        <v>RQF8 Doctorate</v>
      </c>
      <c r="BE83" s="383"/>
      <c r="BF83" s="383"/>
      <c r="BG83" s="383"/>
      <c r="BH83" s="383"/>
      <c r="BI83" s="113"/>
      <c r="BJ83" s="382" t="str">
        <f>BJ4</f>
        <v>RQF7 Other higher degree</v>
      </c>
      <c r="BK83" s="382"/>
      <c r="BL83" s="382"/>
      <c r="BM83" s="382"/>
      <c r="BN83" s="382"/>
      <c r="BO83" s="110"/>
      <c r="BP83" s="382" t="str">
        <f>BP4</f>
        <v>RQF6 First degree</v>
      </c>
      <c r="BQ83" s="382"/>
      <c r="BR83" s="382"/>
      <c r="BS83" s="382"/>
      <c r="BT83" s="382"/>
      <c r="BV83" s="383" t="str">
        <f>BV4</f>
        <v>All qualifications</v>
      </c>
      <c r="BW83" s="383"/>
      <c r="BX83" s="383"/>
      <c r="BY83" s="383"/>
      <c r="BZ83" s="383"/>
      <c r="CA83" s="113"/>
      <c r="CB83" s="383" t="str">
        <f>CB4</f>
        <v>RQF8 Doctorate</v>
      </c>
      <c r="CC83" s="383"/>
      <c r="CD83" s="383"/>
      <c r="CE83" s="383"/>
      <c r="CF83" s="383"/>
      <c r="CG83" s="113"/>
      <c r="CH83" s="382" t="str">
        <f>CH4</f>
        <v>RQF7 Other higher degree</v>
      </c>
      <c r="CI83" s="382"/>
      <c r="CJ83" s="382"/>
      <c r="CK83" s="382"/>
      <c r="CL83" s="382"/>
      <c r="CM83" s="110"/>
      <c r="CN83" s="382" t="str">
        <f>CN4</f>
        <v>RQF6 First degree</v>
      </c>
      <c r="CO83" s="382"/>
      <c r="CP83" s="382"/>
      <c r="CQ83" s="382"/>
      <c r="CR83" s="382"/>
      <c r="CT83" s="383" t="str">
        <f>CT4</f>
        <v>All qualifications</v>
      </c>
      <c r="CU83" s="383"/>
      <c r="CV83" s="383"/>
      <c r="CW83" s="383"/>
      <c r="CX83" s="383"/>
      <c r="CY83" s="113"/>
      <c r="CZ83" s="383" t="str">
        <f>CZ4</f>
        <v>RQF8 Doctorate</v>
      </c>
      <c r="DA83" s="383"/>
      <c r="DB83" s="383"/>
      <c r="DC83" s="383"/>
      <c r="DD83" s="383"/>
      <c r="DE83" s="113"/>
      <c r="DF83" s="382" t="str">
        <f>DF4</f>
        <v>RQF7 Other higher degree</v>
      </c>
      <c r="DG83" s="382"/>
      <c r="DH83" s="382"/>
      <c r="DI83" s="382"/>
      <c r="DJ83" s="382"/>
      <c r="DK83" s="110"/>
      <c r="DL83" s="382" t="str">
        <f>DL4</f>
        <v>RQF6 First degree</v>
      </c>
      <c r="DM83" s="382"/>
      <c r="DN83" s="382"/>
      <c r="DO83" s="382"/>
      <c r="DP83" s="382"/>
    </row>
    <row r="85" spans="1:120" ht="37.299999999999997" x14ac:dyDescent="0.3">
      <c r="A85" s="112"/>
      <c r="B85" s="109" t="str">
        <f>B6</f>
        <v>RD p.a%</v>
      </c>
      <c r="C85" s="109" t="str">
        <f>C6</f>
        <v>2015 Level</v>
      </c>
      <c r="D85" s="109" t="str">
        <f>D6</f>
        <v>Net Change</v>
      </c>
      <c r="E85" s="109" t="str">
        <f>E6</f>
        <v>Replace-ment Demand</v>
      </c>
      <c r="F85" s="109" t="str">
        <f>F6</f>
        <v>Total Require-ment</v>
      </c>
      <c r="G85" s="108"/>
      <c r="H85" s="104" t="str">
        <f>B85</f>
        <v>RD p.a%</v>
      </c>
      <c r="I85" s="104" t="str">
        <f>C85</f>
        <v>2015 Level</v>
      </c>
      <c r="J85" s="104" t="str">
        <f>D85</f>
        <v>Net Change</v>
      </c>
      <c r="K85" s="104" t="str">
        <f>E85</f>
        <v>Replace-ment Demand</v>
      </c>
      <c r="L85" s="104" t="str">
        <f>F85</f>
        <v>Total Require-ment</v>
      </c>
      <c r="M85" s="103"/>
      <c r="N85" s="105" t="str">
        <f>H85</f>
        <v>RD p.a%</v>
      </c>
      <c r="O85" s="105" t="str">
        <f>I85</f>
        <v>2015 Level</v>
      </c>
      <c r="P85" s="105" t="str">
        <f>J85</f>
        <v>Net Change</v>
      </c>
      <c r="Q85" s="105" t="str">
        <f>K85</f>
        <v>Replace-ment Demand</v>
      </c>
      <c r="R85" s="105" t="str">
        <f>L85</f>
        <v>Total Require-ment</v>
      </c>
      <c r="S85" s="103"/>
      <c r="T85" s="105" t="str">
        <f>N85</f>
        <v>RD p.a%</v>
      </c>
      <c r="U85" s="105" t="str">
        <f>O85</f>
        <v>2015 Level</v>
      </c>
      <c r="V85" s="105" t="str">
        <f>P85</f>
        <v>Net Change</v>
      </c>
      <c r="W85" s="105" t="str">
        <f>Q85</f>
        <v>Replace-ment Demand</v>
      </c>
      <c r="X85" s="105" t="str">
        <f>R85</f>
        <v>Total Require-ment</v>
      </c>
      <c r="Y85" s="112"/>
      <c r="Z85" s="109" t="str">
        <f>Z6</f>
        <v>RD p.a%</v>
      </c>
      <c r="AA85" s="109" t="str">
        <f>AA6</f>
        <v>2015 Level</v>
      </c>
      <c r="AB85" s="109" t="str">
        <f>AB6</f>
        <v>Net Change</v>
      </c>
      <c r="AC85" s="109" t="str">
        <f>AC6</f>
        <v>Replace-ment Demand</v>
      </c>
      <c r="AD85" s="109" t="str">
        <f>AD6</f>
        <v>Total Require-ment</v>
      </c>
      <c r="AE85" s="108"/>
      <c r="AF85" s="104" t="str">
        <f>Z85</f>
        <v>RD p.a%</v>
      </c>
      <c r="AG85" s="104" t="str">
        <f>AA85</f>
        <v>2015 Level</v>
      </c>
      <c r="AH85" s="104" t="str">
        <f>AB85</f>
        <v>Net Change</v>
      </c>
      <c r="AI85" s="104" t="str">
        <f>AC85</f>
        <v>Replace-ment Demand</v>
      </c>
      <c r="AJ85" s="104" t="str">
        <f>AD85</f>
        <v>Total Require-ment</v>
      </c>
      <c r="AK85" s="103"/>
      <c r="AL85" s="105" t="str">
        <f>AF85</f>
        <v>RD p.a%</v>
      </c>
      <c r="AM85" s="105" t="str">
        <f>AG85</f>
        <v>2015 Level</v>
      </c>
      <c r="AN85" s="105" t="str">
        <f>AH85</f>
        <v>Net Change</v>
      </c>
      <c r="AO85" s="105" t="str">
        <f>AI85</f>
        <v>Replace-ment Demand</v>
      </c>
      <c r="AP85" s="105" t="str">
        <f>AJ85</f>
        <v>Total Require-ment</v>
      </c>
      <c r="AQ85" s="103"/>
      <c r="AR85" s="105" t="str">
        <f>AL85</f>
        <v>RD p.a%</v>
      </c>
      <c r="AS85" s="105" t="str">
        <f>AM85</f>
        <v>2015 Level</v>
      </c>
      <c r="AT85" s="105" t="str">
        <f>AN85</f>
        <v>Net Change</v>
      </c>
      <c r="AU85" s="105" t="str">
        <f>AO85</f>
        <v>Replace-ment Demand</v>
      </c>
      <c r="AV85" s="105" t="str">
        <f>AP85</f>
        <v>Total Require-ment</v>
      </c>
      <c r="AW85" s="112"/>
      <c r="AX85" s="109" t="str">
        <f>AX6</f>
        <v>RD p.a%</v>
      </c>
      <c r="AY85" s="109" t="str">
        <f>AY6</f>
        <v>2015 Level</v>
      </c>
      <c r="AZ85" s="109" t="str">
        <f>AZ6</f>
        <v>Net Change</v>
      </c>
      <c r="BA85" s="109" t="str">
        <f>BA6</f>
        <v>Replace-ment Demand</v>
      </c>
      <c r="BB85" s="109" t="str">
        <f>BB6</f>
        <v>Total Require-ment</v>
      </c>
      <c r="BC85" s="108"/>
      <c r="BD85" s="104" t="str">
        <f>AX85</f>
        <v>RD p.a%</v>
      </c>
      <c r="BE85" s="104" t="str">
        <f>AY85</f>
        <v>2015 Level</v>
      </c>
      <c r="BF85" s="104" t="str">
        <f>AZ85</f>
        <v>Net Change</v>
      </c>
      <c r="BG85" s="104" t="str">
        <f>BA85</f>
        <v>Replace-ment Demand</v>
      </c>
      <c r="BH85" s="104" t="str">
        <f>BB85</f>
        <v>Total Require-ment</v>
      </c>
      <c r="BI85" s="103"/>
      <c r="BJ85" s="105" t="str">
        <f>BD85</f>
        <v>RD p.a%</v>
      </c>
      <c r="BK85" s="105" t="str">
        <f>BE85</f>
        <v>2015 Level</v>
      </c>
      <c r="BL85" s="105" t="str">
        <f>BF85</f>
        <v>Net Change</v>
      </c>
      <c r="BM85" s="105" t="str">
        <f>BG85</f>
        <v>Replace-ment Demand</v>
      </c>
      <c r="BN85" s="105" t="str">
        <f>BH85</f>
        <v>Total Require-ment</v>
      </c>
      <c r="BO85" s="103"/>
      <c r="BP85" s="105" t="str">
        <f>BJ85</f>
        <v>RD p.a%</v>
      </c>
      <c r="BQ85" s="105" t="str">
        <f>BK85</f>
        <v>2015 Level</v>
      </c>
      <c r="BR85" s="105" t="str">
        <f>BL85</f>
        <v>Net Change</v>
      </c>
      <c r="BS85" s="105" t="str">
        <f>BM85</f>
        <v>Replace-ment Demand</v>
      </c>
      <c r="BT85" s="105" t="str">
        <f>BN85</f>
        <v>Total Require-ment</v>
      </c>
      <c r="BU85" s="112"/>
      <c r="BV85" s="109" t="str">
        <f>BV6</f>
        <v>RD p.a%</v>
      </c>
      <c r="BW85" s="109" t="str">
        <f>BW6</f>
        <v>2015 Level</v>
      </c>
      <c r="BX85" s="109" t="str">
        <f>BX6</f>
        <v>Net Change</v>
      </c>
      <c r="BY85" s="109" t="str">
        <f>BY6</f>
        <v>Replace-ment Demand</v>
      </c>
      <c r="BZ85" s="109" t="str">
        <f>BZ6</f>
        <v>Total Require-ment</v>
      </c>
      <c r="CA85" s="108"/>
      <c r="CB85" s="104" t="str">
        <f>BV85</f>
        <v>RD p.a%</v>
      </c>
      <c r="CC85" s="104" t="str">
        <f>BW85</f>
        <v>2015 Level</v>
      </c>
      <c r="CD85" s="104" t="str">
        <f>BX85</f>
        <v>Net Change</v>
      </c>
      <c r="CE85" s="104" t="str">
        <f>BY85</f>
        <v>Replace-ment Demand</v>
      </c>
      <c r="CF85" s="104" t="str">
        <f>BZ85</f>
        <v>Total Require-ment</v>
      </c>
      <c r="CG85" s="103"/>
      <c r="CH85" s="105" t="str">
        <f>CB85</f>
        <v>RD p.a%</v>
      </c>
      <c r="CI85" s="105" t="str">
        <f>CC85</f>
        <v>2015 Level</v>
      </c>
      <c r="CJ85" s="105" t="str">
        <f>CD85</f>
        <v>Net Change</v>
      </c>
      <c r="CK85" s="105" t="str">
        <f>CE85</f>
        <v>Replace-ment Demand</v>
      </c>
      <c r="CL85" s="105" t="str">
        <f>CF85</f>
        <v>Total Require-ment</v>
      </c>
      <c r="CM85" s="103"/>
      <c r="CN85" s="105" t="str">
        <f>CH85</f>
        <v>RD p.a%</v>
      </c>
      <c r="CO85" s="105" t="str">
        <f>CI85</f>
        <v>2015 Level</v>
      </c>
      <c r="CP85" s="105" t="str">
        <f>CJ85</f>
        <v>Net Change</v>
      </c>
      <c r="CQ85" s="105" t="str">
        <f>CK85</f>
        <v>Replace-ment Demand</v>
      </c>
      <c r="CR85" s="105" t="str">
        <f>CL85</f>
        <v>Total Require-ment</v>
      </c>
      <c r="CS85" s="112"/>
      <c r="CT85" s="109" t="str">
        <f>CT6</f>
        <v>RD p.a%</v>
      </c>
      <c r="CU85" s="109" t="str">
        <f>CU6</f>
        <v>2015 Level</v>
      </c>
      <c r="CV85" s="109" t="str">
        <f>CV6</f>
        <v>Net Change</v>
      </c>
      <c r="CW85" s="109" t="str">
        <f>CW6</f>
        <v>Replace-ment Demand</v>
      </c>
      <c r="CX85" s="109" t="str">
        <f>CX6</f>
        <v>Total Require-ment</v>
      </c>
      <c r="CY85" s="108"/>
      <c r="CZ85" s="104" t="str">
        <f>CT85</f>
        <v>RD p.a%</v>
      </c>
      <c r="DA85" s="104" t="str">
        <f>CU85</f>
        <v>2015 Level</v>
      </c>
      <c r="DB85" s="104" t="str">
        <f>CV85</f>
        <v>Net Change</v>
      </c>
      <c r="DC85" s="104" t="str">
        <f>CW85</f>
        <v>Replace-ment Demand</v>
      </c>
      <c r="DD85" s="104" t="str">
        <f>CX85</f>
        <v>Total Require-ment</v>
      </c>
      <c r="DE85" s="103"/>
      <c r="DF85" s="105" t="str">
        <f>CZ85</f>
        <v>RD p.a%</v>
      </c>
      <c r="DG85" s="105" t="str">
        <f>DA85</f>
        <v>2015 Level</v>
      </c>
      <c r="DH85" s="105" t="str">
        <f>DB85</f>
        <v>Net Change</v>
      </c>
      <c r="DI85" s="105" t="str">
        <f>DC85</f>
        <v>Replace-ment Demand</v>
      </c>
      <c r="DJ85" s="105" t="str">
        <f>DD85</f>
        <v>Total Require-ment</v>
      </c>
      <c r="DK85" s="103"/>
      <c r="DL85" s="105" t="str">
        <f>DF85</f>
        <v>RD p.a%</v>
      </c>
      <c r="DM85" s="105" t="str">
        <f>DG85</f>
        <v>2015 Level</v>
      </c>
      <c r="DN85" s="105" t="str">
        <f>DH85</f>
        <v>Net Change</v>
      </c>
      <c r="DO85" s="105" t="str">
        <f>DI85</f>
        <v>Replace-ment Demand</v>
      </c>
      <c r="DP85" s="105" t="str">
        <f>DJ85</f>
        <v>Total Require-ment</v>
      </c>
    </row>
    <row r="87" spans="1:120" x14ac:dyDescent="0.3">
      <c r="A87" s="90" t="str">
        <f>name!C4</f>
        <v>Primary sector and utilities</v>
      </c>
      <c r="B87" s="39" t="e">
        <f t="shared" ref="B87:B94" si="68">IF(C87&gt;0,((1+(E87/C87))^(1/($A$101-$A$100))-1)*100,0)</f>
        <v>#REF!</v>
      </c>
      <c r="C87" s="93" t="e">
        <f t="array" ref="C87:C92">MMULT(aggregation!#REF!,BasicTable5!C8:C48)</f>
        <v>#REF!</v>
      </c>
      <c r="D87" s="93" t="e">
        <f t="array" ref="D87:D92">MMULT(aggregation!#REF!,BasicTable5!D8:D48)</f>
        <v>#REF!</v>
      </c>
      <c r="E87" s="93" t="e">
        <f t="array" ref="E87:E92">MMULT(aggregation!#REF!,BasicTable5!E8:E48)</f>
        <v>#REF!</v>
      </c>
      <c r="F87" s="93" t="e">
        <f t="array" ref="F87:F92">MMULT(aggregation!#REF!,BasicTable5!F8:F48)</f>
        <v>#REF!</v>
      </c>
      <c r="H87" s="39" t="e">
        <f t="shared" ref="H87:H94" si="69">IF(I87&gt;0,((1+(K87/I87))^(1/($A$101-$A$100))-1)*100,0)</f>
        <v>#REF!</v>
      </c>
      <c r="I87" s="93" t="e">
        <f t="array" ref="I87:I92">MMULT(aggregation!#REF!,BasicTable5!I8:I48)</f>
        <v>#REF!</v>
      </c>
      <c r="J87" s="93" t="e">
        <f t="array" ref="J87:J92">MMULT(aggregation!#REF!,BasicTable5!J8:J48)</f>
        <v>#REF!</v>
      </c>
      <c r="K87" s="93" t="e">
        <f t="array" ref="K87:K92">MMULT(aggregation!#REF!,BasicTable5!K8:K48)</f>
        <v>#REF!</v>
      </c>
      <c r="L87" s="93" t="e">
        <f t="array" ref="L87:L92">MMULT(aggregation!#REF!,BasicTable5!L8:L48)</f>
        <v>#REF!</v>
      </c>
      <c r="N87" s="39" t="e">
        <f t="shared" ref="N87:N94" si="70">IF(O87&gt;0,((1+(Q87/O87))^(1/($A$101-$A$100))-1)*100,0)</f>
        <v>#REF!</v>
      </c>
      <c r="O87" s="93" t="e">
        <f t="array" ref="O87:O92">MMULT(aggregation!#REF!,BasicTable5!O8:O48)</f>
        <v>#REF!</v>
      </c>
      <c r="P87" s="93" t="e">
        <f t="array" ref="P87:P92">MMULT(aggregation!#REF!,BasicTable5!P8:P48)</f>
        <v>#REF!</v>
      </c>
      <c r="Q87" s="93" t="e">
        <f t="array" ref="Q87:Q92">MMULT(aggregation!#REF!,BasicTable5!Q8:Q48)</f>
        <v>#REF!</v>
      </c>
      <c r="R87" s="93" t="e">
        <f t="array" ref="R87:R92">MMULT(aggregation!#REF!,BasicTable5!R8:R48)</f>
        <v>#REF!</v>
      </c>
      <c r="S87" s="93"/>
      <c r="T87" s="39" t="e">
        <f t="shared" ref="T87:T94" si="71">IF(U87&gt;0,((1+(W87/U87))^(1/($A$101-$A$100))-1)*100,0)</f>
        <v>#REF!</v>
      </c>
      <c r="U87" s="93" t="e">
        <f t="array" ref="U87:U92">MMULT(aggregation!#REF!,BasicTable5!U8:U48)</f>
        <v>#REF!</v>
      </c>
      <c r="V87" s="93" t="e">
        <f t="array" ref="V87:V92">MMULT(aggregation!#REF!,BasicTable5!V8:V48)</f>
        <v>#REF!</v>
      </c>
      <c r="W87" s="93" t="e">
        <f t="array" ref="W87:W92">MMULT(aggregation!#REF!,BasicTable5!W8:W48)</f>
        <v>#REF!</v>
      </c>
      <c r="X87" s="93" t="e">
        <f t="array" ref="X87:X92">MMULT(aggregation!#REF!,BasicTable5!X8:X48)</f>
        <v>#REF!</v>
      </c>
      <c r="Y87" s="90" t="str">
        <f t="shared" ref="Y87:Y92" si="72">A87</f>
        <v>Primary sector and utilities</v>
      </c>
      <c r="Z87" s="39" t="e">
        <f t="shared" ref="Z87:Z92" si="73">IF(AA87&gt;0,((1+(AC87/AA87))^(1/($A$101-$A$100))-1)*100,0)</f>
        <v>#REF!</v>
      </c>
      <c r="AA87" s="93" t="e">
        <f t="array" ref="AA87:AA92">MMULT(aggregation!#REF!,BasicTable5!AA8:AA48)</f>
        <v>#REF!</v>
      </c>
      <c r="AB87" s="93" t="e">
        <f t="array" ref="AB87:AB92">MMULT(aggregation!#REF!,BasicTable5!AB8:AB48)</f>
        <v>#REF!</v>
      </c>
      <c r="AC87" s="93" t="e">
        <f t="array" ref="AC87:AC92">MMULT(aggregation!#REF!,BasicTable5!AC8:AC48)</f>
        <v>#REF!</v>
      </c>
      <c r="AD87" s="93" t="e">
        <f t="array" ref="AD87:AD92">MMULT(aggregation!#REF!,BasicTable5!AD8:AD48)</f>
        <v>#REF!</v>
      </c>
      <c r="AF87" s="39" t="e">
        <f t="shared" ref="AF87:AF92" si="74">IF(AG87&gt;0,((1+(AI87/AG87))^(1/($A$101-$A$100))-1)*100,0)</f>
        <v>#REF!</v>
      </c>
      <c r="AG87" s="93" t="e">
        <f t="array" ref="AG87:AG92">MMULT(aggregation!#REF!,BasicTable5!AG8:AG48)</f>
        <v>#REF!</v>
      </c>
      <c r="AH87" s="93" t="e">
        <f t="array" ref="AH87:AH92">MMULT(aggregation!#REF!,BasicTable5!AH8:AH48)</f>
        <v>#REF!</v>
      </c>
      <c r="AI87" s="93" t="e">
        <f t="array" ref="AI87:AI92">MMULT(aggregation!#REF!,BasicTable5!AI8:AI48)</f>
        <v>#REF!</v>
      </c>
      <c r="AJ87" s="93" t="e">
        <f t="array" ref="AJ87:AJ92">MMULT(aggregation!#REF!,BasicTable5!AJ8:AJ48)</f>
        <v>#REF!</v>
      </c>
      <c r="AL87" s="39" t="e">
        <f t="shared" ref="AL87:AL92" si="75">IF(AM87&gt;0,((1+(AO87/AM87))^(1/($A$101-$A$100))-1)*100,0)</f>
        <v>#REF!</v>
      </c>
      <c r="AM87" s="93" t="e">
        <f t="array" ref="AM87:AM92">MMULT(aggregation!#REF!,BasicTable5!AM8:AM48)</f>
        <v>#REF!</v>
      </c>
      <c r="AN87" s="93" t="e">
        <f t="array" ref="AN87:AN92">MMULT(aggregation!#REF!,BasicTable5!AN8:AN48)</f>
        <v>#REF!</v>
      </c>
      <c r="AO87" s="93" t="e">
        <f t="array" ref="AO87:AO92">MMULT(aggregation!#REF!,BasicTable5!AO8:AO48)</f>
        <v>#REF!</v>
      </c>
      <c r="AP87" s="93" t="e">
        <f t="array" ref="AP87:AP92">MMULT(aggregation!#REF!,BasicTable5!AP8:AP48)</f>
        <v>#REF!</v>
      </c>
      <c r="AQ87" s="93"/>
      <c r="AR87" s="39" t="e">
        <f t="shared" ref="AR87:AR92" si="76">IF(AS87&gt;0,((1+(AU87/AS87))^(1/($A$101-$A$100))-1)*100,0)</f>
        <v>#REF!</v>
      </c>
      <c r="AS87" s="93" t="e">
        <f t="array" ref="AS87:AS92">MMULT(aggregation!#REF!,BasicTable5!AS8:AS48)</f>
        <v>#REF!</v>
      </c>
      <c r="AT87" s="93" t="e">
        <f t="array" ref="AT87:AT92">MMULT(aggregation!#REF!,BasicTable5!AT8:AT48)</f>
        <v>#REF!</v>
      </c>
      <c r="AU87" s="93" t="e">
        <f t="array" ref="AU87:AU92">MMULT(aggregation!#REF!,BasicTable5!AU8:AU48)</f>
        <v>#REF!</v>
      </c>
      <c r="AV87" s="93" t="e">
        <f t="array" ref="AV87:AV92">MMULT(aggregation!#REF!,BasicTable5!AV8:AV48)</f>
        <v>#REF!</v>
      </c>
      <c r="AW87" s="90" t="str">
        <f t="shared" ref="AW87:AW92" si="77">Y87</f>
        <v>Primary sector and utilities</v>
      </c>
      <c r="AX87" s="39" t="e">
        <f t="shared" ref="AX87:AX92" si="78">IF(AY87&gt;0,((1+(BA87/AY87))^(1/($A$101-$A$100))-1)*100,0)</f>
        <v>#REF!</v>
      </c>
      <c r="AY87" s="93" t="e">
        <f t="array" ref="AY87:AY92">MMULT(aggregation!#REF!,BasicTable5!AY8:AY48)</f>
        <v>#REF!</v>
      </c>
      <c r="AZ87" s="93" t="e">
        <f t="array" ref="AZ87:AZ92">MMULT(aggregation!#REF!,BasicTable5!AZ8:AZ48)</f>
        <v>#REF!</v>
      </c>
      <c r="BA87" s="93" t="e">
        <f t="array" ref="BA87:BA92">MMULT(aggregation!#REF!,BasicTable5!BA8:BA48)</f>
        <v>#REF!</v>
      </c>
      <c r="BB87" s="93" t="e">
        <f t="array" ref="BB87:BB92">MMULT(aggregation!#REF!,BasicTable5!BB8:BB48)</f>
        <v>#REF!</v>
      </c>
      <c r="BD87" s="39" t="e">
        <f t="shared" ref="BD87:BD92" si="79">IF(BE87&gt;0,((1+(BG87/BE87))^(1/($A$101-$A$100))-1)*100,0)</f>
        <v>#REF!</v>
      </c>
      <c r="BE87" s="93" t="e">
        <f t="array" ref="BE87:BE92">MMULT(aggregation!#REF!,BasicTable5!BE8:BE48)</f>
        <v>#REF!</v>
      </c>
      <c r="BF87" s="93" t="e">
        <f t="array" ref="BF87:BF92">MMULT(aggregation!#REF!,BasicTable5!BF8:BF48)</f>
        <v>#REF!</v>
      </c>
      <c r="BG87" s="93" t="e">
        <f t="array" ref="BG87:BG92">MMULT(aggregation!#REF!,BasicTable5!BG8:BG48)</f>
        <v>#REF!</v>
      </c>
      <c r="BH87" s="93" t="e">
        <f t="array" ref="BH87:BH92">MMULT(aggregation!#REF!,BasicTable5!BH8:BH48)</f>
        <v>#REF!</v>
      </c>
      <c r="BJ87" s="39" t="e">
        <f t="shared" ref="BJ87:BJ92" si="80">IF(BK87&gt;0,((1+(BM87/BK87))^(1/($A$101-$A$100))-1)*100,0)</f>
        <v>#REF!</v>
      </c>
      <c r="BK87" s="93" t="e">
        <f t="array" ref="BK87:BK92">MMULT(aggregation!#REF!,BasicTable5!BK8:BK48)</f>
        <v>#REF!</v>
      </c>
      <c r="BL87" s="93" t="e">
        <f t="array" ref="BL87:BL92">MMULT(aggregation!#REF!,BasicTable5!BL8:BL48)</f>
        <v>#REF!</v>
      </c>
      <c r="BM87" s="93" t="e">
        <f t="array" ref="BM87:BM92">MMULT(aggregation!#REF!,BasicTable5!BM8:BM48)</f>
        <v>#REF!</v>
      </c>
      <c r="BN87" s="93" t="e">
        <f t="array" ref="BN87:BN92">MMULT(aggregation!#REF!,BasicTable5!BN8:BN48)</f>
        <v>#REF!</v>
      </c>
      <c r="BO87" s="93"/>
      <c r="BP87" s="39" t="e">
        <f t="shared" ref="BP87:BP92" si="81">IF(BQ87&gt;0,((1+(BS87/BQ87))^(1/($A$101-$A$100))-1)*100,0)</f>
        <v>#REF!</v>
      </c>
      <c r="BQ87" s="93" t="e">
        <f t="array" ref="BQ87:BQ92">MMULT(aggregation!#REF!,BasicTable5!BQ8:BQ48)</f>
        <v>#REF!</v>
      </c>
      <c r="BR87" s="93" t="e">
        <f t="array" ref="BR87:BR92">MMULT(aggregation!#REF!,BasicTable5!BR8:BR48)</f>
        <v>#REF!</v>
      </c>
      <c r="BS87" s="93" t="e">
        <f t="array" ref="BS87:BS92">MMULT(aggregation!#REF!,BasicTable5!BS8:BS48)</f>
        <v>#REF!</v>
      </c>
      <c r="BT87" s="93" t="e">
        <f t="array" ref="BT87:BT92">MMULT(aggregation!#REF!,BasicTable5!BT8:BT48)</f>
        <v>#REF!</v>
      </c>
      <c r="BU87" s="90" t="str">
        <f t="shared" ref="BU87:BU92" si="82">AW87</f>
        <v>Primary sector and utilities</v>
      </c>
      <c r="BV87" s="39" t="e">
        <f t="shared" ref="BV87:BV92" si="83">IF(BW87&gt;0,((1+(BY87/BW87))^(1/($A$101-$A$100))-1)*100,0)</f>
        <v>#REF!</v>
      </c>
      <c r="BW87" s="93" t="e">
        <f t="array" ref="BW87:BW92">MMULT(aggregation!#REF!,BasicTable5!BW8:BW48)</f>
        <v>#REF!</v>
      </c>
      <c r="BX87" s="93" t="e">
        <f t="array" ref="BX87:BX92">MMULT(aggregation!#REF!,BasicTable5!BX8:BX48)</f>
        <v>#REF!</v>
      </c>
      <c r="BY87" s="93" t="e">
        <f t="array" ref="BY87:BY92">MMULT(aggregation!#REF!,BasicTable5!BY8:BY48)</f>
        <v>#REF!</v>
      </c>
      <c r="BZ87" s="93" t="e">
        <f t="array" ref="BZ87:BZ92">MMULT(aggregation!#REF!,BasicTable5!BZ8:BZ48)</f>
        <v>#REF!</v>
      </c>
      <c r="CB87" s="39" t="e">
        <f t="shared" ref="CB87:CB92" si="84">IF(CC87&gt;0,((1+(CE87/CC87))^(1/($A$101-$A$100))-1)*100,0)</f>
        <v>#REF!</v>
      </c>
      <c r="CC87" s="93" t="e">
        <f t="array" ref="CC87:CC92">MMULT(aggregation!#REF!,BasicTable5!CC8:CC48)</f>
        <v>#REF!</v>
      </c>
      <c r="CD87" s="93" t="e">
        <f t="array" ref="CD87:CD92">MMULT(aggregation!#REF!,BasicTable5!CD8:CD48)</f>
        <v>#REF!</v>
      </c>
      <c r="CE87" s="93" t="e">
        <f t="array" ref="CE87:CE92">MMULT(aggregation!#REF!,BasicTable5!CE8:CE48)</f>
        <v>#REF!</v>
      </c>
      <c r="CF87" s="93" t="e">
        <f t="array" ref="CF87:CF92">MMULT(aggregation!#REF!,BasicTable5!CF8:CF48)</f>
        <v>#REF!</v>
      </c>
      <c r="CH87" s="39" t="e">
        <f t="shared" ref="CH87:CH92" si="85">IF(CI87&gt;0,((1+(CK87/CI87))^(1/($A$101-$A$100))-1)*100,0)</f>
        <v>#REF!</v>
      </c>
      <c r="CI87" s="93" t="e">
        <f t="array" ref="CI87:CI92">MMULT(aggregation!#REF!,BasicTable5!CI8:CI48)</f>
        <v>#REF!</v>
      </c>
      <c r="CJ87" s="93" t="e">
        <f t="array" ref="CJ87:CJ92">MMULT(aggregation!#REF!,BasicTable5!CJ8:CJ48)</f>
        <v>#REF!</v>
      </c>
      <c r="CK87" s="93" t="e">
        <f t="array" ref="CK87:CK92">MMULT(aggregation!#REF!,BasicTable5!CK8:CK48)</f>
        <v>#REF!</v>
      </c>
      <c r="CL87" s="93" t="e">
        <f t="array" ref="CL87:CL92">MMULT(aggregation!#REF!,BasicTable5!CL8:CL48)</f>
        <v>#REF!</v>
      </c>
      <c r="CM87" s="93"/>
      <c r="CN87" s="39" t="e">
        <f t="shared" ref="CN87:CN92" si="86">IF(CO87&gt;0,((1+(CQ87/CO87))^(1/($A$101-$A$100))-1)*100,0)</f>
        <v>#REF!</v>
      </c>
      <c r="CO87" s="93" t="e">
        <f t="array" ref="CO87:CO92">MMULT(aggregation!#REF!,BasicTable5!CO8:CO48)</f>
        <v>#REF!</v>
      </c>
      <c r="CP87" s="93" t="e">
        <f t="array" ref="CP87:CP92">MMULT(aggregation!#REF!,BasicTable5!CP8:CP48)</f>
        <v>#REF!</v>
      </c>
      <c r="CQ87" s="93" t="e">
        <f t="array" ref="CQ87:CQ92">MMULT(aggregation!#REF!,BasicTable5!CQ8:CQ48)</f>
        <v>#REF!</v>
      </c>
      <c r="CR87" s="93" t="e">
        <f t="array" ref="CR87:CR92">MMULT(aggregation!#REF!,BasicTable5!CR8:CR48)</f>
        <v>#REF!</v>
      </c>
      <c r="CS87" s="90" t="str">
        <f t="shared" ref="CS87:CS92" si="87">BU87</f>
        <v>Primary sector and utilities</v>
      </c>
      <c r="CT87" s="39" t="e">
        <f t="shared" ref="CT87:CT92" si="88">IF(CU87&gt;0,((1+(CW87/CU87))^(1/($A$101-$A$100))-1)*100,0)</f>
        <v>#REF!</v>
      </c>
      <c r="CU87" s="93" t="e">
        <f t="array" ref="CU87:CU92">MMULT(aggregation!#REF!,BasicTable5!CU8:CU48)</f>
        <v>#REF!</v>
      </c>
      <c r="CV87" s="93" t="e">
        <f t="array" ref="CV87:CV92">MMULT(aggregation!#REF!,BasicTable5!CV8:CV48)</f>
        <v>#REF!</v>
      </c>
      <c r="CW87" s="93" t="e">
        <f t="array" ref="CW87:CW92">MMULT(aggregation!#REF!,BasicTable5!CW8:CW48)</f>
        <v>#REF!</v>
      </c>
      <c r="CX87" s="93" t="e">
        <f t="array" ref="CX87:CX92">MMULT(aggregation!#REF!,BasicTable5!CX8:CX48)</f>
        <v>#REF!</v>
      </c>
      <c r="CZ87" s="39" t="e">
        <f t="shared" ref="CZ87:CZ92" si="89">IF(DA87&gt;0,((1+(DC87/DA87))^(1/($A$101-$A$100))-1)*100,0)</f>
        <v>#REF!</v>
      </c>
      <c r="DA87" s="93" t="e">
        <f t="array" ref="DA87:DA92">MMULT(aggregation!#REF!,BasicTable5!DA8:DA48)</f>
        <v>#REF!</v>
      </c>
      <c r="DB87" s="93" t="e">
        <f t="array" ref="DB87:DB92">MMULT(aggregation!#REF!,BasicTable5!DB8:DB48)</f>
        <v>#REF!</v>
      </c>
      <c r="DC87" s="93" t="e">
        <f t="array" ref="DC87:DC92">MMULT(aggregation!#REF!,BasicTable5!DC8:DC48)</f>
        <v>#REF!</v>
      </c>
      <c r="DD87" s="93" t="e">
        <f t="array" ref="DD87:DD92">MMULT(aggregation!#REF!,BasicTable5!DD8:DD48)</f>
        <v>#REF!</v>
      </c>
      <c r="DF87" s="39" t="e">
        <f t="shared" ref="DF87:DF92" si="90">IF(DG87&gt;0,((1+(DI87/DG87))^(1/($A$101-$A$100))-1)*100,0)</f>
        <v>#REF!</v>
      </c>
      <c r="DG87" s="93" t="e">
        <f t="array" ref="DG87:DG92">MMULT(aggregation!#REF!,BasicTable5!DG8:DG48)</f>
        <v>#REF!</v>
      </c>
      <c r="DH87" s="93" t="e">
        <f t="array" ref="DH87:DH92">MMULT(aggregation!#REF!,BasicTable5!DH8:DH48)</f>
        <v>#REF!</v>
      </c>
      <c r="DI87" s="93" t="e">
        <f t="array" ref="DI87:DI92">MMULT(aggregation!#REF!,BasicTable5!DI8:DI48)</f>
        <v>#REF!</v>
      </c>
      <c r="DJ87" s="93" t="e">
        <f t="array" ref="DJ87:DJ92">MMULT(aggregation!#REF!,BasicTable5!DJ8:DJ48)</f>
        <v>#REF!</v>
      </c>
      <c r="DK87" s="93"/>
      <c r="DL87" s="39" t="e">
        <f t="shared" ref="DL87:DL92" si="91">IF(DM87&gt;0,((1+(DO87/DM87))^(1/($A$101-$A$100))-1)*100,0)</f>
        <v>#REF!</v>
      </c>
      <c r="DM87" s="93" t="e">
        <f t="array" ref="DM87:DM92">MMULT(aggregation!#REF!,BasicTable5!DM8:DM48)</f>
        <v>#REF!</v>
      </c>
      <c r="DN87" s="93" t="e">
        <f t="array" ref="DN87:DN92">MMULT(aggregation!#REF!,BasicTable5!DN8:DN48)</f>
        <v>#REF!</v>
      </c>
      <c r="DO87" s="93" t="e">
        <f t="array" ref="DO87:DO92">MMULT(aggregation!#REF!,BasicTable5!DO8:DO48)</f>
        <v>#REF!</v>
      </c>
      <c r="DP87" s="93" t="e">
        <f t="array" ref="DP87:DP92">MMULT(aggregation!#REF!,BasicTable5!DP8:DP48)</f>
        <v>#REF!</v>
      </c>
    </row>
    <row r="88" spans="1:120" x14ac:dyDescent="0.3">
      <c r="A88" s="90" t="str">
        <f>name!C5</f>
        <v>Manufacturing</v>
      </c>
      <c r="B88" s="39" t="e">
        <f t="shared" si="68"/>
        <v>#REF!</v>
      </c>
      <c r="C88" s="93" t="e">
        <v>#REF!</v>
      </c>
      <c r="D88" s="93" t="e">
        <v>#REF!</v>
      </c>
      <c r="E88" s="93" t="e">
        <v>#REF!</v>
      </c>
      <c r="F88" s="93" t="e">
        <v>#REF!</v>
      </c>
      <c r="H88" s="39" t="e">
        <f t="shared" si="69"/>
        <v>#REF!</v>
      </c>
      <c r="I88" s="93" t="e">
        <v>#REF!</v>
      </c>
      <c r="J88" s="93" t="e">
        <v>#REF!</v>
      </c>
      <c r="K88" s="93" t="e">
        <v>#REF!</v>
      </c>
      <c r="L88" s="93" t="e">
        <v>#REF!</v>
      </c>
      <c r="N88" s="39" t="e">
        <f t="shared" si="70"/>
        <v>#REF!</v>
      </c>
      <c r="O88" s="93" t="e">
        <v>#REF!</v>
      </c>
      <c r="P88" s="93" t="e">
        <v>#REF!</v>
      </c>
      <c r="Q88" s="93" t="e">
        <v>#REF!</v>
      </c>
      <c r="R88" s="93" t="e">
        <v>#REF!</v>
      </c>
      <c r="S88" s="93"/>
      <c r="T88" s="39" t="e">
        <f t="shared" si="71"/>
        <v>#REF!</v>
      </c>
      <c r="U88" s="93" t="e">
        <v>#REF!</v>
      </c>
      <c r="V88" s="93" t="e">
        <v>#REF!</v>
      </c>
      <c r="W88" s="93" t="e">
        <v>#REF!</v>
      </c>
      <c r="X88" s="93" t="e">
        <v>#REF!</v>
      </c>
      <c r="Y88" s="90" t="str">
        <f t="shared" si="72"/>
        <v>Manufacturing</v>
      </c>
      <c r="Z88" s="39" t="e">
        <f t="shared" si="73"/>
        <v>#REF!</v>
      </c>
      <c r="AA88" s="93" t="e">
        <v>#REF!</v>
      </c>
      <c r="AB88" s="93" t="e">
        <v>#REF!</v>
      </c>
      <c r="AC88" s="93" t="e">
        <v>#REF!</v>
      </c>
      <c r="AD88" s="93" t="e">
        <v>#REF!</v>
      </c>
      <c r="AF88" s="39" t="e">
        <f t="shared" si="74"/>
        <v>#REF!</v>
      </c>
      <c r="AG88" s="93" t="e">
        <v>#REF!</v>
      </c>
      <c r="AH88" s="93" t="e">
        <v>#REF!</v>
      </c>
      <c r="AI88" s="93" t="e">
        <v>#REF!</v>
      </c>
      <c r="AJ88" s="93" t="e">
        <v>#REF!</v>
      </c>
      <c r="AL88" s="39" t="e">
        <f t="shared" si="75"/>
        <v>#REF!</v>
      </c>
      <c r="AM88" s="93" t="e">
        <v>#REF!</v>
      </c>
      <c r="AN88" s="93" t="e">
        <v>#REF!</v>
      </c>
      <c r="AO88" s="93" t="e">
        <v>#REF!</v>
      </c>
      <c r="AP88" s="93" t="e">
        <v>#REF!</v>
      </c>
      <c r="AQ88" s="93"/>
      <c r="AR88" s="39" t="e">
        <f t="shared" si="76"/>
        <v>#REF!</v>
      </c>
      <c r="AS88" s="93" t="e">
        <v>#REF!</v>
      </c>
      <c r="AT88" s="93" t="e">
        <v>#REF!</v>
      </c>
      <c r="AU88" s="93" t="e">
        <v>#REF!</v>
      </c>
      <c r="AV88" s="93" t="e">
        <v>#REF!</v>
      </c>
      <c r="AW88" s="90" t="str">
        <f t="shared" si="77"/>
        <v>Manufacturing</v>
      </c>
      <c r="AX88" s="39" t="e">
        <f t="shared" si="78"/>
        <v>#REF!</v>
      </c>
      <c r="AY88" s="93" t="e">
        <v>#REF!</v>
      </c>
      <c r="AZ88" s="93" t="e">
        <v>#REF!</v>
      </c>
      <c r="BA88" s="93" t="e">
        <v>#REF!</v>
      </c>
      <c r="BB88" s="93" t="e">
        <v>#REF!</v>
      </c>
      <c r="BD88" s="39" t="e">
        <f t="shared" si="79"/>
        <v>#REF!</v>
      </c>
      <c r="BE88" s="93" t="e">
        <v>#REF!</v>
      </c>
      <c r="BF88" s="93" t="e">
        <v>#REF!</v>
      </c>
      <c r="BG88" s="93" t="e">
        <v>#REF!</v>
      </c>
      <c r="BH88" s="93" t="e">
        <v>#REF!</v>
      </c>
      <c r="BJ88" s="39" t="e">
        <f t="shared" si="80"/>
        <v>#REF!</v>
      </c>
      <c r="BK88" s="93" t="e">
        <v>#REF!</v>
      </c>
      <c r="BL88" s="93" t="e">
        <v>#REF!</v>
      </c>
      <c r="BM88" s="93" t="e">
        <v>#REF!</v>
      </c>
      <c r="BN88" s="93" t="e">
        <v>#REF!</v>
      </c>
      <c r="BO88" s="93"/>
      <c r="BP88" s="39" t="e">
        <f t="shared" si="81"/>
        <v>#REF!</v>
      </c>
      <c r="BQ88" s="93" t="e">
        <v>#REF!</v>
      </c>
      <c r="BR88" s="93" t="e">
        <v>#REF!</v>
      </c>
      <c r="BS88" s="93" t="e">
        <v>#REF!</v>
      </c>
      <c r="BT88" s="93" t="e">
        <v>#REF!</v>
      </c>
      <c r="BU88" s="90" t="str">
        <f t="shared" si="82"/>
        <v>Manufacturing</v>
      </c>
      <c r="BV88" s="39" t="e">
        <f t="shared" si="83"/>
        <v>#REF!</v>
      </c>
      <c r="BW88" s="93" t="e">
        <v>#REF!</v>
      </c>
      <c r="BX88" s="93" t="e">
        <v>#REF!</v>
      </c>
      <c r="BY88" s="93" t="e">
        <v>#REF!</v>
      </c>
      <c r="BZ88" s="93" t="e">
        <v>#REF!</v>
      </c>
      <c r="CB88" s="39" t="e">
        <f t="shared" si="84"/>
        <v>#REF!</v>
      </c>
      <c r="CC88" s="93" t="e">
        <v>#REF!</v>
      </c>
      <c r="CD88" s="93" t="e">
        <v>#REF!</v>
      </c>
      <c r="CE88" s="93" t="e">
        <v>#REF!</v>
      </c>
      <c r="CF88" s="93" t="e">
        <v>#REF!</v>
      </c>
      <c r="CH88" s="39" t="e">
        <f t="shared" si="85"/>
        <v>#REF!</v>
      </c>
      <c r="CI88" s="93" t="e">
        <v>#REF!</v>
      </c>
      <c r="CJ88" s="93" t="e">
        <v>#REF!</v>
      </c>
      <c r="CK88" s="93" t="e">
        <v>#REF!</v>
      </c>
      <c r="CL88" s="93" t="e">
        <v>#REF!</v>
      </c>
      <c r="CM88" s="93"/>
      <c r="CN88" s="39" t="e">
        <f t="shared" si="86"/>
        <v>#REF!</v>
      </c>
      <c r="CO88" s="93" t="e">
        <v>#REF!</v>
      </c>
      <c r="CP88" s="93" t="e">
        <v>#REF!</v>
      </c>
      <c r="CQ88" s="93" t="e">
        <v>#REF!</v>
      </c>
      <c r="CR88" s="93" t="e">
        <v>#REF!</v>
      </c>
      <c r="CS88" s="90" t="str">
        <f t="shared" si="87"/>
        <v>Manufacturing</v>
      </c>
      <c r="CT88" s="39" t="e">
        <f t="shared" si="88"/>
        <v>#REF!</v>
      </c>
      <c r="CU88" s="93" t="e">
        <v>#REF!</v>
      </c>
      <c r="CV88" s="93" t="e">
        <v>#REF!</v>
      </c>
      <c r="CW88" s="93" t="e">
        <v>#REF!</v>
      </c>
      <c r="CX88" s="93" t="e">
        <v>#REF!</v>
      </c>
      <c r="CZ88" s="39" t="e">
        <f t="shared" si="89"/>
        <v>#REF!</v>
      </c>
      <c r="DA88" s="93" t="e">
        <v>#REF!</v>
      </c>
      <c r="DB88" s="93" t="e">
        <v>#REF!</v>
      </c>
      <c r="DC88" s="93" t="e">
        <v>#REF!</v>
      </c>
      <c r="DD88" s="93" t="e">
        <v>#REF!</v>
      </c>
      <c r="DF88" s="39" t="e">
        <f t="shared" si="90"/>
        <v>#REF!</v>
      </c>
      <c r="DG88" s="93" t="e">
        <v>#REF!</v>
      </c>
      <c r="DH88" s="93" t="e">
        <v>#REF!</v>
      </c>
      <c r="DI88" s="93" t="e">
        <v>#REF!</v>
      </c>
      <c r="DJ88" s="93" t="e">
        <v>#REF!</v>
      </c>
      <c r="DK88" s="93"/>
      <c r="DL88" s="39" t="e">
        <f t="shared" si="91"/>
        <v>#REF!</v>
      </c>
      <c r="DM88" s="93" t="e">
        <v>#REF!</v>
      </c>
      <c r="DN88" s="93" t="e">
        <v>#REF!</v>
      </c>
      <c r="DO88" s="93" t="e">
        <v>#REF!</v>
      </c>
      <c r="DP88" s="93" t="e">
        <v>#REF!</v>
      </c>
    </row>
    <row r="89" spans="1:120" x14ac:dyDescent="0.3">
      <c r="A89" s="90" t="str">
        <f>name!C6</f>
        <v>Construction</v>
      </c>
      <c r="B89" s="39" t="e">
        <f t="shared" si="68"/>
        <v>#REF!</v>
      </c>
      <c r="C89" s="93" t="e">
        <v>#REF!</v>
      </c>
      <c r="D89" s="93" t="e">
        <v>#REF!</v>
      </c>
      <c r="E89" s="93" t="e">
        <v>#REF!</v>
      </c>
      <c r="F89" s="93" t="e">
        <v>#REF!</v>
      </c>
      <c r="H89" s="39" t="e">
        <f t="shared" si="69"/>
        <v>#REF!</v>
      </c>
      <c r="I89" s="93" t="e">
        <v>#REF!</v>
      </c>
      <c r="J89" s="93" t="e">
        <v>#REF!</v>
      </c>
      <c r="K89" s="93" t="e">
        <v>#REF!</v>
      </c>
      <c r="L89" s="93" t="e">
        <v>#REF!</v>
      </c>
      <c r="N89" s="39" t="e">
        <f t="shared" si="70"/>
        <v>#REF!</v>
      </c>
      <c r="O89" s="93" t="e">
        <v>#REF!</v>
      </c>
      <c r="P89" s="93" t="e">
        <v>#REF!</v>
      </c>
      <c r="Q89" s="93" t="e">
        <v>#REF!</v>
      </c>
      <c r="R89" s="93" t="e">
        <v>#REF!</v>
      </c>
      <c r="S89" s="93"/>
      <c r="T89" s="39" t="e">
        <f t="shared" si="71"/>
        <v>#REF!</v>
      </c>
      <c r="U89" s="93" t="e">
        <v>#REF!</v>
      </c>
      <c r="V89" s="93" t="e">
        <v>#REF!</v>
      </c>
      <c r="W89" s="93" t="e">
        <v>#REF!</v>
      </c>
      <c r="X89" s="93" t="e">
        <v>#REF!</v>
      </c>
      <c r="Y89" s="90" t="str">
        <f t="shared" si="72"/>
        <v>Construction</v>
      </c>
      <c r="Z89" s="39" t="e">
        <f t="shared" si="73"/>
        <v>#REF!</v>
      </c>
      <c r="AA89" s="93" t="e">
        <v>#REF!</v>
      </c>
      <c r="AB89" s="93" t="e">
        <v>#REF!</v>
      </c>
      <c r="AC89" s="93" t="e">
        <v>#REF!</v>
      </c>
      <c r="AD89" s="93" t="e">
        <v>#REF!</v>
      </c>
      <c r="AF89" s="39" t="e">
        <f t="shared" si="74"/>
        <v>#REF!</v>
      </c>
      <c r="AG89" s="93" t="e">
        <v>#REF!</v>
      </c>
      <c r="AH89" s="93" t="e">
        <v>#REF!</v>
      </c>
      <c r="AI89" s="93" t="e">
        <v>#REF!</v>
      </c>
      <c r="AJ89" s="93" t="e">
        <v>#REF!</v>
      </c>
      <c r="AL89" s="39" t="e">
        <f t="shared" si="75"/>
        <v>#REF!</v>
      </c>
      <c r="AM89" s="93" t="e">
        <v>#REF!</v>
      </c>
      <c r="AN89" s="93" t="e">
        <v>#REF!</v>
      </c>
      <c r="AO89" s="93" t="e">
        <v>#REF!</v>
      </c>
      <c r="AP89" s="93" t="e">
        <v>#REF!</v>
      </c>
      <c r="AQ89" s="93"/>
      <c r="AR89" s="39" t="e">
        <f t="shared" si="76"/>
        <v>#REF!</v>
      </c>
      <c r="AS89" s="93" t="e">
        <v>#REF!</v>
      </c>
      <c r="AT89" s="93" t="e">
        <v>#REF!</v>
      </c>
      <c r="AU89" s="93" t="e">
        <v>#REF!</v>
      </c>
      <c r="AV89" s="93" t="e">
        <v>#REF!</v>
      </c>
      <c r="AW89" s="90" t="str">
        <f t="shared" si="77"/>
        <v>Construction</v>
      </c>
      <c r="AX89" s="39" t="e">
        <f t="shared" si="78"/>
        <v>#REF!</v>
      </c>
      <c r="AY89" s="93" t="e">
        <v>#REF!</v>
      </c>
      <c r="AZ89" s="93" t="e">
        <v>#REF!</v>
      </c>
      <c r="BA89" s="93" t="e">
        <v>#REF!</v>
      </c>
      <c r="BB89" s="93" t="e">
        <v>#REF!</v>
      </c>
      <c r="BD89" s="39" t="e">
        <f t="shared" si="79"/>
        <v>#REF!</v>
      </c>
      <c r="BE89" s="93" t="e">
        <v>#REF!</v>
      </c>
      <c r="BF89" s="93" t="e">
        <v>#REF!</v>
      </c>
      <c r="BG89" s="93" t="e">
        <v>#REF!</v>
      </c>
      <c r="BH89" s="93" t="e">
        <v>#REF!</v>
      </c>
      <c r="BJ89" s="39" t="e">
        <f t="shared" si="80"/>
        <v>#REF!</v>
      </c>
      <c r="BK89" s="93" t="e">
        <v>#REF!</v>
      </c>
      <c r="BL89" s="93" t="e">
        <v>#REF!</v>
      </c>
      <c r="BM89" s="93" t="e">
        <v>#REF!</v>
      </c>
      <c r="BN89" s="93" t="e">
        <v>#REF!</v>
      </c>
      <c r="BO89" s="93"/>
      <c r="BP89" s="39" t="e">
        <f t="shared" si="81"/>
        <v>#REF!</v>
      </c>
      <c r="BQ89" s="93" t="e">
        <v>#REF!</v>
      </c>
      <c r="BR89" s="93" t="e">
        <v>#REF!</v>
      </c>
      <c r="BS89" s="93" t="e">
        <v>#REF!</v>
      </c>
      <c r="BT89" s="93" t="e">
        <v>#REF!</v>
      </c>
      <c r="BU89" s="90" t="str">
        <f t="shared" si="82"/>
        <v>Construction</v>
      </c>
      <c r="BV89" s="39" t="e">
        <f t="shared" si="83"/>
        <v>#REF!</v>
      </c>
      <c r="BW89" s="93" t="e">
        <v>#REF!</v>
      </c>
      <c r="BX89" s="93" t="e">
        <v>#REF!</v>
      </c>
      <c r="BY89" s="93" t="e">
        <v>#REF!</v>
      </c>
      <c r="BZ89" s="93" t="e">
        <v>#REF!</v>
      </c>
      <c r="CB89" s="39" t="e">
        <f t="shared" si="84"/>
        <v>#REF!</v>
      </c>
      <c r="CC89" s="93" t="e">
        <v>#REF!</v>
      </c>
      <c r="CD89" s="93" t="e">
        <v>#REF!</v>
      </c>
      <c r="CE89" s="93" t="e">
        <v>#REF!</v>
      </c>
      <c r="CF89" s="93" t="e">
        <v>#REF!</v>
      </c>
      <c r="CH89" s="39" t="e">
        <f t="shared" si="85"/>
        <v>#REF!</v>
      </c>
      <c r="CI89" s="93" t="e">
        <v>#REF!</v>
      </c>
      <c r="CJ89" s="93" t="e">
        <v>#REF!</v>
      </c>
      <c r="CK89" s="93" t="e">
        <v>#REF!</v>
      </c>
      <c r="CL89" s="93" t="e">
        <v>#REF!</v>
      </c>
      <c r="CM89" s="93"/>
      <c r="CN89" s="39" t="e">
        <f t="shared" si="86"/>
        <v>#REF!</v>
      </c>
      <c r="CO89" s="93" t="e">
        <v>#REF!</v>
      </c>
      <c r="CP89" s="93" t="e">
        <v>#REF!</v>
      </c>
      <c r="CQ89" s="93" t="e">
        <v>#REF!</v>
      </c>
      <c r="CR89" s="93" t="e">
        <v>#REF!</v>
      </c>
      <c r="CS89" s="90" t="str">
        <f t="shared" si="87"/>
        <v>Construction</v>
      </c>
      <c r="CT89" s="39" t="e">
        <f t="shared" si="88"/>
        <v>#REF!</v>
      </c>
      <c r="CU89" s="93" t="e">
        <v>#REF!</v>
      </c>
      <c r="CV89" s="93" t="e">
        <v>#REF!</v>
      </c>
      <c r="CW89" s="93" t="e">
        <v>#REF!</v>
      </c>
      <c r="CX89" s="93" t="e">
        <v>#REF!</v>
      </c>
      <c r="CZ89" s="39" t="e">
        <f t="shared" si="89"/>
        <v>#REF!</v>
      </c>
      <c r="DA89" s="93" t="e">
        <v>#REF!</v>
      </c>
      <c r="DB89" s="93" t="e">
        <v>#REF!</v>
      </c>
      <c r="DC89" s="93" t="e">
        <v>#REF!</v>
      </c>
      <c r="DD89" s="93" t="e">
        <v>#REF!</v>
      </c>
      <c r="DF89" s="39" t="e">
        <f t="shared" si="90"/>
        <v>#REF!</v>
      </c>
      <c r="DG89" s="93" t="e">
        <v>#REF!</v>
      </c>
      <c r="DH89" s="93" t="e">
        <v>#REF!</v>
      </c>
      <c r="DI89" s="93" t="e">
        <v>#REF!</v>
      </c>
      <c r="DJ89" s="93" t="e">
        <v>#REF!</v>
      </c>
      <c r="DK89" s="93"/>
      <c r="DL89" s="39" t="e">
        <f t="shared" si="91"/>
        <v>#REF!</v>
      </c>
      <c r="DM89" s="93" t="e">
        <v>#REF!</v>
      </c>
      <c r="DN89" s="93" t="e">
        <v>#REF!</v>
      </c>
      <c r="DO89" s="93" t="e">
        <v>#REF!</v>
      </c>
      <c r="DP89" s="93" t="e">
        <v>#REF!</v>
      </c>
    </row>
    <row r="90" spans="1:120" x14ac:dyDescent="0.3">
      <c r="A90" s="90" t="str">
        <f>name!C7</f>
        <v>Trade, accomod. and transport</v>
      </c>
      <c r="B90" s="39" t="e">
        <f t="shared" si="68"/>
        <v>#REF!</v>
      </c>
      <c r="C90" s="93" t="e">
        <v>#REF!</v>
      </c>
      <c r="D90" s="93" t="e">
        <v>#REF!</v>
      </c>
      <c r="E90" s="93" t="e">
        <v>#REF!</v>
      </c>
      <c r="F90" s="93" t="e">
        <v>#REF!</v>
      </c>
      <c r="H90" s="39" t="e">
        <f t="shared" si="69"/>
        <v>#REF!</v>
      </c>
      <c r="I90" s="93" t="e">
        <v>#REF!</v>
      </c>
      <c r="J90" s="93" t="e">
        <v>#REF!</v>
      </c>
      <c r="K90" s="93" t="e">
        <v>#REF!</v>
      </c>
      <c r="L90" s="93" t="e">
        <v>#REF!</v>
      </c>
      <c r="N90" s="39" t="e">
        <f t="shared" si="70"/>
        <v>#REF!</v>
      </c>
      <c r="O90" s="93" t="e">
        <v>#REF!</v>
      </c>
      <c r="P90" s="93" t="e">
        <v>#REF!</v>
      </c>
      <c r="Q90" s="93" t="e">
        <v>#REF!</v>
      </c>
      <c r="R90" s="93" t="e">
        <v>#REF!</v>
      </c>
      <c r="S90" s="93"/>
      <c r="T90" s="39" t="e">
        <f t="shared" si="71"/>
        <v>#REF!</v>
      </c>
      <c r="U90" s="93" t="e">
        <v>#REF!</v>
      </c>
      <c r="V90" s="93" t="e">
        <v>#REF!</v>
      </c>
      <c r="W90" s="93" t="e">
        <v>#REF!</v>
      </c>
      <c r="X90" s="93" t="e">
        <v>#REF!</v>
      </c>
      <c r="Y90" s="90" t="str">
        <f t="shared" si="72"/>
        <v>Trade, accomod. and transport</v>
      </c>
      <c r="Z90" s="39" t="e">
        <f t="shared" si="73"/>
        <v>#REF!</v>
      </c>
      <c r="AA90" s="93" t="e">
        <v>#REF!</v>
      </c>
      <c r="AB90" s="93" t="e">
        <v>#REF!</v>
      </c>
      <c r="AC90" s="93" t="e">
        <v>#REF!</v>
      </c>
      <c r="AD90" s="93" t="e">
        <v>#REF!</v>
      </c>
      <c r="AF90" s="39" t="e">
        <f t="shared" si="74"/>
        <v>#REF!</v>
      </c>
      <c r="AG90" s="93" t="e">
        <v>#REF!</v>
      </c>
      <c r="AH90" s="93" t="e">
        <v>#REF!</v>
      </c>
      <c r="AI90" s="93" t="e">
        <v>#REF!</v>
      </c>
      <c r="AJ90" s="93" t="e">
        <v>#REF!</v>
      </c>
      <c r="AL90" s="39" t="e">
        <f t="shared" si="75"/>
        <v>#REF!</v>
      </c>
      <c r="AM90" s="93" t="e">
        <v>#REF!</v>
      </c>
      <c r="AN90" s="93" t="e">
        <v>#REF!</v>
      </c>
      <c r="AO90" s="93" t="e">
        <v>#REF!</v>
      </c>
      <c r="AP90" s="93" t="e">
        <v>#REF!</v>
      </c>
      <c r="AQ90" s="93"/>
      <c r="AR90" s="39" t="e">
        <f t="shared" si="76"/>
        <v>#REF!</v>
      </c>
      <c r="AS90" s="93" t="e">
        <v>#REF!</v>
      </c>
      <c r="AT90" s="93" t="e">
        <v>#REF!</v>
      </c>
      <c r="AU90" s="93" t="e">
        <v>#REF!</v>
      </c>
      <c r="AV90" s="93" t="e">
        <v>#REF!</v>
      </c>
      <c r="AW90" s="90" t="str">
        <f t="shared" si="77"/>
        <v>Trade, accomod. and transport</v>
      </c>
      <c r="AX90" s="39" t="e">
        <f t="shared" si="78"/>
        <v>#REF!</v>
      </c>
      <c r="AY90" s="93" t="e">
        <v>#REF!</v>
      </c>
      <c r="AZ90" s="93" t="e">
        <v>#REF!</v>
      </c>
      <c r="BA90" s="93" t="e">
        <v>#REF!</v>
      </c>
      <c r="BB90" s="93" t="e">
        <v>#REF!</v>
      </c>
      <c r="BD90" s="39" t="e">
        <f t="shared" si="79"/>
        <v>#REF!</v>
      </c>
      <c r="BE90" s="93" t="e">
        <v>#REF!</v>
      </c>
      <c r="BF90" s="93" t="e">
        <v>#REF!</v>
      </c>
      <c r="BG90" s="93" t="e">
        <v>#REF!</v>
      </c>
      <c r="BH90" s="93" t="e">
        <v>#REF!</v>
      </c>
      <c r="BJ90" s="39" t="e">
        <f t="shared" si="80"/>
        <v>#REF!</v>
      </c>
      <c r="BK90" s="93" t="e">
        <v>#REF!</v>
      </c>
      <c r="BL90" s="93" t="e">
        <v>#REF!</v>
      </c>
      <c r="BM90" s="93" t="e">
        <v>#REF!</v>
      </c>
      <c r="BN90" s="93" t="e">
        <v>#REF!</v>
      </c>
      <c r="BO90" s="93"/>
      <c r="BP90" s="39" t="e">
        <f t="shared" si="81"/>
        <v>#REF!</v>
      </c>
      <c r="BQ90" s="93" t="e">
        <v>#REF!</v>
      </c>
      <c r="BR90" s="93" t="e">
        <v>#REF!</v>
      </c>
      <c r="BS90" s="93" t="e">
        <v>#REF!</v>
      </c>
      <c r="BT90" s="93" t="e">
        <v>#REF!</v>
      </c>
      <c r="BU90" s="90" t="str">
        <f t="shared" si="82"/>
        <v>Trade, accomod. and transport</v>
      </c>
      <c r="BV90" s="39" t="e">
        <f t="shared" si="83"/>
        <v>#REF!</v>
      </c>
      <c r="BW90" s="93" t="e">
        <v>#REF!</v>
      </c>
      <c r="BX90" s="93" t="e">
        <v>#REF!</v>
      </c>
      <c r="BY90" s="93" t="e">
        <v>#REF!</v>
      </c>
      <c r="BZ90" s="93" t="e">
        <v>#REF!</v>
      </c>
      <c r="CB90" s="39" t="e">
        <f t="shared" si="84"/>
        <v>#REF!</v>
      </c>
      <c r="CC90" s="93" t="e">
        <v>#REF!</v>
      </c>
      <c r="CD90" s="93" t="e">
        <v>#REF!</v>
      </c>
      <c r="CE90" s="93" t="e">
        <v>#REF!</v>
      </c>
      <c r="CF90" s="93" t="e">
        <v>#REF!</v>
      </c>
      <c r="CH90" s="39" t="e">
        <f t="shared" si="85"/>
        <v>#REF!</v>
      </c>
      <c r="CI90" s="93" t="e">
        <v>#REF!</v>
      </c>
      <c r="CJ90" s="93" t="e">
        <v>#REF!</v>
      </c>
      <c r="CK90" s="93" t="e">
        <v>#REF!</v>
      </c>
      <c r="CL90" s="93" t="e">
        <v>#REF!</v>
      </c>
      <c r="CM90" s="93"/>
      <c r="CN90" s="39" t="e">
        <f t="shared" si="86"/>
        <v>#REF!</v>
      </c>
      <c r="CO90" s="93" t="e">
        <v>#REF!</v>
      </c>
      <c r="CP90" s="93" t="e">
        <v>#REF!</v>
      </c>
      <c r="CQ90" s="93" t="e">
        <v>#REF!</v>
      </c>
      <c r="CR90" s="93" t="e">
        <v>#REF!</v>
      </c>
      <c r="CS90" s="90" t="str">
        <f t="shared" si="87"/>
        <v>Trade, accomod. and transport</v>
      </c>
      <c r="CT90" s="39" t="e">
        <f t="shared" si="88"/>
        <v>#REF!</v>
      </c>
      <c r="CU90" s="93" t="e">
        <v>#REF!</v>
      </c>
      <c r="CV90" s="93" t="e">
        <v>#REF!</v>
      </c>
      <c r="CW90" s="93" t="e">
        <v>#REF!</v>
      </c>
      <c r="CX90" s="93" t="e">
        <v>#REF!</v>
      </c>
      <c r="CZ90" s="39" t="e">
        <f t="shared" si="89"/>
        <v>#REF!</v>
      </c>
      <c r="DA90" s="93" t="e">
        <v>#REF!</v>
      </c>
      <c r="DB90" s="93" t="e">
        <v>#REF!</v>
      </c>
      <c r="DC90" s="93" t="e">
        <v>#REF!</v>
      </c>
      <c r="DD90" s="93" t="e">
        <v>#REF!</v>
      </c>
      <c r="DF90" s="39" t="e">
        <f t="shared" si="90"/>
        <v>#REF!</v>
      </c>
      <c r="DG90" s="93" t="e">
        <v>#REF!</v>
      </c>
      <c r="DH90" s="93" t="e">
        <v>#REF!</v>
      </c>
      <c r="DI90" s="93" t="e">
        <v>#REF!</v>
      </c>
      <c r="DJ90" s="93" t="e">
        <v>#REF!</v>
      </c>
      <c r="DK90" s="93"/>
      <c r="DL90" s="39" t="e">
        <f t="shared" si="91"/>
        <v>#REF!</v>
      </c>
      <c r="DM90" s="93" t="e">
        <v>#REF!</v>
      </c>
      <c r="DN90" s="93" t="e">
        <v>#REF!</v>
      </c>
      <c r="DO90" s="93" t="e">
        <v>#REF!</v>
      </c>
      <c r="DP90" s="93" t="e">
        <v>#REF!</v>
      </c>
    </row>
    <row r="91" spans="1:120" x14ac:dyDescent="0.3">
      <c r="A91" s="90" t="str">
        <f>name!C8</f>
        <v>Business and other services</v>
      </c>
      <c r="B91" s="39" t="e">
        <f t="shared" si="68"/>
        <v>#REF!</v>
      </c>
      <c r="C91" s="93" t="e">
        <v>#REF!</v>
      </c>
      <c r="D91" s="93" t="e">
        <v>#REF!</v>
      </c>
      <c r="E91" s="93" t="e">
        <v>#REF!</v>
      </c>
      <c r="F91" s="93" t="e">
        <v>#REF!</v>
      </c>
      <c r="H91" s="39" t="e">
        <f t="shared" si="69"/>
        <v>#REF!</v>
      </c>
      <c r="I91" s="93" t="e">
        <v>#REF!</v>
      </c>
      <c r="J91" s="93" t="e">
        <v>#REF!</v>
      </c>
      <c r="K91" s="93" t="e">
        <v>#REF!</v>
      </c>
      <c r="L91" s="93" t="e">
        <v>#REF!</v>
      </c>
      <c r="N91" s="39" t="e">
        <f t="shared" si="70"/>
        <v>#REF!</v>
      </c>
      <c r="O91" s="93" t="e">
        <v>#REF!</v>
      </c>
      <c r="P91" s="93" t="e">
        <v>#REF!</v>
      </c>
      <c r="Q91" s="93" t="e">
        <v>#REF!</v>
      </c>
      <c r="R91" s="93" t="e">
        <v>#REF!</v>
      </c>
      <c r="S91" s="93"/>
      <c r="T91" s="39" t="e">
        <f t="shared" si="71"/>
        <v>#REF!</v>
      </c>
      <c r="U91" s="93" t="e">
        <v>#REF!</v>
      </c>
      <c r="V91" s="93" t="e">
        <v>#REF!</v>
      </c>
      <c r="W91" s="93" t="e">
        <v>#REF!</v>
      </c>
      <c r="X91" s="93" t="e">
        <v>#REF!</v>
      </c>
      <c r="Y91" s="90" t="str">
        <f t="shared" si="72"/>
        <v>Business and other services</v>
      </c>
      <c r="Z91" s="39" t="e">
        <f t="shared" si="73"/>
        <v>#REF!</v>
      </c>
      <c r="AA91" s="93" t="e">
        <v>#REF!</v>
      </c>
      <c r="AB91" s="93" t="e">
        <v>#REF!</v>
      </c>
      <c r="AC91" s="93" t="e">
        <v>#REF!</v>
      </c>
      <c r="AD91" s="93" t="e">
        <v>#REF!</v>
      </c>
      <c r="AF91" s="39" t="e">
        <f t="shared" si="74"/>
        <v>#REF!</v>
      </c>
      <c r="AG91" s="93" t="e">
        <v>#REF!</v>
      </c>
      <c r="AH91" s="93" t="e">
        <v>#REF!</v>
      </c>
      <c r="AI91" s="93" t="e">
        <v>#REF!</v>
      </c>
      <c r="AJ91" s="93" t="e">
        <v>#REF!</v>
      </c>
      <c r="AL91" s="39" t="e">
        <f t="shared" si="75"/>
        <v>#REF!</v>
      </c>
      <c r="AM91" s="93" t="e">
        <v>#REF!</v>
      </c>
      <c r="AN91" s="93" t="e">
        <v>#REF!</v>
      </c>
      <c r="AO91" s="93" t="e">
        <v>#REF!</v>
      </c>
      <c r="AP91" s="93" t="e">
        <v>#REF!</v>
      </c>
      <c r="AQ91" s="93"/>
      <c r="AR91" s="39" t="e">
        <f t="shared" si="76"/>
        <v>#REF!</v>
      </c>
      <c r="AS91" s="93" t="e">
        <v>#REF!</v>
      </c>
      <c r="AT91" s="93" t="e">
        <v>#REF!</v>
      </c>
      <c r="AU91" s="93" t="e">
        <v>#REF!</v>
      </c>
      <c r="AV91" s="93" t="e">
        <v>#REF!</v>
      </c>
      <c r="AW91" s="90" t="str">
        <f t="shared" si="77"/>
        <v>Business and other services</v>
      </c>
      <c r="AX91" s="39" t="e">
        <f t="shared" si="78"/>
        <v>#REF!</v>
      </c>
      <c r="AY91" s="93" t="e">
        <v>#REF!</v>
      </c>
      <c r="AZ91" s="93" t="e">
        <v>#REF!</v>
      </c>
      <c r="BA91" s="93" t="e">
        <v>#REF!</v>
      </c>
      <c r="BB91" s="93" t="e">
        <v>#REF!</v>
      </c>
      <c r="BD91" s="39" t="e">
        <f t="shared" si="79"/>
        <v>#REF!</v>
      </c>
      <c r="BE91" s="93" t="e">
        <v>#REF!</v>
      </c>
      <c r="BF91" s="93" t="e">
        <v>#REF!</v>
      </c>
      <c r="BG91" s="93" t="e">
        <v>#REF!</v>
      </c>
      <c r="BH91" s="93" t="e">
        <v>#REF!</v>
      </c>
      <c r="BJ91" s="39" t="e">
        <f t="shared" si="80"/>
        <v>#REF!</v>
      </c>
      <c r="BK91" s="93" t="e">
        <v>#REF!</v>
      </c>
      <c r="BL91" s="93" t="e">
        <v>#REF!</v>
      </c>
      <c r="BM91" s="93" t="e">
        <v>#REF!</v>
      </c>
      <c r="BN91" s="93" t="e">
        <v>#REF!</v>
      </c>
      <c r="BO91" s="93"/>
      <c r="BP91" s="39" t="e">
        <f t="shared" si="81"/>
        <v>#REF!</v>
      </c>
      <c r="BQ91" s="93" t="e">
        <v>#REF!</v>
      </c>
      <c r="BR91" s="93" t="e">
        <v>#REF!</v>
      </c>
      <c r="BS91" s="93" t="e">
        <v>#REF!</v>
      </c>
      <c r="BT91" s="93" t="e">
        <v>#REF!</v>
      </c>
      <c r="BU91" s="90" t="str">
        <f t="shared" si="82"/>
        <v>Business and other services</v>
      </c>
      <c r="BV91" s="39" t="e">
        <f t="shared" si="83"/>
        <v>#REF!</v>
      </c>
      <c r="BW91" s="93" t="e">
        <v>#REF!</v>
      </c>
      <c r="BX91" s="93" t="e">
        <v>#REF!</v>
      </c>
      <c r="BY91" s="93" t="e">
        <v>#REF!</v>
      </c>
      <c r="BZ91" s="93" t="e">
        <v>#REF!</v>
      </c>
      <c r="CB91" s="39" t="e">
        <f t="shared" si="84"/>
        <v>#REF!</v>
      </c>
      <c r="CC91" s="93" t="e">
        <v>#REF!</v>
      </c>
      <c r="CD91" s="93" t="e">
        <v>#REF!</v>
      </c>
      <c r="CE91" s="93" t="e">
        <v>#REF!</v>
      </c>
      <c r="CF91" s="93" t="e">
        <v>#REF!</v>
      </c>
      <c r="CH91" s="39" t="e">
        <f t="shared" si="85"/>
        <v>#REF!</v>
      </c>
      <c r="CI91" s="93" t="e">
        <v>#REF!</v>
      </c>
      <c r="CJ91" s="93" t="e">
        <v>#REF!</v>
      </c>
      <c r="CK91" s="93" t="e">
        <v>#REF!</v>
      </c>
      <c r="CL91" s="93" t="e">
        <v>#REF!</v>
      </c>
      <c r="CM91" s="93"/>
      <c r="CN91" s="39" t="e">
        <f t="shared" si="86"/>
        <v>#REF!</v>
      </c>
      <c r="CO91" s="93" t="e">
        <v>#REF!</v>
      </c>
      <c r="CP91" s="93" t="e">
        <v>#REF!</v>
      </c>
      <c r="CQ91" s="93" t="e">
        <v>#REF!</v>
      </c>
      <c r="CR91" s="93" t="e">
        <v>#REF!</v>
      </c>
      <c r="CS91" s="90" t="str">
        <f t="shared" si="87"/>
        <v>Business and other services</v>
      </c>
      <c r="CT91" s="39" t="e">
        <f t="shared" si="88"/>
        <v>#REF!</v>
      </c>
      <c r="CU91" s="93" t="e">
        <v>#REF!</v>
      </c>
      <c r="CV91" s="93" t="e">
        <v>#REF!</v>
      </c>
      <c r="CW91" s="93" t="e">
        <v>#REF!</v>
      </c>
      <c r="CX91" s="93" t="e">
        <v>#REF!</v>
      </c>
      <c r="CZ91" s="39" t="e">
        <f t="shared" si="89"/>
        <v>#REF!</v>
      </c>
      <c r="DA91" s="93" t="e">
        <v>#REF!</v>
      </c>
      <c r="DB91" s="93" t="e">
        <v>#REF!</v>
      </c>
      <c r="DC91" s="93" t="e">
        <v>#REF!</v>
      </c>
      <c r="DD91" s="93" t="e">
        <v>#REF!</v>
      </c>
      <c r="DF91" s="39" t="e">
        <f t="shared" si="90"/>
        <v>#REF!</v>
      </c>
      <c r="DG91" s="93" t="e">
        <v>#REF!</v>
      </c>
      <c r="DH91" s="93" t="e">
        <v>#REF!</v>
      </c>
      <c r="DI91" s="93" t="e">
        <v>#REF!</v>
      </c>
      <c r="DJ91" s="93" t="e">
        <v>#REF!</v>
      </c>
      <c r="DK91" s="93"/>
      <c r="DL91" s="39" t="e">
        <f t="shared" si="91"/>
        <v>#REF!</v>
      </c>
      <c r="DM91" s="93" t="e">
        <v>#REF!</v>
      </c>
      <c r="DN91" s="93" t="e">
        <v>#REF!</v>
      </c>
      <c r="DO91" s="93" t="e">
        <v>#REF!</v>
      </c>
      <c r="DP91" s="93" t="e">
        <v>#REF!</v>
      </c>
    </row>
    <row r="92" spans="1:120" x14ac:dyDescent="0.3">
      <c r="A92" s="90" t="str">
        <f>name!C9</f>
        <v>Non-marketed services</v>
      </c>
      <c r="B92" s="39" t="e">
        <f t="shared" si="68"/>
        <v>#REF!</v>
      </c>
      <c r="C92" s="93" t="e">
        <v>#REF!</v>
      </c>
      <c r="D92" s="93" t="e">
        <v>#REF!</v>
      </c>
      <c r="E92" s="93" t="e">
        <v>#REF!</v>
      </c>
      <c r="F92" s="93" t="e">
        <v>#REF!</v>
      </c>
      <c r="H92" s="39" t="e">
        <f t="shared" si="69"/>
        <v>#REF!</v>
      </c>
      <c r="I92" s="93" t="e">
        <v>#REF!</v>
      </c>
      <c r="J92" s="93" t="e">
        <v>#REF!</v>
      </c>
      <c r="K92" s="93" t="e">
        <v>#REF!</v>
      </c>
      <c r="L92" s="93" t="e">
        <v>#REF!</v>
      </c>
      <c r="N92" s="39" t="e">
        <f t="shared" si="70"/>
        <v>#REF!</v>
      </c>
      <c r="O92" s="93" t="e">
        <v>#REF!</v>
      </c>
      <c r="P92" s="93" t="e">
        <v>#REF!</v>
      </c>
      <c r="Q92" s="93" t="e">
        <v>#REF!</v>
      </c>
      <c r="R92" s="93" t="e">
        <v>#REF!</v>
      </c>
      <c r="S92" s="93"/>
      <c r="T92" s="39" t="e">
        <f t="shared" si="71"/>
        <v>#REF!</v>
      </c>
      <c r="U92" s="93" t="e">
        <v>#REF!</v>
      </c>
      <c r="V92" s="93" t="e">
        <v>#REF!</v>
      </c>
      <c r="W92" s="93" t="e">
        <v>#REF!</v>
      </c>
      <c r="X92" s="93" t="e">
        <v>#REF!</v>
      </c>
      <c r="Y92" s="90" t="str">
        <f t="shared" si="72"/>
        <v>Non-marketed services</v>
      </c>
      <c r="Z92" s="39" t="e">
        <f t="shared" si="73"/>
        <v>#REF!</v>
      </c>
      <c r="AA92" s="93" t="e">
        <v>#REF!</v>
      </c>
      <c r="AB92" s="93" t="e">
        <v>#REF!</v>
      </c>
      <c r="AC92" s="93" t="e">
        <v>#REF!</v>
      </c>
      <c r="AD92" s="93" t="e">
        <v>#REF!</v>
      </c>
      <c r="AF92" s="39" t="e">
        <f t="shared" si="74"/>
        <v>#REF!</v>
      </c>
      <c r="AG92" s="93" t="e">
        <v>#REF!</v>
      </c>
      <c r="AH92" s="93" t="e">
        <v>#REF!</v>
      </c>
      <c r="AI92" s="93" t="e">
        <v>#REF!</v>
      </c>
      <c r="AJ92" s="93" t="e">
        <v>#REF!</v>
      </c>
      <c r="AL92" s="39" t="e">
        <f t="shared" si="75"/>
        <v>#REF!</v>
      </c>
      <c r="AM92" s="93" t="e">
        <v>#REF!</v>
      </c>
      <c r="AN92" s="93" t="e">
        <v>#REF!</v>
      </c>
      <c r="AO92" s="93" t="e">
        <v>#REF!</v>
      </c>
      <c r="AP92" s="93" t="e">
        <v>#REF!</v>
      </c>
      <c r="AQ92" s="93"/>
      <c r="AR92" s="39" t="e">
        <f t="shared" si="76"/>
        <v>#REF!</v>
      </c>
      <c r="AS92" s="93" t="e">
        <v>#REF!</v>
      </c>
      <c r="AT92" s="93" t="e">
        <v>#REF!</v>
      </c>
      <c r="AU92" s="93" t="e">
        <v>#REF!</v>
      </c>
      <c r="AV92" s="93" t="e">
        <v>#REF!</v>
      </c>
      <c r="AW92" s="90" t="str">
        <f t="shared" si="77"/>
        <v>Non-marketed services</v>
      </c>
      <c r="AX92" s="39" t="e">
        <f t="shared" si="78"/>
        <v>#REF!</v>
      </c>
      <c r="AY92" s="93" t="e">
        <v>#REF!</v>
      </c>
      <c r="AZ92" s="93" t="e">
        <v>#REF!</v>
      </c>
      <c r="BA92" s="93" t="e">
        <v>#REF!</v>
      </c>
      <c r="BB92" s="93" t="e">
        <v>#REF!</v>
      </c>
      <c r="BD92" s="39" t="e">
        <f t="shared" si="79"/>
        <v>#REF!</v>
      </c>
      <c r="BE92" s="93" t="e">
        <v>#REF!</v>
      </c>
      <c r="BF92" s="93" t="e">
        <v>#REF!</v>
      </c>
      <c r="BG92" s="93" t="e">
        <v>#REF!</v>
      </c>
      <c r="BH92" s="93" t="e">
        <v>#REF!</v>
      </c>
      <c r="BJ92" s="39" t="e">
        <f t="shared" si="80"/>
        <v>#REF!</v>
      </c>
      <c r="BK92" s="93" t="e">
        <v>#REF!</v>
      </c>
      <c r="BL92" s="93" t="e">
        <v>#REF!</v>
      </c>
      <c r="BM92" s="93" t="e">
        <v>#REF!</v>
      </c>
      <c r="BN92" s="93" t="e">
        <v>#REF!</v>
      </c>
      <c r="BO92" s="93"/>
      <c r="BP92" s="39" t="e">
        <f t="shared" si="81"/>
        <v>#REF!</v>
      </c>
      <c r="BQ92" s="93" t="e">
        <v>#REF!</v>
      </c>
      <c r="BR92" s="93" t="e">
        <v>#REF!</v>
      </c>
      <c r="BS92" s="93" t="e">
        <v>#REF!</v>
      </c>
      <c r="BT92" s="93" t="e">
        <v>#REF!</v>
      </c>
      <c r="BU92" s="90" t="str">
        <f t="shared" si="82"/>
        <v>Non-marketed services</v>
      </c>
      <c r="BV92" s="39" t="e">
        <f t="shared" si="83"/>
        <v>#REF!</v>
      </c>
      <c r="BW92" s="93" t="e">
        <v>#REF!</v>
      </c>
      <c r="BX92" s="93" t="e">
        <v>#REF!</v>
      </c>
      <c r="BY92" s="93" t="e">
        <v>#REF!</v>
      </c>
      <c r="BZ92" s="93" t="e">
        <v>#REF!</v>
      </c>
      <c r="CB92" s="39" t="e">
        <f t="shared" si="84"/>
        <v>#REF!</v>
      </c>
      <c r="CC92" s="93" t="e">
        <v>#REF!</v>
      </c>
      <c r="CD92" s="93" t="e">
        <v>#REF!</v>
      </c>
      <c r="CE92" s="93" t="e">
        <v>#REF!</v>
      </c>
      <c r="CF92" s="93" t="e">
        <v>#REF!</v>
      </c>
      <c r="CH92" s="39" t="e">
        <f t="shared" si="85"/>
        <v>#REF!</v>
      </c>
      <c r="CI92" s="93" t="e">
        <v>#REF!</v>
      </c>
      <c r="CJ92" s="93" t="e">
        <v>#REF!</v>
      </c>
      <c r="CK92" s="93" t="e">
        <v>#REF!</v>
      </c>
      <c r="CL92" s="93" t="e">
        <v>#REF!</v>
      </c>
      <c r="CM92" s="93"/>
      <c r="CN92" s="39" t="e">
        <f t="shared" si="86"/>
        <v>#REF!</v>
      </c>
      <c r="CO92" s="93" t="e">
        <v>#REF!</v>
      </c>
      <c r="CP92" s="93" t="e">
        <v>#REF!</v>
      </c>
      <c r="CQ92" s="93" t="e">
        <v>#REF!</v>
      </c>
      <c r="CR92" s="93" t="e">
        <v>#REF!</v>
      </c>
      <c r="CS92" s="90" t="str">
        <f t="shared" si="87"/>
        <v>Non-marketed services</v>
      </c>
      <c r="CT92" s="39" t="e">
        <f t="shared" si="88"/>
        <v>#REF!</v>
      </c>
      <c r="CU92" s="93" t="e">
        <v>#REF!</v>
      </c>
      <c r="CV92" s="93" t="e">
        <v>#REF!</v>
      </c>
      <c r="CW92" s="93" t="e">
        <v>#REF!</v>
      </c>
      <c r="CX92" s="93" t="e">
        <v>#REF!</v>
      </c>
      <c r="CZ92" s="39" t="e">
        <f t="shared" si="89"/>
        <v>#REF!</v>
      </c>
      <c r="DA92" s="93" t="e">
        <v>#REF!</v>
      </c>
      <c r="DB92" s="93" t="e">
        <v>#REF!</v>
      </c>
      <c r="DC92" s="93" t="e">
        <v>#REF!</v>
      </c>
      <c r="DD92" s="93" t="e">
        <v>#REF!</v>
      </c>
      <c r="DF92" s="39" t="e">
        <f t="shared" si="90"/>
        <v>#REF!</v>
      </c>
      <c r="DG92" s="93" t="e">
        <v>#REF!</v>
      </c>
      <c r="DH92" s="93" t="e">
        <v>#REF!</v>
      </c>
      <c r="DI92" s="93" t="e">
        <v>#REF!</v>
      </c>
      <c r="DJ92" s="93" t="e">
        <v>#REF!</v>
      </c>
      <c r="DK92" s="93"/>
      <c r="DL92" s="39" t="e">
        <f t="shared" si="91"/>
        <v>#REF!</v>
      </c>
      <c r="DM92" s="93" t="e">
        <v>#REF!</v>
      </c>
      <c r="DN92" s="93" t="e">
        <v>#REF!</v>
      </c>
      <c r="DO92" s="93" t="e">
        <v>#REF!</v>
      </c>
      <c r="DP92" s="93" t="e">
        <v>#REF!</v>
      </c>
    </row>
    <row r="93" spans="1:120" x14ac:dyDescent="0.3">
      <c r="B93" s="39"/>
      <c r="C93" s="93"/>
      <c r="D93" s="93"/>
      <c r="E93" s="93"/>
      <c r="F93" s="93"/>
      <c r="H93" s="39"/>
      <c r="I93" s="93"/>
      <c r="J93" s="93"/>
      <c r="K93" s="93"/>
      <c r="L93" s="93"/>
      <c r="N93" s="39"/>
      <c r="O93" s="93"/>
      <c r="P93" s="93"/>
      <c r="Q93" s="93"/>
      <c r="R93" s="93"/>
      <c r="S93" s="93"/>
      <c r="T93" s="39"/>
      <c r="U93" s="93"/>
      <c r="V93" s="93"/>
      <c r="W93" s="93"/>
      <c r="X93" s="93"/>
      <c r="Z93" s="39"/>
      <c r="AA93" s="93"/>
      <c r="AB93" s="93"/>
      <c r="AC93" s="93"/>
      <c r="AD93" s="93"/>
      <c r="AF93" s="39"/>
      <c r="AG93" s="93"/>
      <c r="AH93" s="93"/>
      <c r="AI93" s="93"/>
      <c r="AJ93" s="93"/>
      <c r="AL93" s="39"/>
      <c r="AM93" s="93"/>
      <c r="AN93" s="93"/>
      <c r="AO93" s="93"/>
      <c r="AP93" s="93"/>
      <c r="AQ93" s="93"/>
      <c r="AR93" s="39"/>
      <c r="AS93" s="93"/>
      <c r="AT93" s="93"/>
      <c r="AU93" s="93"/>
      <c r="AV93" s="93"/>
      <c r="AX93" s="39"/>
      <c r="AY93" s="93"/>
      <c r="AZ93" s="93"/>
      <c r="BA93" s="93"/>
      <c r="BB93" s="93"/>
      <c r="BD93" s="39"/>
      <c r="BE93" s="93"/>
      <c r="BF93" s="93"/>
      <c r="BG93" s="93"/>
      <c r="BH93" s="93"/>
      <c r="BJ93" s="39"/>
      <c r="BK93" s="93"/>
      <c r="BL93" s="93"/>
      <c r="BM93" s="93"/>
      <c r="BN93" s="93"/>
      <c r="BO93" s="93"/>
      <c r="BP93" s="39"/>
      <c r="BQ93" s="93"/>
      <c r="BR93" s="93"/>
      <c r="BS93" s="93"/>
      <c r="BT93" s="93"/>
      <c r="BV93" s="39"/>
      <c r="BW93" s="93"/>
      <c r="BX93" s="93"/>
      <c r="BY93" s="93"/>
      <c r="BZ93" s="93"/>
      <c r="CB93" s="39"/>
      <c r="CC93" s="93"/>
      <c r="CD93" s="93"/>
      <c r="CE93" s="93"/>
      <c r="CF93" s="93"/>
      <c r="CH93" s="39"/>
      <c r="CI93" s="93"/>
      <c r="CJ93" s="93"/>
      <c r="CK93" s="93"/>
      <c r="CL93" s="93"/>
      <c r="CM93" s="93"/>
      <c r="CN93" s="39"/>
      <c r="CO93" s="93"/>
      <c r="CP93" s="93"/>
      <c r="CQ93" s="93"/>
      <c r="CR93" s="93"/>
      <c r="CT93" s="39"/>
      <c r="CU93" s="93"/>
      <c r="CV93" s="93"/>
      <c r="CW93" s="93"/>
      <c r="CX93" s="93"/>
      <c r="CZ93" s="39"/>
      <c r="DA93" s="93"/>
      <c r="DB93" s="93"/>
      <c r="DC93" s="93"/>
      <c r="DD93" s="93"/>
      <c r="DF93" s="39"/>
      <c r="DG93" s="93"/>
      <c r="DH93" s="93"/>
      <c r="DI93" s="93"/>
      <c r="DJ93" s="93"/>
      <c r="DK93" s="93"/>
      <c r="DL93" s="39"/>
      <c r="DM93" s="93"/>
      <c r="DN93" s="93"/>
      <c r="DO93" s="93"/>
      <c r="DP93" s="93"/>
    </row>
    <row r="94" spans="1:120" x14ac:dyDescent="0.3">
      <c r="A94" s="90" t="str">
        <f>name!C3</f>
        <v>All industries</v>
      </c>
      <c r="B94" s="39">
        <f t="shared" si="68"/>
        <v>2.7912372459239387</v>
      </c>
      <c r="C94" s="93">
        <f>C50</f>
        <v>4561.2992279926211</v>
      </c>
      <c r="D94" s="93">
        <f>D50</f>
        <v>431.97496524334053</v>
      </c>
      <c r="E94" s="93">
        <f>E50</f>
        <v>1445.5882710202891</v>
      </c>
      <c r="F94" s="93">
        <f>F50</f>
        <v>1877.5632362636297</v>
      </c>
      <c r="H94" s="39">
        <f t="shared" si="69"/>
        <v>2.6517730789267446</v>
      </c>
      <c r="I94" s="93">
        <f>I50</f>
        <v>774.77767553257945</v>
      </c>
      <c r="J94" s="93">
        <f>J50</f>
        <v>-90.9176985646708</v>
      </c>
      <c r="K94" s="93">
        <f>K50</f>
        <v>231.78692033646578</v>
      </c>
      <c r="L94" s="93">
        <f>L50</f>
        <v>140.86922177179497</v>
      </c>
      <c r="N94" s="39">
        <f t="shared" si="70"/>
        <v>2.6893242464146816</v>
      </c>
      <c r="O94" s="93">
        <f>O50</f>
        <v>1810.6123702397726</v>
      </c>
      <c r="P94" s="93">
        <f>P50</f>
        <v>208.84741372398935</v>
      </c>
      <c r="Q94" s="93">
        <f>Q50</f>
        <v>550.29225403969679</v>
      </c>
      <c r="R94" s="93">
        <f>R50</f>
        <v>759.13966776368613</v>
      </c>
      <c r="S94" s="93"/>
      <c r="T94" s="39">
        <f t="shared" si="71"/>
        <v>2.9376202991175049</v>
      </c>
      <c r="U94" s="93">
        <f>U50</f>
        <v>1975.9091822202711</v>
      </c>
      <c r="V94" s="93">
        <f>V50</f>
        <v>314.04525008402186</v>
      </c>
      <c r="W94" s="93">
        <f>W50</f>
        <v>663.50909664412427</v>
      </c>
      <c r="X94" s="93">
        <f>X50</f>
        <v>977.55434672814613</v>
      </c>
      <c r="Y94" s="91" t="str">
        <f>A94</f>
        <v>All industries</v>
      </c>
      <c r="Z94" s="39">
        <f>IF(AA94&gt;0,((1+(AC94/AA94))^(1/($A$101-$A$100))-1)*100,0)</f>
        <v>2.9771972098236787</v>
      </c>
      <c r="AA94" s="93">
        <f>AA50</f>
        <v>2141.7348734083043</v>
      </c>
      <c r="AB94" s="93">
        <f>AB50</f>
        <v>328.18012130131888</v>
      </c>
      <c r="AC94" s="93">
        <f>AC50</f>
        <v>730.21185757939747</v>
      </c>
      <c r="AD94" s="93">
        <f>AD50</f>
        <v>1058.3919788807164</v>
      </c>
      <c r="AF94" s="39">
        <f>IF(AG94&gt;0,((1+(AI94/AG94))^(1/($A$101-$A$100))-1)*100,0)</f>
        <v>3.0280155732974823</v>
      </c>
      <c r="AG94" s="93">
        <f>AG50</f>
        <v>114.36183531349347</v>
      </c>
      <c r="AH94" s="93">
        <f>AH50</f>
        <v>10.806009020856356</v>
      </c>
      <c r="AI94" s="93">
        <f>AI50</f>
        <v>39.749458273691218</v>
      </c>
      <c r="AJ94" s="93">
        <f>AJ50</f>
        <v>50.555467294547576</v>
      </c>
      <c r="AL94" s="39">
        <f>IF(AM94&gt;0,((1+(AO94/AM94))^(1/($A$101-$A$100))-1)*100,0)</f>
        <v>2.9663353480916088</v>
      </c>
      <c r="AM94" s="93">
        <f>AM50</f>
        <v>484.03376220781502</v>
      </c>
      <c r="AN94" s="93">
        <f>AN50</f>
        <v>80.752171418150368</v>
      </c>
      <c r="AO94" s="93">
        <f>AO50</f>
        <v>164.34415782441963</v>
      </c>
      <c r="AP94" s="93">
        <f>AP50</f>
        <v>245.09632924256999</v>
      </c>
      <c r="AQ94" s="93"/>
      <c r="AR94" s="39">
        <f>IF(AS94&gt;0,((1+(AU94/AS94))^(1/($A$101-$A$100))-1)*100,0)</f>
        <v>2.9768281396108875</v>
      </c>
      <c r="AS94" s="93">
        <f>AS50</f>
        <v>1543.3392758869961</v>
      </c>
      <c r="AT94" s="93">
        <f>AT50</f>
        <v>236.62194086231219</v>
      </c>
      <c r="AU94" s="93">
        <f>AU50</f>
        <v>526.11824148128676</v>
      </c>
      <c r="AV94" s="93">
        <f>AV50</f>
        <v>762.74018234359892</v>
      </c>
      <c r="AW94" s="91" t="str">
        <f>Y94</f>
        <v>All industries</v>
      </c>
      <c r="AX94" s="39">
        <f>IF(AY94&gt;0,((1+(BA94/AY94))^(1/($A$101-$A$100))-1)*100,0)</f>
        <v>2.5960689907792656</v>
      </c>
      <c r="AY94" s="93">
        <f>AY50</f>
        <v>1169.4910110900296</v>
      </c>
      <c r="AZ94" s="93">
        <f>AZ50</f>
        <v>61.012733866251224</v>
      </c>
      <c r="BA94" s="93">
        <f>BA50</f>
        <v>341.64688672572964</v>
      </c>
      <c r="BB94" s="93">
        <f>BB50</f>
        <v>402.65962059198085</v>
      </c>
      <c r="BD94" s="39">
        <f>IF(BE94&gt;0,((1+(BG94/BE94))^(1/($A$101-$A$100))-1)*100,0)</f>
        <v>2.5108134589674425</v>
      </c>
      <c r="BE94" s="93">
        <f>BE50</f>
        <v>196.77997170605971</v>
      </c>
      <c r="BF94" s="93">
        <f>BF50</f>
        <v>-19.19988351079143</v>
      </c>
      <c r="BG94" s="93">
        <f>BG50</f>
        <v>55.380896948664599</v>
      </c>
      <c r="BH94" s="93">
        <f>BH50</f>
        <v>36.181013437873169</v>
      </c>
      <c r="BJ94" s="39">
        <f>IF(BK94&gt;0,((1+(BM94/BK94))^(1/($A$101-$A$100))-1)*100,0)</f>
        <v>2.5531077119064882</v>
      </c>
      <c r="BK94" s="93">
        <f>BK50</f>
        <v>650.12175377402275</v>
      </c>
      <c r="BL94" s="93">
        <f>BL50</f>
        <v>42.192712487148434</v>
      </c>
      <c r="BM94" s="93">
        <f>BM50</f>
        <v>186.41100647521165</v>
      </c>
      <c r="BN94" s="93">
        <f>BN50</f>
        <v>228.60371896236009</v>
      </c>
      <c r="BO94" s="93"/>
      <c r="BP94" s="39">
        <f>IF(BQ94&gt;0,((1+(BS94/BQ94))^(1/($A$101-$A$100))-1)*100,0)</f>
        <v>2.7334678665663192</v>
      </c>
      <c r="BQ94" s="93">
        <f>BQ50</f>
        <v>322.58928560994713</v>
      </c>
      <c r="BR94" s="93">
        <f>BR50</f>
        <v>38.019904889894228</v>
      </c>
      <c r="BS94" s="93">
        <f>BS50</f>
        <v>99.854983301853494</v>
      </c>
      <c r="BT94" s="93">
        <f>BT50</f>
        <v>137.87488819174771</v>
      </c>
      <c r="BU94" s="91" t="str">
        <f>AW94</f>
        <v>All industries</v>
      </c>
      <c r="BV94" s="39">
        <f>IF(BW94&gt;0,((1+(BY94/BW94))^(1/($A$101-$A$100))-1)*100,0)</f>
        <v>2.5889208699682698</v>
      </c>
      <c r="BW94" s="93">
        <f>BW50</f>
        <v>786.26148565798121</v>
      </c>
      <c r="BX94" s="93">
        <f>BX50</f>
        <v>-16.768227409449015</v>
      </c>
      <c r="BY94" s="93">
        <f>BY50</f>
        <v>228.98528730973825</v>
      </c>
      <c r="BZ94" s="93">
        <f>BZ50</f>
        <v>212.21705990028923</v>
      </c>
      <c r="CB94" s="39">
        <f>IF(CC94&gt;0,((1+(CE94/CC94))^(1/($A$101-$A$100))-1)*100,0)</f>
        <v>2.5278948366694864</v>
      </c>
      <c r="CC94" s="93">
        <f>CC50</f>
        <v>257.91842111045776</v>
      </c>
      <c r="CD94" s="93">
        <f>CD50</f>
        <v>-52.179148361626908</v>
      </c>
      <c r="CE94" s="93">
        <f>CE50</f>
        <v>73.138570554183204</v>
      </c>
      <c r="CF94" s="93">
        <f>CF50</f>
        <v>20.959422192556296</v>
      </c>
      <c r="CH94" s="39">
        <f>IF(CI94&gt;0,((1+(CK94/CI94))^(1/($A$101-$A$100))-1)*100,0)</f>
        <v>2.5655949055339189</v>
      </c>
      <c r="CI94" s="93">
        <f>CI50</f>
        <v>462.50112579230256</v>
      </c>
      <c r="CJ94" s="93">
        <f>CJ50</f>
        <v>18.263082416840735</v>
      </c>
      <c r="CK94" s="93">
        <f>CK50</f>
        <v>133.33911166207648</v>
      </c>
      <c r="CL94" s="93">
        <f>CL50</f>
        <v>151.60219407891722</v>
      </c>
      <c r="CM94" s="93"/>
      <c r="CN94" s="39">
        <f>IF(CO94&gt;0,((1+(CQ94/CO94))^(1/($A$101-$A$100))-1)*100,0)</f>
        <v>2.9840981402702971</v>
      </c>
      <c r="CO94" s="93">
        <f>CO50</f>
        <v>65.841938755220539</v>
      </c>
      <c r="CP94" s="93">
        <f>CP50</f>
        <v>17.147838535337179</v>
      </c>
      <c r="CQ94" s="93">
        <f>CQ50</f>
        <v>22.507605093478684</v>
      </c>
      <c r="CR94" s="93">
        <f>CR50</f>
        <v>39.65544362881586</v>
      </c>
      <c r="CS94" s="91" t="str">
        <f>BU94</f>
        <v>All industries</v>
      </c>
      <c r="CT94" s="39">
        <f>IF(CU94&gt;0,((1+(CW94/CU94))^(1/($A$101-$A$100))-1)*100,0)</f>
        <v>2.7533233225370157</v>
      </c>
      <c r="CU94" s="93">
        <f>CU50</f>
        <v>463.81185783630696</v>
      </c>
      <c r="CV94" s="93">
        <f>CV50</f>
        <v>59.550337485219423</v>
      </c>
      <c r="CW94" s="93">
        <f>CW50</f>
        <v>144.74423940542175</v>
      </c>
      <c r="CX94" s="93">
        <f>CX50</f>
        <v>204.29457689064117</v>
      </c>
      <c r="CZ94" s="39">
        <f>IF(DA94&gt;0,((1+(DC94/DA94))^(1/($A$101-$A$100))-1)*100,0)</f>
        <v>2.7273559755584653</v>
      </c>
      <c r="DA94" s="93">
        <f>DA50</f>
        <v>205.71744740256855</v>
      </c>
      <c r="DB94" s="93">
        <f>DB50</f>
        <v>-30.344675713108767</v>
      </c>
      <c r="DC94" s="93">
        <f>DC50</f>
        <v>63.517994559926827</v>
      </c>
      <c r="DD94" s="93">
        <f>DD50</f>
        <v>33.173318846818063</v>
      </c>
      <c r="DF94" s="39">
        <f>IF(DG94&gt;0,((1+(DI94/DG94))^(1/($A$101-$A$100))-1)*100,0)</f>
        <v>2.7323553670193235</v>
      </c>
      <c r="DG94" s="93">
        <f>DG50</f>
        <v>213.95572846563186</v>
      </c>
      <c r="DH94" s="93">
        <f>DH50</f>
        <v>67.639447401849822</v>
      </c>
      <c r="DI94" s="93">
        <f>DI50</f>
        <v>66.197978077989319</v>
      </c>
      <c r="DJ94" s="93">
        <f>DJ50</f>
        <v>133.83742547983914</v>
      </c>
      <c r="DK94" s="93"/>
      <c r="DL94" s="39">
        <f>IF(DM94&gt;0,((1+(DO94/DM94))^(1/($A$101-$A$100))-1)*100,0)</f>
        <v>2.9736201868302725</v>
      </c>
      <c r="DM94" s="93">
        <f>DM50</f>
        <v>44.13868196810671</v>
      </c>
      <c r="DN94" s="93">
        <f>DN50</f>
        <v>22.25556579647839</v>
      </c>
      <c r="DO94" s="93">
        <f>DO50</f>
        <v>15.028266767505601</v>
      </c>
      <c r="DP94" s="93">
        <f>DP50</f>
        <v>37.283832563983992</v>
      </c>
    </row>
    <row r="95" spans="1:120" x14ac:dyDescent="0.3">
      <c r="A95" s="95"/>
      <c r="B95" s="111"/>
      <c r="C95" s="111"/>
      <c r="D95" s="111"/>
      <c r="E95" s="111"/>
      <c r="F95" s="111"/>
      <c r="G95" s="95"/>
      <c r="H95" s="111"/>
      <c r="I95" s="111"/>
      <c r="J95" s="111"/>
      <c r="K95" s="111"/>
      <c r="L95" s="111"/>
      <c r="M95" s="95"/>
      <c r="N95" s="95"/>
      <c r="O95" s="111"/>
      <c r="P95" s="111"/>
      <c r="Q95" s="111"/>
      <c r="R95" s="111"/>
      <c r="S95" s="111"/>
      <c r="T95" s="95"/>
      <c r="U95" s="111"/>
      <c r="V95" s="111"/>
      <c r="W95" s="111"/>
      <c r="X95" s="111"/>
      <c r="Y95" s="95"/>
      <c r="Z95" s="111"/>
      <c r="AA95" s="111"/>
      <c r="AB95" s="111"/>
      <c r="AC95" s="111"/>
      <c r="AD95" s="111"/>
      <c r="AE95" s="95"/>
      <c r="AF95" s="111"/>
      <c r="AG95" s="111"/>
      <c r="AH95" s="111"/>
      <c r="AI95" s="111"/>
      <c r="AJ95" s="111"/>
      <c r="AK95" s="95"/>
      <c r="AL95" s="95"/>
      <c r="AM95" s="111"/>
      <c r="AN95" s="111"/>
      <c r="AO95" s="111"/>
      <c r="AP95" s="111"/>
      <c r="AQ95" s="111"/>
      <c r="AR95" s="95"/>
      <c r="AS95" s="111"/>
      <c r="AT95" s="111"/>
      <c r="AU95" s="111"/>
      <c r="AV95" s="111"/>
      <c r="AW95" s="95"/>
      <c r="AX95" s="111"/>
      <c r="AY95" s="111"/>
      <c r="AZ95" s="111"/>
      <c r="BA95" s="111"/>
      <c r="BB95" s="111"/>
      <c r="BC95" s="95"/>
      <c r="BD95" s="111"/>
      <c r="BE95" s="111"/>
      <c r="BF95" s="111"/>
      <c r="BG95" s="111"/>
      <c r="BH95" s="111"/>
      <c r="BI95" s="95"/>
      <c r="BJ95" s="95"/>
      <c r="BK95" s="111"/>
      <c r="BL95" s="111"/>
      <c r="BM95" s="111"/>
      <c r="BN95" s="111"/>
      <c r="BO95" s="111"/>
      <c r="BP95" s="95"/>
      <c r="BQ95" s="111"/>
      <c r="BR95" s="111"/>
      <c r="BS95" s="111"/>
      <c r="BT95" s="111"/>
      <c r="BU95" s="95"/>
      <c r="BV95" s="111"/>
      <c r="BW95" s="111"/>
      <c r="BX95" s="111"/>
      <c r="BY95" s="111"/>
      <c r="BZ95" s="111"/>
      <c r="CA95" s="95"/>
      <c r="CB95" s="111"/>
      <c r="CC95" s="111"/>
      <c r="CD95" s="111"/>
      <c r="CE95" s="111"/>
      <c r="CF95" s="111"/>
      <c r="CG95" s="95"/>
      <c r="CH95" s="95"/>
      <c r="CI95" s="111"/>
      <c r="CJ95" s="111"/>
      <c r="CK95" s="111"/>
      <c r="CL95" s="111"/>
      <c r="CM95" s="111"/>
      <c r="CN95" s="95"/>
      <c r="CO95" s="111"/>
      <c r="CP95" s="111"/>
      <c r="CQ95" s="111"/>
      <c r="CR95" s="111"/>
      <c r="CS95" s="95"/>
      <c r="CT95" s="111"/>
      <c r="CU95" s="111"/>
      <c r="CV95" s="111"/>
      <c r="CW95" s="111"/>
      <c r="CX95" s="111"/>
      <c r="CY95" s="95"/>
      <c r="CZ95" s="111"/>
      <c r="DA95" s="111"/>
      <c r="DB95" s="111"/>
      <c r="DC95" s="111"/>
      <c r="DD95" s="111"/>
      <c r="DE95" s="95"/>
      <c r="DF95" s="95"/>
      <c r="DG95" s="111"/>
      <c r="DH95" s="111"/>
      <c r="DI95" s="111"/>
      <c r="DJ95" s="111"/>
      <c r="DK95" s="111"/>
      <c r="DL95" s="95"/>
      <c r="DM95" s="111"/>
      <c r="DN95" s="111"/>
      <c r="DO95" s="111"/>
      <c r="DP95" s="111"/>
    </row>
    <row r="96" spans="1:120" x14ac:dyDescent="0.3">
      <c r="A96" s="90" t="str">
        <f ca="1">CELL("filename")</f>
        <v>https://educationgovuk.sharepoint.com/sites/UnitforFutureSkills/Shared Documents/Analytical Projects/Analysis/Ad hoc/Economics Surgery/[a01may2024 (1).xlsm]Sheet1</v>
      </c>
      <c r="Y96" s="90" t="str">
        <f ca="1">CELL("filename")</f>
        <v>https://educationgovuk.sharepoint.com/sites/UnitforFutureSkills/Shared Documents/Analytical Projects/Analysis/Ad hoc/Economics Surgery/[a01may2024 (1).xlsm]Sheet1</v>
      </c>
      <c r="AW96" s="90" t="str">
        <f ca="1">CELL("filename")</f>
        <v>https://educationgovuk.sharepoint.com/sites/UnitforFutureSkills/Shared Documents/Analytical Projects/Analysis/Ad hoc/Economics Surgery/[a01may2024 (1).xlsm]Sheet1</v>
      </c>
      <c r="BU96" s="90" t="str">
        <f ca="1">CELL("filename")</f>
        <v>https://educationgovuk.sharepoint.com/sites/UnitforFutureSkills/Shared Documents/Analytical Projects/Analysis/Ad hoc/Economics Surgery/[a01may2024 (1).xlsm]Sheet1</v>
      </c>
      <c r="CS96" s="90" t="str">
        <f ca="1">CELL("filename")</f>
        <v>https://educationgovuk.sharepoint.com/sites/UnitforFutureSkills/Shared Documents/Analytical Projects/Analysis/Ad hoc/Economics Surgery/[a01may2024 (1).xlsm]Sheet1</v>
      </c>
    </row>
    <row r="99" spans="1:1" x14ac:dyDescent="0.3">
      <c r="A99" s="90" t="s">
        <v>45</v>
      </c>
    </row>
    <row r="100" spans="1:1" x14ac:dyDescent="0.3">
      <c r="A100" s="90">
        <v>2015</v>
      </c>
    </row>
    <row r="101" spans="1:1" x14ac:dyDescent="0.3">
      <c r="A101" s="90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5234375" defaultRowHeight="12.45" x14ac:dyDescent="0.3"/>
  <cols>
    <col min="1" max="1" width="50.69140625" style="129" customWidth="1"/>
    <col min="2" max="2" width="13" style="129" customWidth="1"/>
    <col min="3" max="3" width="9.69140625" style="129" customWidth="1"/>
    <col min="4" max="4" width="10.15234375" style="129" customWidth="1"/>
    <col min="5" max="5" width="13" style="129" customWidth="1"/>
    <col min="6" max="6" width="9.69140625" style="129" customWidth="1"/>
    <col min="7" max="7" width="3.69140625" style="129" customWidth="1"/>
    <col min="8" max="9" width="10.15234375" style="129" customWidth="1"/>
    <col min="10" max="10" width="3.69140625" style="129" customWidth="1"/>
    <col min="11" max="12" width="10.15234375" style="129" customWidth="1"/>
    <col min="13" max="13" width="3.69140625" style="129" customWidth="1"/>
    <col min="14" max="14" width="11.3828125" style="129" customWidth="1"/>
    <col min="15" max="15" width="10.15234375" style="129" customWidth="1"/>
    <col min="16" max="16" width="3.69140625" style="129" customWidth="1"/>
    <col min="17" max="18" width="10.15234375" style="129" customWidth="1"/>
    <col min="19" max="19" width="2.3828125" style="129" customWidth="1"/>
    <col min="20" max="22" width="13" style="129" customWidth="1"/>
    <col min="23" max="23" width="23.3046875" style="129" customWidth="1"/>
    <col min="24" max="24" width="9.15234375" style="129"/>
    <col min="25" max="25" width="12.3046875" style="129" customWidth="1"/>
    <col min="26" max="26" width="10.84375" style="129" customWidth="1"/>
    <col min="27" max="27" width="8.15234375" style="129" customWidth="1"/>
    <col min="28" max="28" width="8" style="129" customWidth="1"/>
    <col min="29" max="16384" width="9.15234375" style="129"/>
  </cols>
  <sheetData>
    <row r="1" spans="1:32" ht="12.75" customHeight="1" x14ac:dyDescent="0.3">
      <c r="A1" s="127" t="e">
        <f>CONCATENATE("Table 4.6  Shift-share by industry, ",I3)</f>
        <v>#REF!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32" ht="12.75" customHeigh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384" t="s">
        <v>53</v>
      </c>
      <c r="L2" s="384"/>
      <c r="M2" s="384"/>
      <c r="N2" s="384"/>
      <c r="O2" s="384"/>
      <c r="P2" s="384"/>
      <c r="Q2" s="384"/>
      <c r="R2" s="384"/>
      <c r="S2" s="191"/>
      <c r="T2" s="191"/>
      <c r="U2" s="128"/>
    </row>
    <row r="3" spans="1:32" ht="12.75" customHeight="1" x14ac:dyDescent="0.3">
      <c r="A3" s="128"/>
      <c r="B3" s="130" t="s">
        <v>54</v>
      </c>
      <c r="C3" s="131" t="e">
        <f>#REF!</f>
        <v>#REF!</v>
      </c>
      <c r="D3" s="127"/>
      <c r="E3" s="130" t="s">
        <v>55</v>
      </c>
      <c r="F3" s="131" t="e">
        <f>#REF!</f>
        <v>#REF!</v>
      </c>
      <c r="G3" s="127"/>
      <c r="H3" s="130" t="s">
        <v>18</v>
      </c>
      <c r="I3" s="130" t="e">
        <f>CONCATENATE(C3,"-",F3)</f>
        <v>#REF!</v>
      </c>
      <c r="J3" s="127"/>
      <c r="K3" s="385" t="s">
        <v>56</v>
      </c>
      <c r="L3" s="385"/>
      <c r="M3" s="127"/>
      <c r="N3" s="386" t="s">
        <v>69</v>
      </c>
      <c r="O3" s="386"/>
      <c r="P3" s="127"/>
      <c r="Q3" s="386" t="s">
        <v>68</v>
      </c>
      <c r="R3" s="386"/>
      <c r="S3" s="191"/>
      <c r="T3" s="192" t="s">
        <v>72</v>
      </c>
      <c r="U3" s="152" t="s">
        <v>71</v>
      </c>
      <c r="V3" s="159"/>
      <c r="AA3" s="159"/>
      <c r="AD3" s="159"/>
    </row>
    <row r="4" spans="1:32" ht="12.75" customHeight="1" x14ac:dyDescent="0.3">
      <c r="A4" s="132" t="s">
        <v>59</v>
      </c>
      <c r="B4" s="133" t="s">
        <v>60</v>
      </c>
      <c r="C4" s="133" t="s">
        <v>61</v>
      </c>
      <c r="D4" s="127"/>
      <c r="E4" s="133" t="str">
        <f>B4</f>
        <v>000s</v>
      </c>
      <c r="F4" s="133" t="str">
        <f>C4</f>
        <v>% share</v>
      </c>
      <c r="G4" s="127"/>
      <c r="H4" s="133" t="str">
        <f>E4</f>
        <v>000s</v>
      </c>
      <c r="I4" s="133" t="s">
        <v>62</v>
      </c>
      <c r="J4" s="127"/>
      <c r="K4" s="133" t="str">
        <f>H4</f>
        <v>000s</v>
      </c>
      <c r="L4" s="133" t="str">
        <f>I4</f>
        <v xml:space="preserve">%   </v>
      </c>
      <c r="M4" s="127"/>
      <c r="N4" s="133" t="str">
        <f>K4</f>
        <v>000s</v>
      </c>
      <c r="O4" s="133" t="str">
        <f>L4</f>
        <v xml:space="preserve">%   </v>
      </c>
      <c r="P4" s="127"/>
      <c r="Q4" s="133" t="str">
        <f>N4</f>
        <v>000s</v>
      </c>
      <c r="R4" s="133" t="str">
        <f>O4</f>
        <v xml:space="preserve">%   </v>
      </c>
      <c r="S4" s="153"/>
      <c r="T4" s="133"/>
      <c r="U4" s="165"/>
      <c r="V4" s="159"/>
      <c r="W4" s="167"/>
      <c r="Y4" s="160"/>
      <c r="Z4" s="160"/>
      <c r="AA4" s="159"/>
      <c r="AB4" s="160"/>
      <c r="AC4" s="159"/>
    </row>
    <row r="5" spans="1:32" ht="12.75" customHeight="1" x14ac:dyDescent="0.3">
      <c r="A5" s="132"/>
      <c r="B5" s="130"/>
      <c r="C5" s="158"/>
      <c r="D5" s="127" t="s">
        <v>70</v>
      </c>
      <c r="E5" s="130"/>
      <c r="F5" s="158"/>
      <c r="G5" s="127"/>
      <c r="H5" s="130"/>
      <c r="I5" s="130"/>
      <c r="J5" s="127"/>
      <c r="K5" s="130"/>
      <c r="L5" s="130"/>
      <c r="M5" s="127"/>
      <c r="N5" s="130"/>
      <c r="O5" s="130"/>
      <c r="P5" s="127"/>
      <c r="Q5" s="158"/>
      <c r="R5" s="158"/>
      <c r="S5" s="133"/>
      <c r="T5" s="133"/>
      <c r="U5" s="154"/>
      <c r="V5" s="159"/>
      <c r="W5" s="135"/>
    </row>
    <row r="6" spans="1:32" x14ac:dyDescent="0.3">
      <c r="A6" s="35" t="str">
        <f>name!A4</f>
        <v>Agriculture, etc</v>
      </c>
      <c r="B6" s="149">
        <v>290.31999999994002</v>
      </c>
      <c r="C6" s="140">
        <v>0.93859557238401636</v>
      </c>
      <c r="D6" s="163">
        <v>100</v>
      </c>
      <c r="E6" s="149">
        <v>302.0150000000844</v>
      </c>
      <c r="F6" s="140">
        <v>0.90967729595909619</v>
      </c>
      <c r="G6" s="145"/>
      <c r="H6" s="149">
        <v>11.695000000144354</v>
      </c>
      <c r="I6" s="141">
        <v>4.0283135850601992</v>
      </c>
      <c r="J6" s="145"/>
      <c r="K6" s="149">
        <v>21.295935731168065</v>
      </c>
      <c r="L6" s="141">
        <v>7.3353319547990026</v>
      </c>
      <c r="M6" s="145"/>
      <c r="N6" s="149">
        <v>-0.65613111154677028</v>
      </c>
      <c r="O6" s="141">
        <v>-0.22600272511260189</v>
      </c>
      <c r="P6" s="145"/>
      <c r="Q6" s="150">
        <v>-8.9448046194769404</v>
      </c>
      <c r="R6" s="140">
        <v>-3.0810156446262016</v>
      </c>
      <c r="S6" s="140"/>
      <c r="T6" s="161">
        <v>290.31999999994002</v>
      </c>
      <c r="U6" s="162">
        <v>302.0150000000844</v>
      </c>
      <c r="V6" s="168"/>
      <c r="Y6" s="134"/>
      <c r="Z6" s="150"/>
      <c r="AA6" s="150"/>
      <c r="AB6" s="134"/>
      <c r="AC6" s="150"/>
      <c r="AE6" s="134"/>
      <c r="AF6" s="150"/>
    </row>
    <row r="7" spans="1:32" x14ac:dyDescent="0.3">
      <c r="A7" t="str">
        <f>name!A5</f>
        <v>Coal, oil &amp; gas; Mining &amp; related</v>
      </c>
      <c r="B7" s="150">
        <v>12.074999999997509</v>
      </c>
      <c r="C7" s="140">
        <v>3.9038101186749101E-2</v>
      </c>
      <c r="D7" s="164">
        <v>100</v>
      </c>
      <c r="E7" s="150">
        <v>12.334000000003453</v>
      </c>
      <c r="F7" s="140">
        <v>3.715033944790655E-2</v>
      </c>
      <c r="H7" s="150">
        <v>0.25900000000594448</v>
      </c>
      <c r="I7" s="140">
        <v>2.1449275362815561</v>
      </c>
      <c r="K7" s="150">
        <v>0.88574133354179663</v>
      </c>
      <c r="L7" s="140">
        <v>7.3353319547990017</v>
      </c>
      <c r="N7" s="150">
        <v>-4.283170925688029E-2</v>
      </c>
      <c r="O7" s="140">
        <v>-0.35471394829721842</v>
      </c>
      <c r="Q7" s="150">
        <v>-0.58390962427897186</v>
      </c>
      <c r="R7" s="140">
        <v>-4.8356904702202259</v>
      </c>
      <c r="S7" s="140"/>
      <c r="T7" s="161">
        <v>12.074999999997509</v>
      </c>
      <c r="U7" s="162">
        <v>12.334000000003453</v>
      </c>
      <c r="V7" s="168"/>
      <c r="W7" s="135"/>
      <c r="Y7" s="134"/>
      <c r="Z7" s="150"/>
      <c r="AA7" s="150"/>
      <c r="AB7" s="134"/>
      <c r="AC7" s="150"/>
      <c r="AE7" s="134"/>
      <c r="AF7" s="150"/>
    </row>
    <row r="8" spans="1:32" x14ac:dyDescent="0.3">
      <c r="A8" t="str">
        <f>name!A6</f>
        <v>Food products</v>
      </c>
      <c r="B8" s="150">
        <v>10.050999999997924</v>
      </c>
      <c r="C8" s="140">
        <v>3.2494571844970191E-2</v>
      </c>
      <c r="D8" s="164">
        <v>100</v>
      </c>
      <c r="E8" s="150">
        <v>9.1810000000025642</v>
      </c>
      <c r="F8" s="140">
        <v>2.7653418718277107E-2</v>
      </c>
      <c r="H8" s="150">
        <v>-0.86999999999535793</v>
      </c>
      <c r="I8" s="140">
        <v>-8.6558551387477642</v>
      </c>
      <c r="K8" s="150">
        <v>0.7372742147766953</v>
      </c>
      <c r="L8" s="140">
        <v>7.3353319547990017</v>
      </c>
      <c r="N8" s="150">
        <v>-0.1098416494645672</v>
      </c>
      <c r="O8" s="140">
        <v>-1.0928429953695145</v>
      </c>
      <c r="Q8" s="150">
        <v>-1.497432565307486</v>
      </c>
      <c r="R8" s="140">
        <v>-14.898344098177249</v>
      </c>
      <c r="S8" s="140"/>
      <c r="T8" s="161">
        <v>10.050999999997924</v>
      </c>
      <c r="U8" s="162">
        <v>9.1810000000025642</v>
      </c>
      <c r="V8" s="168"/>
      <c r="Y8" s="134"/>
      <c r="Z8" s="150"/>
      <c r="AA8" s="150"/>
      <c r="AB8" s="134"/>
      <c r="AC8" s="150"/>
      <c r="AE8" s="134"/>
      <c r="AF8" s="150"/>
    </row>
    <row r="9" spans="1:32" x14ac:dyDescent="0.3">
      <c r="A9" t="str">
        <f>name!A7</f>
        <v>Beverages and tobacco</v>
      </c>
      <c r="B9" s="150">
        <v>2.1699999999991144</v>
      </c>
      <c r="C9" s="140">
        <v>7.0155428219650902E-3</v>
      </c>
      <c r="D9" s="164">
        <v>100</v>
      </c>
      <c r="E9" s="150">
        <v>1.1269999999995304</v>
      </c>
      <c r="F9" s="140">
        <v>3.3945542855327972E-3</v>
      </c>
      <c r="H9" s="150">
        <v>-1.042999999999584</v>
      </c>
      <c r="I9" s="140">
        <v>-48.064516129032704</v>
      </c>
      <c r="K9" s="150">
        <v>0.15917670341907339</v>
      </c>
      <c r="L9" s="140">
        <v>7.3353319547990026</v>
      </c>
      <c r="N9" s="150">
        <v>-8.2157152051436144E-2</v>
      </c>
      <c r="O9" s="140">
        <v>-3.786043873339616</v>
      </c>
      <c r="Q9" s="150">
        <v>-1.1200195513672213</v>
      </c>
      <c r="R9" s="140">
        <v>-51.613804210492084</v>
      </c>
      <c r="S9" s="140"/>
      <c r="T9" s="161">
        <v>2.1699999999991144</v>
      </c>
      <c r="U9" s="162">
        <v>1.1269999999995304</v>
      </c>
      <c r="V9" s="168"/>
      <c r="W9" s="135"/>
      <c r="Y9" s="134"/>
      <c r="Z9" s="150"/>
      <c r="AA9" s="150"/>
      <c r="AB9" s="134"/>
      <c r="AC9" s="150"/>
      <c r="AE9" s="134"/>
      <c r="AF9" s="150"/>
    </row>
    <row r="10" spans="1:32" x14ac:dyDescent="0.3">
      <c r="A10" t="str">
        <f>name!A8</f>
        <v>Textiles</v>
      </c>
      <c r="B10" s="150">
        <v>11.083999999995481</v>
      </c>
      <c r="C10" s="140">
        <v>3.5834228865742432E-2</v>
      </c>
      <c r="D10" s="164">
        <v>100</v>
      </c>
      <c r="E10" s="150">
        <v>7.2319999999969857</v>
      </c>
      <c r="F10" s="140">
        <v>2.1782978343365737E-2</v>
      </c>
      <c r="H10" s="150">
        <v>-3.851999999998494</v>
      </c>
      <c r="I10" s="140">
        <v>-34.75279682425176</v>
      </c>
      <c r="K10" s="150">
        <v>0.81304819386958971</v>
      </c>
      <c r="L10" s="140">
        <v>7.3353319547989999</v>
      </c>
      <c r="N10" s="150">
        <v>-0.31881093078995182</v>
      </c>
      <c r="O10" s="140">
        <v>-2.8763165895893343</v>
      </c>
      <c r="Q10" s="150">
        <v>-4.3462372630781321</v>
      </c>
      <c r="R10" s="140">
        <v>-39.211812189461426</v>
      </c>
      <c r="S10" s="140"/>
      <c r="T10" s="161">
        <v>11.083999999995481</v>
      </c>
      <c r="U10" s="162">
        <v>7.2319999999969857</v>
      </c>
      <c r="V10" s="168"/>
      <c r="Y10" s="134"/>
      <c r="Z10" s="150"/>
      <c r="AA10" s="150"/>
      <c r="AB10" s="134"/>
      <c r="AC10" s="150"/>
      <c r="AE10" s="134"/>
      <c r="AF10" s="150"/>
    </row>
    <row r="11" spans="1:32" x14ac:dyDescent="0.3">
      <c r="A11" t="str">
        <f>name!A9</f>
        <v>Wearing apparel; Leather, etc</v>
      </c>
      <c r="B11" s="150">
        <v>37.589999999984677</v>
      </c>
      <c r="C11" s="140">
        <v>0.12152730630307274</v>
      </c>
      <c r="D11" s="164">
        <v>100</v>
      </c>
      <c r="E11" s="150">
        <v>29.919999999987525</v>
      </c>
      <c r="F11" s="140">
        <v>9.0119844031181243E-2</v>
      </c>
      <c r="H11" s="150">
        <v>-7.6699999999971515</v>
      </c>
      <c r="I11" s="140">
        <v>-20.404362862464161</v>
      </c>
      <c r="K11" s="150">
        <v>2.7573512818078205</v>
      </c>
      <c r="L11" s="140">
        <v>7.3353319547990017</v>
      </c>
      <c r="N11" s="150">
        <v>-0.7126086226066608</v>
      </c>
      <c r="O11" s="140">
        <v>-1.8957398845622542</v>
      </c>
      <c r="Q11" s="150">
        <v>-9.7147426591983113</v>
      </c>
      <c r="R11" s="140">
        <v>-25.843954932700907</v>
      </c>
      <c r="S11" s="140"/>
      <c r="T11" s="161">
        <v>37.589999999984677</v>
      </c>
      <c r="U11" s="162">
        <v>29.919999999987525</v>
      </c>
      <c r="V11" s="168"/>
      <c r="W11" s="135"/>
      <c r="Y11" s="134"/>
      <c r="Z11" s="150"/>
      <c r="AA11" s="150"/>
      <c r="AB11" s="134"/>
      <c r="AC11" s="150"/>
      <c r="AE11" s="134"/>
      <c r="AF11" s="150"/>
    </row>
    <row r="12" spans="1:32" x14ac:dyDescent="0.3">
      <c r="A12" t="str">
        <f>name!A10</f>
        <v xml:space="preserve">Wood and cork </v>
      </c>
      <c r="B12" s="150">
        <v>395.97300000001809</v>
      </c>
      <c r="C12" s="140">
        <v>1.2801684506190061</v>
      </c>
      <c r="D12" s="164">
        <v>100</v>
      </c>
      <c r="E12" s="150">
        <v>368.47099999980418</v>
      </c>
      <c r="F12" s="140">
        <v>1.1098445538104806</v>
      </c>
      <c r="H12" s="150">
        <v>-27.502000000213915</v>
      </c>
      <c r="I12" s="140">
        <v>-6.945423046574553</v>
      </c>
      <c r="K12" s="150">
        <v>29.045934001377578</v>
      </c>
      <c r="L12" s="140">
        <v>7.3353319547990017</v>
      </c>
      <c r="N12" s="150">
        <v>-3.864504443275159</v>
      </c>
      <c r="O12" s="140">
        <v>-0.97595150257087782</v>
      </c>
      <c r="Q12" s="150">
        <v>-52.683429558316334</v>
      </c>
      <c r="R12" s="140">
        <v>-13.304803498802679</v>
      </c>
      <c r="S12" s="140"/>
      <c r="T12" s="161">
        <v>395.97300000001809</v>
      </c>
      <c r="U12" s="162">
        <v>368.47099999980418</v>
      </c>
      <c r="V12" s="168"/>
      <c r="Y12" s="134"/>
      <c r="Z12" s="150"/>
      <c r="AA12" s="150"/>
      <c r="AB12" s="134"/>
      <c r="AC12" s="150"/>
      <c r="AE12" s="134"/>
      <c r="AF12" s="150"/>
    </row>
    <row r="13" spans="1:32" x14ac:dyDescent="0.3">
      <c r="A13" t="str">
        <f>name!A11</f>
        <v>Paper, etc</v>
      </c>
      <c r="B13" s="150">
        <v>75.845999999976854</v>
      </c>
      <c r="C13" s="140">
        <v>0.24520776998839583</v>
      </c>
      <c r="D13" s="164">
        <v>100</v>
      </c>
      <c r="E13" s="150">
        <v>49.305999999976621</v>
      </c>
      <c r="F13" s="140">
        <v>0.14851099698533315</v>
      </c>
      <c r="H13" s="150">
        <v>-26.540000000000227</v>
      </c>
      <c r="I13" s="140">
        <v>-34.991957387348478</v>
      </c>
      <c r="K13" s="150">
        <v>5.5635558744351528</v>
      </c>
      <c r="L13" s="140">
        <v>7.3353319547990017</v>
      </c>
      <c r="N13" s="150">
        <v>-2.1939675871835931</v>
      </c>
      <c r="O13" s="140">
        <v>-2.8926609012792532</v>
      </c>
      <c r="Q13" s="150">
        <v>-29.909588287251786</v>
      </c>
      <c r="R13" s="140">
        <v>-39.434628440868224</v>
      </c>
      <c r="S13" s="140"/>
      <c r="T13" s="161">
        <v>75.845999999976854</v>
      </c>
      <c r="U13" s="162">
        <v>49.305999999976621</v>
      </c>
      <c r="V13" s="168"/>
      <c r="Y13" s="134"/>
      <c r="Z13" s="150"/>
      <c r="AA13" s="150"/>
      <c r="AB13" s="134"/>
      <c r="AC13" s="150"/>
      <c r="AE13" s="134"/>
      <c r="AF13" s="150"/>
    </row>
    <row r="14" spans="1:32" x14ac:dyDescent="0.3">
      <c r="A14" t="str">
        <f>name!A12</f>
        <v>Printing and recording</v>
      </c>
      <c r="B14" s="150">
        <v>73.1450000000373</v>
      </c>
      <c r="C14" s="140">
        <v>0.2364755206051187</v>
      </c>
      <c r="D14" s="164">
        <v>100</v>
      </c>
      <c r="E14" s="150">
        <v>122.94699999997626</v>
      </c>
      <c r="F14" s="140">
        <v>0.37031966791791843</v>
      </c>
      <c r="H14" s="150">
        <v>49.801999999938957</v>
      </c>
      <c r="I14" s="140">
        <v>68.086677148012257</v>
      </c>
      <c r="K14" s="150">
        <v>5.3654285583404651</v>
      </c>
      <c r="L14" s="140">
        <v>7.3353319547989999</v>
      </c>
      <c r="N14" s="150">
        <v>3.0368099350038165</v>
      </c>
      <c r="O14" s="140">
        <v>4.1517669492135729</v>
      </c>
      <c r="Q14" s="150">
        <v>41.399761506594672</v>
      </c>
      <c r="R14" s="140">
        <v>56.599578243999673</v>
      </c>
      <c r="S14" s="140"/>
      <c r="T14" s="161">
        <v>73.1450000000373</v>
      </c>
      <c r="U14" s="162">
        <v>122.94699999997626</v>
      </c>
      <c r="V14" s="168"/>
      <c r="Y14" s="134"/>
      <c r="Z14" s="150"/>
      <c r="AA14" s="150"/>
      <c r="AB14" s="134"/>
      <c r="AC14" s="150"/>
      <c r="AE14" s="134"/>
      <c r="AF14" s="150"/>
    </row>
    <row r="15" spans="1:32" x14ac:dyDescent="0.3">
      <c r="A15" t="str">
        <f>name!A13</f>
        <v>Coke and petroleum; Chemicals, etc</v>
      </c>
      <c r="B15" s="150">
        <v>80.073000000040807</v>
      </c>
      <c r="C15" s="140">
        <v>0.25887353013074937</v>
      </c>
      <c r="D15" s="164">
        <v>100</v>
      </c>
      <c r="E15" s="150">
        <v>72.98899999998595</v>
      </c>
      <c r="F15" s="140">
        <v>0.2198448294115429</v>
      </c>
      <c r="H15" s="150">
        <v>-7.0840000000548606</v>
      </c>
      <c r="I15" s="140">
        <v>-8.846927179013214</v>
      </c>
      <c r="K15" s="150">
        <v>5.873620356169198</v>
      </c>
      <c r="L15" s="140">
        <v>7.3353319547990017</v>
      </c>
      <c r="N15" s="150">
        <v>-0.88552804492364956</v>
      </c>
      <c r="O15" s="140">
        <v>-1.1059009215630717</v>
      </c>
      <c r="Q15" s="150">
        <v>-12.072092311300409</v>
      </c>
      <c r="R15" s="140">
        <v>-15.076358212249144</v>
      </c>
      <c r="S15" s="140"/>
      <c r="T15" s="161">
        <v>80.073000000040807</v>
      </c>
      <c r="U15" s="162">
        <v>72.98899999998595</v>
      </c>
      <c r="V15" s="168"/>
      <c r="Y15" s="134"/>
      <c r="Z15" s="150"/>
      <c r="AA15" s="150"/>
      <c r="AB15" s="134"/>
      <c r="AC15" s="150"/>
      <c r="AE15" s="134"/>
      <c r="AF15" s="150"/>
    </row>
    <row r="16" spans="1:32" x14ac:dyDescent="0.3">
      <c r="A16" t="str">
        <f>name!A14</f>
        <v>Pharmaceuticals</v>
      </c>
      <c r="B16" s="150">
        <v>104.71500000005337</v>
      </c>
      <c r="C16" s="140">
        <v>0.33854035327315601</v>
      </c>
      <c r="D16" s="164">
        <v>100</v>
      </c>
      <c r="E16" s="150">
        <v>86.702999999983263</v>
      </c>
      <c r="F16" s="140">
        <v>0.26115176594375861</v>
      </c>
      <c r="H16" s="150">
        <v>-18.012000000070095</v>
      </c>
      <c r="I16" s="140">
        <v>-17.200974072540628</v>
      </c>
      <c r="K16" s="150">
        <v>7.6811928564716885</v>
      </c>
      <c r="L16" s="140">
        <v>7.3353319547990017</v>
      </c>
      <c r="N16" s="150">
        <v>-1.7558812662057193</v>
      </c>
      <c r="O16" s="140">
        <v>-1.6768192390821033</v>
      </c>
      <c r="Q16" s="150">
        <v>-23.937311590336066</v>
      </c>
      <c r="R16" s="140">
        <v>-22.859486788257524</v>
      </c>
      <c r="S16" s="140"/>
      <c r="T16" s="161">
        <v>104.71500000005337</v>
      </c>
      <c r="U16" s="162">
        <v>86.702999999983263</v>
      </c>
      <c r="V16" s="168"/>
      <c r="Y16" s="134"/>
      <c r="Z16" s="150"/>
      <c r="AA16" s="150"/>
      <c r="AB16" s="134"/>
      <c r="AC16" s="150"/>
      <c r="AE16" s="134"/>
      <c r="AF16" s="150"/>
    </row>
    <row r="17" spans="1:32" x14ac:dyDescent="0.3">
      <c r="A17" t="str">
        <f>name!A15</f>
        <v>Rubber and plastic</v>
      </c>
      <c r="B17" s="150">
        <v>11.055999999985691</v>
      </c>
      <c r="C17" s="140">
        <v>3.5743705732524098E-2</v>
      </c>
      <c r="D17" s="164">
        <v>100</v>
      </c>
      <c r="E17" s="150">
        <v>18.25699999999954</v>
      </c>
      <c r="F17" s="140">
        <v>5.4990574614903753E-2</v>
      </c>
      <c r="H17" s="150">
        <v>7.2010000000138481</v>
      </c>
      <c r="I17" s="140">
        <v>65.132054992973664</v>
      </c>
      <c r="K17" s="150">
        <v>0.81099430092152791</v>
      </c>
      <c r="L17" s="140">
        <v>7.3353319547990017</v>
      </c>
      <c r="N17" s="150">
        <v>0.43669509510288052</v>
      </c>
      <c r="O17" s="140">
        <v>3.9498470975347839</v>
      </c>
      <c r="Q17" s="150">
        <v>5.9533106039894399</v>
      </c>
      <c r="R17" s="140">
        <v>53.846875940639883</v>
      </c>
      <c r="S17" s="140"/>
      <c r="T17" s="161">
        <v>11.055999999985691</v>
      </c>
      <c r="U17" s="162">
        <v>18.25699999999954</v>
      </c>
      <c r="V17" s="168"/>
      <c r="Y17" s="134"/>
      <c r="Z17" s="150"/>
      <c r="AA17" s="150"/>
      <c r="AB17" s="134"/>
      <c r="AC17" s="150"/>
      <c r="AE17" s="134"/>
      <c r="AF17" s="150"/>
    </row>
    <row r="18" spans="1:32" x14ac:dyDescent="0.3">
      <c r="A18" t="str">
        <f>name!A16</f>
        <v>Other non-metallic</v>
      </c>
      <c r="B18" s="150">
        <v>93.389000000008025</v>
      </c>
      <c r="C18" s="140">
        <v>0.30192374589899607</v>
      </c>
      <c r="D18" s="164">
        <v>100</v>
      </c>
      <c r="E18" s="150">
        <v>88.958999999932729</v>
      </c>
      <c r="F18" s="140">
        <v>0.26794689856842019</v>
      </c>
      <c r="H18" s="150">
        <v>-4.4300000000752915</v>
      </c>
      <c r="I18" s="140">
        <v>-4.7435993533231011</v>
      </c>
      <c r="K18" s="150">
        <v>6.8503931592678278</v>
      </c>
      <c r="L18" s="140">
        <v>7.3353319547990017</v>
      </c>
      <c r="N18" s="150">
        <v>-0.77090578561093448</v>
      </c>
      <c r="O18" s="140">
        <v>-0.82547814583180912</v>
      </c>
      <c r="Q18" s="150">
        <v>-10.509487373732185</v>
      </c>
      <c r="R18" s="140">
        <v>-11.253453162290294</v>
      </c>
      <c r="S18" s="140"/>
      <c r="T18" s="161">
        <v>93.389000000008025</v>
      </c>
      <c r="U18" s="162">
        <v>88.958999999932729</v>
      </c>
      <c r="V18" s="168"/>
      <c r="Y18" s="134"/>
      <c r="Z18" s="150"/>
      <c r="AA18" s="150"/>
      <c r="AB18" s="134"/>
      <c r="AC18" s="150"/>
      <c r="AE18" s="134"/>
      <c r="AF18" s="150"/>
    </row>
    <row r="19" spans="1:32" x14ac:dyDescent="0.3">
      <c r="A19" t="str">
        <f>name!A17</f>
        <v>Basic metals</v>
      </c>
      <c r="B19" s="150">
        <v>27.854999999989587</v>
      </c>
      <c r="C19" s="140">
        <v>9.0054352675504282E-2</v>
      </c>
      <c r="D19" s="164">
        <v>100</v>
      </c>
      <c r="E19" s="150">
        <v>33.922000000006818</v>
      </c>
      <c r="F19" s="140">
        <v>0.1021739755757894</v>
      </c>
      <c r="H19" s="150">
        <v>6.0670000000172291</v>
      </c>
      <c r="I19" s="140">
        <v>21.78064979364386</v>
      </c>
      <c r="K19" s="150">
        <v>2.0432567160084982</v>
      </c>
      <c r="L19" s="140">
        <v>7.3353319547990017</v>
      </c>
      <c r="N19" s="150">
        <v>0.27498394192814857</v>
      </c>
      <c r="O19" s="140">
        <v>0.98719778111021839</v>
      </c>
      <c r="Q19" s="150">
        <v>3.7487593420805823</v>
      </c>
      <c r="R19" s="140">
        <v>13.458120057734638</v>
      </c>
      <c r="S19" s="140"/>
      <c r="T19" s="161">
        <v>27.854999999989587</v>
      </c>
      <c r="U19" s="162">
        <v>33.922000000006818</v>
      </c>
      <c r="V19" s="168"/>
      <c r="Y19" s="134"/>
      <c r="Z19" s="150"/>
      <c r="AA19" s="150"/>
      <c r="AB19" s="134"/>
      <c r="AC19" s="150"/>
      <c r="AE19" s="134"/>
      <c r="AF19" s="150"/>
    </row>
    <row r="20" spans="1:32" x14ac:dyDescent="0.3">
      <c r="A20" t="str">
        <f>name!A18</f>
        <v>Metal products</v>
      </c>
      <c r="B20" s="150">
        <v>171.25499999999897</v>
      </c>
      <c r="C20" s="140">
        <v>0.55366211335304816</v>
      </c>
      <c r="D20" s="164">
        <v>100</v>
      </c>
      <c r="E20" s="150">
        <v>174.72100000005108</v>
      </c>
      <c r="F20" s="140">
        <v>0.52626434722537385</v>
      </c>
      <c r="H20" s="150">
        <v>3.4660000000520959</v>
      </c>
      <c r="I20" s="140">
        <v>2.0238825144095745</v>
      </c>
      <c r="K20" s="150">
        <v>12.562122739190956</v>
      </c>
      <c r="L20" s="140">
        <v>7.3353319547990026</v>
      </c>
      <c r="N20" s="150">
        <v>-0.62163202533603767</v>
      </c>
      <c r="O20" s="140">
        <v>-0.36298620497856493</v>
      </c>
      <c r="Q20" s="150">
        <v>-8.4744907138028225</v>
      </c>
      <c r="R20" s="140">
        <v>-4.9484632354108635</v>
      </c>
      <c r="S20" s="140"/>
      <c r="T20" s="161">
        <v>171.25499999999897</v>
      </c>
      <c r="U20" s="162">
        <v>174.72100000005108</v>
      </c>
      <c r="V20" s="168"/>
      <c r="Y20" s="134"/>
      <c r="Z20" s="150"/>
      <c r="AA20" s="150"/>
      <c r="AB20" s="134"/>
      <c r="AC20" s="150"/>
      <c r="AE20" s="134"/>
      <c r="AF20" s="150"/>
    </row>
    <row r="21" spans="1:32" x14ac:dyDescent="0.3">
      <c r="A21" t="str">
        <f>name!A19</f>
        <v>Computer, etc</v>
      </c>
      <c r="B21" s="150">
        <v>80.063999999999524</v>
      </c>
      <c r="C21" s="140">
        <v>0.25884443340923446</v>
      </c>
      <c r="D21" s="164">
        <v>100</v>
      </c>
      <c r="E21" s="150">
        <v>93.491000000027313</v>
      </c>
      <c r="F21" s="140">
        <v>0.28159740435578678</v>
      </c>
      <c r="H21" s="150">
        <v>13.427000000027794</v>
      </c>
      <c r="I21" s="140">
        <v>16.770333733048403</v>
      </c>
      <c r="K21" s="150">
        <v>5.8729601762902375</v>
      </c>
      <c r="L21" s="140">
        <v>7.3353319547990017</v>
      </c>
      <c r="N21" s="150">
        <v>0.51624557075223443</v>
      </c>
      <c r="O21" s="140">
        <v>0.64479113053586812</v>
      </c>
      <c r="Q21" s="150">
        <v>7.0377942529853215</v>
      </c>
      <c r="R21" s="140">
        <v>8.7902106477135344</v>
      </c>
      <c r="S21" s="140"/>
      <c r="T21" s="161">
        <v>80.063999999999524</v>
      </c>
      <c r="U21" s="162">
        <v>93.491000000027313</v>
      </c>
      <c r="V21" s="168"/>
      <c r="Y21" s="134"/>
      <c r="Z21" s="150"/>
      <c r="AA21" s="150"/>
      <c r="AB21" s="134"/>
      <c r="AC21" s="150"/>
      <c r="AE21" s="134"/>
      <c r="AF21" s="150"/>
    </row>
    <row r="22" spans="1:32" x14ac:dyDescent="0.3">
      <c r="A22" t="str">
        <f>name!A20</f>
        <v>Electrical equipment</v>
      </c>
      <c r="B22" s="150">
        <v>66.058000000045865</v>
      </c>
      <c r="C22" s="140">
        <v>0.21356346900178841</v>
      </c>
      <c r="D22" s="164">
        <v>100</v>
      </c>
      <c r="E22" s="150">
        <v>69.29699999994429</v>
      </c>
      <c r="F22" s="140">
        <v>0.20872442619740475</v>
      </c>
      <c r="H22" s="150">
        <v>3.2389999998984278</v>
      </c>
      <c r="I22" s="140">
        <v>4.9032668259653311</v>
      </c>
      <c r="K22" s="150">
        <v>4.845573582704489</v>
      </c>
      <c r="L22" s="140">
        <v>7.3353319547990017</v>
      </c>
      <c r="N22" s="150">
        <v>-0.10979376804513397</v>
      </c>
      <c r="O22" s="140">
        <v>-0.16620813231562828</v>
      </c>
      <c r="Q22" s="150">
        <v>-1.4967798147609273</v>
      </c>
      <c r="R22" s="140">
        <v>-2.2658569965180417</v>
      </c>
      <c r="S22" s="140"/>
      <c r="T22" s="161">
        <v>66.058000000045865</v>
      </c>
      <c r="U22" s="162">
        <v>69.29699999994429</v>
      </c>
      <c r="V22" s="168"/>
      <c r="Y22" s="134"/>
      <c r="Z22" s="150"/>
      <c r="AA22" s="150"/>
      <c r="AB22" s="134"/>
      <c r="AC22" s="150"/>
      <c r="AE22" s="134"/>
      <c r="AF22" s="150"/>
    </row>
    <row r="23" spans="1:32" x14ac:dyDescent="0.3">
      <c r="A23" t="str">
        <f>name!A21</f>
        <v>Machinery n.e.c.</v>
      </c>
      <c r="B23" s="150">
        <v>320.67900000022286</v>
      </c>
      <c r="C23" s="140">
        <v>1.036745279542592</v>
      </c>
      <c r="D23" s="164">
        <v>100</v>
      </c>
      <c r="E23" s="150">
        <v>294.9469999997628</v>
      </c>
      <c r="F23" s="140">
        <v>0.88838829002187569</v>
      </c>
      <c r="H23" s="150">
        <v>-25.732000000460072</v>
      </c>
      <c r="I23" s="140">
        <v>-8.0242236006854792</v>
      </c>
      <c r="K23" s="150">
        <v>23.522869159346239</v>
      </c>
      <c r="L23" s="140">
        <v>7.3353319547990017</v>
      </c>
      <c r="N23" s="150">
        <v>-3.366093988785714</v>
      </c>
      <c r="O23" s="140">
        <v>-1.0496770879238662</v>
      </c>
      <c r="Q23" s="150">
        <v>-45.888775171020598</v>
      </c>
      <c r="R23" s="140">
        <v>-14.309878467560615</v>
      </c>
      <c r="S23" s="140"/>
      <c r="T23" s="161">
        <v>320.67900000022286</v>
      </c>
      <c r="U23" s="162">
        <v>294.9469999997628</v>
      </c>
      <c r="V23" s="168"/>
      <c r="Y23" s="134"/>
      <c r="Z23" s="150"/>
      <c r="AA23" s="150"/>
      <c r="AB23" s="134"/>
      <c r="AC23" s="150"/>
      <c r="AE23" s="134"/>
      <c r="AF23" s="150"/>
    </row>
    <row r="24" spans="1:32" x14ac:dyDescent="0.3">
      <c r="A24" t="str">
        <f>name!A22</f>
        <v>Motor vehicles, etc</v>
      </c>
      <c r="B24" s="150">
        <v>140.47299999999331</v>
      </c>
      <c r="C24" s="140">
        <v>0.45414486029044115</v>
      </c>
      <c r="D24" s="164">
        <v>100</v>
      </c>
      <c r="E24" s="150">
        <v>162.91900000005276</v>
      </c>
      <c r="F24" s="140">
        <v>0.49071640607375983</v>
      </c>
      <c r="H24" s="150">
        <v>22.44600000005946</v>
      </c>
      <c r="I24" s="140">
        <v>15.97887138457962</v>
      </c>
      <c r="K24" s="150">
        <v>10.304160856864311</v>
      </c>
      <c r="L24" s="140">
        <v>7.3353319547990017</v>
      </c>
      <c r="N24" s="150">
        <v>0.82977728801001405</v>
      </c>
      <c r="O24" s="140">
        <v>0.59070233283980089</v>
      </c>
      <c r="Q24" s="150">
        <v>11.312061855185135</v>
      </c>
      <c r="R24" s="140">
        <v>8.0528370969408165</v>
      </c>
      <c r="S24" s="140"/>
      <c r="T24" s="161">
        <v>140.47299999999331</v>
      </c>
      <c r="U24" s="162">
        <v>162.91900000005276</v>
      </c>
      <c r="V24" s="168"/>
      <c r="Y24" s="134"/>
      <c r="Z24" s="150"/>
      <c r="AA24" s="150"/>
      <c r="AB24" s="134"/>
      <c r="AC24" s="150"/>
      <c r="AE24" s="134"/>
      <c r="AF24" s="150"/>
    </row>
    <row r="25" spans="1:32" x14ac:dyDescent="0.3">
      <c r="A25" t="str">
        <f>name!A23</f>
        <v>Other transport equipment</v>
      </c>
      <c r="B25" s="150">
        <v>67.744000000034035</v>
      </c>
      <c r="C25" s="140">
        <v>0.21901425480720543</v>
      </c>
      <c r="D25" s="164">
        <v>100</v>
      </c>
      <c r="E25" s="150">
        <v>77.434000000005142</v>
      </c>
      <c r="F25" s="140">
        <v>0.23323328886075737</v>
      </c>
      <c r="H25" s="150">
        <v>9.6899999999711</v>
      </c>
      <c r="I25" s="140">
        <v>14.303849787385202</v>
      </c>
      <c r="K25" s="150">
        <v>4.9692472794615323</v>
      </c>
      <c r="L25" s="140">
        <v>7.3353319547990017</v>
      </c>
      <c r="N25" s="150">
        <v>0.32261779649633304</v>
      </c>
      <c r="O25" s="140">
        <v>0.4762308049364829</v>
      </c>
      <c r="Q25" s="150">
        <v>4.3981349240132346</v>
      </c>
      <c r="R25" s="140">
        <v>6.4922870276497182</v>
      </c>
      <c r="S25" s="140"/>
      <c r="T25" s="161">
        <v>67.744000000034035</v>
      </c>
      <c r="U25" s="162">
        <v>77.434000000005142</v>
      </c>
      <c r="V25" s="168"/>
      <c r="Y25" s="134"/>
      <c r="Z25" s="150"/>
      <c r="AA25" s="150"/>
      <c r="AB25" s="134"/>
      <c r="AC25" s="150"/>
      <c r="AE25" s="134"/>
      <c r="AF25" s="150"/>
    </row>
    <row r="26" spans="1:32" x14ac:dyDescent="0.3">
      <c r="A26" t="str">
        <f>name!A24</f>
        <v>Furniture</v>
      </c>
      <c r="B26" s="150">
        <v>182.40299999999939</v>
      </c>
      <c r="C26" s="140">
        <v>0.58970325223751896</v>
      </c>
      <c r="D26" s="164">
        <v>100</v>
      </c>
      <c r="E26" s="150">
        <v>185.13999999993501</v>
      </c>
      <c r="F26" s="140">
        <v>0.55764665521169765</v>
      </c>
      <c r="H26" s="150">
        <v>2.7369999999356223</v>
      </c>
      <c r="I26" s="140">
        <v>1.5005235659148322</v>
      </c>
      <c r="K26" s="150">
        <v>13.379865545511977</v>
      </c>
      <c r="L26" s="140">
        <v>7.3353319547990017</v>
      </c>
      <c r="N26" s="150">
        <v>-0.727336938408782</v>
      </c>
      <c r="O26" s="140">
        <v>-0.39875272797529882</v>
      </c>
      <c r="Q26" s="150">
        <v>-9.9155286071675732</v>
      </c>
      <c r="R26" s="140">
        <v>-5.4360556609088704</v>
      </c>
      <c r="S26" s="140"/>
      <c r="T26" s="161">
        <v>182.40299999999939</v>
      </c>
      <c r="U26" s="162">
        <v>185.13999999993501</v>
      </c>
      <c r="V26" s="168"/>
      <c r="Y26" s="134"/>
      <c r="Z26" s="150"/>
      <c r="AA26" s="150"/>
      <c r="AB26" s="134"/>
      <c r="AC26" s="150"/>
      <c r="AE26" s="134"/>
      <c r="AF26" s="150"/>
    </row>
    <row r="27" spans="1:32" x14ac:dyDescent="0.3">
      <c r="A27" t="str">
        <f>name!A25</f>
        <v>Other manufacturing</v>
      </c>
      <c r="B27" s="150">
        <v>90.135000000064551</v>
      </c>
      <c r="C27" s="140">
        <v>0.29140366463526929</v>
      </c>
      <c r="D27" s="164">
        <v>100</v>
      </c>
      <c r="E27" s="150">
        <v>65.68600000003066</v>
      </c>
      <c r="F27" s="140">
        <v>0.19784799716034099</v>
      </c>
      <c r="H27" s="150">
        <v>-24.449000000033891</v>
      </c>
      <c r="I27" s="140">
        <v>-27.124868253193966</v>
      </c>
      <c r="K27" s="150">
        <v>6.6117014574628152</v>
      </c>
      <c r="L27" s="140">
        <v>7.3353319547990017</v>
      </c>
      <c r="N27" s="150">
        <v>-2.1226985726898846</v>
      </c>
      <c r="O27" s="140">
        <v>-2.3550214374974918</v>
      </c>
      <c r="Q27" s="150">
        <v>-28.938002884806821</v>
      </c>
      <c r="R27" s="140">
        <v>-32.105178770495471</v>
      </c>
      <c r="S27" s="140"/>
      <c r="T27" s="161">
        <v>90.135000000064551</v>
      </c>
      <c r="U27" s="162">
        <v>65.68600000003066</v>
      </c>
      <c r="V27" s="168"/>
      <c r="Y27" s="134"/>
      <c r="Z27" s="150"/>
      <c r="AA27" s="150"/>
      <c r="AB27" s="134"/>
      <c r="AC27" s="150"/>
      <c r="AE27" s="134"/>
      <c r="AF27" s="150"/>
    </row>
    <row r="28" spans="1:32" x14ac:dyDescent="0.3">
      <c r="A28" t="str">
        <f>name!A26</f>
        <v>Repair and installation</v>
      </c>
      <c r="B28" s="150">
        <v>65.316000000028879</v>
      </c>
      <c r="C28" s="140">
        <v>0.2111646059722864</v>
      </c>
      <c r="D28" s="164">
        <v>100</v>
      </c>
      <c r="E28" s="150">
        <v>58.65599999997378</v>
      </c>
      <c r="F28" s="140">
        <v>0.17667344824508047</v>
      </c>
      <c r="H28" s="150">
        <v>-6.6600000000551081</v>
      </c>
      <c r="I28" s="140">
        <v>-10.196582766936375</v>
      </c>
      <c r="K28" s="150">
        <v>4.7911454195986343</v>
      </c>
      <c r="L28" s="140">
        <v>7.3353319547990017</v>
      </c>
      <c r="N28" s="150">
        <v>-0.78257505134664118</v>
      </c>
      <c r="O28" s="140">
        <v>-1.1981368291786012</v>
      </c>
      <c r="Q28" s="150">
        <v>-10.668570368307101</v>
      </c>
      <c r="R28" s="140">
        <v>-16.333777892556778</v>
      </c>
      <c r="S28" s="140"/>
      <c r="T28" s="161">
        <v>65.316000000028879</v>
      </c>
      <c r="U28" s="162">
        <v>58.65599999997378</v>
      </c>
      <c r="V28" s="168"/>
      <c r="Y28" s="134"/>
      <c r="Z28" s="150"/>
      <c r="AA28" s="150"/>
      <c r="AB28" s="134"/>
      <c r="AC28" s="150"/>
      <c r="AE28" s="134"/>
      <c r="AF28" s="150"/>
    </row>
    <row r="29" spans="1:32" x14ac:dyDescent="0.3">
      <c r="A29" t="str">
        <f>name!A27</f>
        <v>Electricity, gas, etc</v>
      </c>
      <c r="B29" s="150">
        <v>217.60999999992853</v>
      </c>
      <c r="C29" s="140">
        <v>0.70352639331241695</v>
      </c>
      <c r="D29" s="164">
        <v>100</v>
      </c>
      <c r="E29" s="150">
        <v>203.759000000095</v>
      </c>
      <c r="F29" s="140">
        <v>0.61372758355500256</v>
      </c>
      <c r="H29" s="150">
        <v>-13.850999999833526</v>
      </c>
      <c r="I29" s="140">
        <v>-6.3650567528321655</v>
      </c>
      <c r="K29" s="150">
        <v>15.962415866832863</v>
      </c>
      <c r="L29" s="140">
        <v>7.3353319547990017</v>
      </c>
      <c r="N29" s="150">
        <v>-2.03745866440849</v>
      </c>
      <c r="O29" s="140">
        <v>-0.93628907881492551</v>
      </c>
      <c r="Q29" s="150">
        <v>-27.775957202257899</v>
      </c>
      <c r="R29" s="140">
        <v>-12.764099628816242</v>
      </c>
      <c r="S29" s="140"/>
      <c r="T29" s="161">
        <v>217.60999999992853</v>
      </c>
      <c r="U29" s="162">
        <v>203.759000000095</v>
      </c>
      <c r="V29" s="168"/>
      <c r="W29" s="139"/>
      <c r="Y29" s="134"/>
      <c r="Z29" s="150"/>
      <c r="AA29" s="150"/>
      <c r="AB29" s="134"/>
      <c r="AC29" s="150"/>
      <c r="AE29" s="134"/>
      <c r="AF29" s="150"/>
    </row>
    <row r="30" spans="1:32" x14ac:dyDescent="0.3">
      <c r="A30" t="str">
        <f>name!A28</f>
        <v>Water</v>
      </c>
      <c r="B30" s="150">
        <v>76.56499999997483</v>
      </c>
      <c r="C30" s="140">
        <v>0.24753227472986161</v>
      </c>
      <c r="D30" s="164">
        <v>100</v>
      </c>
      <c r="E30" s="150">
        <v>91.782000000042814</v>
      </c>
      <c r="F30" s="140">
        <v>0.27644985043038717</v>
      </c>
      <c r="H30" s="150">
        <v>15.217000000067987</v>
      </c>
      <c r="I30" s="140">
        <v>19.874616339153647</v>
      </c>
      <c r="K30" s="150">
        <v>5.616296911190009</v>
      </c>
      <c r="L30" s="140">
        <v>7.3353319547990017</v>
      </c>
      <c r="N30" s="150">
        <v>0.65611521270592732</v>
      </c>
      <c r="O30" s="140">
        <v>0.85693882675653765</v>
      </c>
      <c r="Q30" s="150">
        <v>8.9445878761720508</v>
      </c>
      <c r="R30" s="140">
        <v>11.682345557598108</v>
      </c>
      <c r="S30" s="140"/>
      <c r="T30" s="161">
        <v>76.56499999997483</v>
      </c>
      <c r="U30" s="162">
        <v>91.782000000042814</v>
      </c>
      <c r="V30" s="168"/>
      <c r="Y30" s="134"/>
      <c r="Z30" s="150"/>
      <c r="AA30" s="150"/>
      <c r="AB30" s="134"/>
      <c r="AC30" s="150"/>
      <c r="AE30" s="134"/>
      <c r="AF30" s="150"/>
    </row>
    <row r="31" spans="1:32" x14ac:dyDescent="0.3">
      <c r="A31" t="str">
        <f>name!A29</f>
        <v>Sewerage</v>
      </c>
      <c r="B31" s="150">
        <v>82.465999999925302</v>
      </c>
      <c r="C31" s="140">
        <v>0.266610025048795</v>
      </c>
      <c r="D31" s="164">
        <v>100</v>
      </c>
      <c r="E31" s="150">
        <v>87.377999999966974</v>
      </c>
      <c r="F31" s="140">
        <v>0.26318488408278279</v>
      </c>
      <c r="H31" s="150">
        <v>4.9120000000416617</v>
      </c>
      <c r="I31" s="140">
        <v>5.9563941503724092</v>
      </c>
      <c r="K31" s="150">
        <v>6.0491548498390655</v>
      </c>
      <c r="L31" s="140">
        <v>7.3353319547990017</v>
      </c>
      <c r="N31" s="150">
        <v>-7.7713537149029399E-2</v>
      </c>
      <c r="O31" s="140">
        <v>-9.4237063940411564E-2</v>
      </c>
      <c r="Q31" s="150">
        <v>-1.0594413126483744</v>
      </c>
      <c r="R31" s="140">
        <v>-1.284700740486181</v>
      </c>
      <c r="S31" s="140"/>
      <c r="T31" s="161">
        <v>82.465999999925302</v>
      </c>
      <c r="U31" s="162">
        <v>87.377999999966974</v>
      </c>
      <c r="V31" s="168"/>
      <c r="Y31" s="134"/>
      <c r="Z31" s="150"/>
      <c r="AA31" s="150"/>
      <c r="AB31" s="134"/>
      <c r="AC31" s="150"/>
      <c r="AE31" s="134"/>
      <c r="AF31" s="150"/>
    </row>
    <row r="32" spans="1:32" x14ac:dyDescent="0.3">
      <c r="A32" t="str">
        <f>name!A30</f>
        <v>Waste management</v>
      </c>
      <c r="B32" s="150">
        <v>32.932999999964288</v>
      </c>
      <c r="C32" s="140">
        <v>0.10647136947263597</v>
      </c>
      <c r="D32" s="164">
        <v>100</v>
      </c>
      <c r="E32" s="150">
        <v>34.895000000015962</v>
      </c>
      <c r="F32" s="140">
        <v>0.10510467772295519</v>
      </c>
      <c r="H32" s="150">
        <v>1.9620000000516737</v>
      </c>
      <c r="I32" s="140">
        <v>5.957550177796743</v>
      </c>
      <c r="K32" s="150">
        <v>2.4157448726713358</v>
      </c>
      <c r="L32" s="140">
        <v>7.3353319547990017</v>
      </c>
      <c r="N32" s="150">
        <v>-3.1009074112286816E-2</v>
      </c>
      <c r="O32" s="140">
        <v>-9.4158060645311514E-2</v>
      </c>
      <c r="Q32" s="150">
        <v>-0.42273579850737519</v>
      </c>
      <c r="R32" s="140">
        <v>-1.2836237163569477</v>
      </c>
      <c r="S32" s="140"/>
      <c r="T32" s="161">
        <v>32.932999999964288</v>
      </c>
      <c r="U32" s="162">
        <v>34.895000000015962</v>
      </c>
      <c r="V32" s="168"/>
      <c r="Y32" s="134"/>
      <c r="Z32" s="150"/>
      <c r="AA32" s="150"/>
      <c r="AB32" s="134"/>
      <c r="AC32" s="150"/>
      <c r="AE32" s="134"/>
      <c r="AF32" s="150"/>
    </row>
    <row r="33" spans="1:32" x14ac:dyDescent="0.3">
      <c r="A33" t="str">
        <f>name!A31</f>
        <v>Construction</v>
      </c>
      <c r="B33" s="150">
        <v>35.430000000000284</v>
      </c>
      <c r="C33" s="140">
        <v>0.11454409317157906</v>
      </c>
      <c r="D33" s="164">
        <v>100</v>
      </c>
      <c r="E33" s="150">
        <v>35.217999999995349</v>
      </c>
      <c r="F33" s="140">
        <v>0.10607756240277558</v>
      </c>
      <c r="H33" s="150">
        <v>-0.2120000000049331</v>
      </c>
      <c r="I33" s="140">
        <v>-0.59836296924903021</v>
      </c>
      <c r="K33" s="150">
        <v>2.598908111585307</v>
      </c>
      <c r="L33" s="140">
        <v>7.3353319547990017</v>
      </c>
      <c r="N33" s="150">
        <v>-0.19209838659309805</v>
      </c>
      <c r="O33" s="140">
        <v>-0.54219132541094139</v>
      </c>
      <c r="Q33" s="150">
        <v>-2.618809724997142</v>
      </c>
      <c r="R33" s="140">
        <v>-7.3915035986370903</v>
      </c>
      <c r="S33" s="140"/>
      <c r="T33" s="161">
        <v>35.430000000000284</v>
      </c>
      <c r="U33" s="162">
        <v>35.217999999995349</v>
      </c>
      <c r="V33" s="168"/>
      <c r="Y33" s="134"/>
      <c r="Z33" s="150"/>
      <c r="AA33" s="150"/>
      <c r="AB33" s="134"/>
      <c r="AC33" s="150"/>
      <c r="AE33" s="134"/>
      <c r="AF33" s="150"/>
    </row>
    <row r="34" spans="1:32" x14ac:dyDescent="0.3">
      <c r="A34" t="str">
        <f>name!A32</f>
        <v>Civil engineering</v>
      </c>
      <c r="B34" s="150">
        <v>145.50300000000124</v>
      </c>
      <c r="C34" s="140">
        <v>0.47040669457364592</v>
      </c>
      <c r="D34" s="164">
        <v>100</v>
      </c>
      <c r="E34" s="150">
        <v>144.62799999998086</v>
      </c>
      <c r="F34" s="140">
        <v>0.43562342254496622</v>
      </c>
      <c r="H34" s="150">
        <v>-0.8750000000203727</v>
      </c>
      <c r="I34" s="140">
        <v>-0.60136217124070657</v>
      </c>
      <c r="K34" s="150">
        <v>10.673128054191281</v>
      </c>
      <c r="L34" s="140">
        <v>7.3353319547990017</v>
      </c>
      <c r="N34" s="150">
        <v>-0.78920287654993049</v>
      </c>
      <c r="O34" s="140">
        <v>-0.54239629186334559</v>
      </c>
      <c r="Q34" s="150">
        <v>-10.758925177661723</v>
      </c>
      <c r="R34" s="140">
        <v>-7.3942978341763625</v>
      </c>
      <c r="S34" s="140"/>
      <c r="T34" s="161">
        <v>145.50300000000124</v>
      </c>
      <c r="U34" s="162">
        <v>144.62799999998086</v>
      </c>
      <c r="V34" s="168"/>
      <c r="Y34" s="134"/>
      <c r="Z34" s="150"/>
      <c r="AA34" s="150"/>
      <c r="AB34" s="134"/>
      <c r="AC34" s="150"/>
      <c r="AE34" s="134"/>
      <c r="AF34" s="150"/>
    </row>
    <row r="35" spans="1:32" x14ac:dyDescent="0.3">
      <c r="A35" t="str">
        <f>name!A33</f>
        <v>Specialised construction</v>
      </c>
      <c r="B35" s="150">
        <v>1697.6410000011963</v>
      </c>
      <c r="C35" s="140">
        <v>5.4884207980815161</v>
      </c>
      <c r="D35" s="164">
        <v>100</v>
      </c>
      <c r="E35" s="150">
        <v>1865.8430000002486</v>
      </c>
      <c r="F35" s="140">
        <v>5.619969256242106</v>
      </c>
      <c r="H35" s="150">
        <v>168.20199999905239</v>
      </c>
      <c r="I35" s="140">
        <v>9.9079840790210572</v>
      </c>
      <c r="K35" s="150">
        <v>124.52760275085707</v>
      </c>
      <c r="L35" s="140">
        <v>7.3353319547990017</v>
      </c>
      <c r="N35" s="150">
        <v>2.9847226994760661</v>
      </c>
      <c r="O35" s="140">
        <v>0.17581589390654223</v>
      </c>
      <c r="Q35" s="150">
        <v>40.689674548719267</v>
      </c>
      <c r="R35" s="140">
        <v>2.3968362303155142</v>
      </c>
      <c r="S35" s="140"/>
      <c r="T35" s="161">
        <v>1697.6410000011963</v>
      </c>
      <c r="U35" s="162">
        <v>1865.8430000002486</v>
      </c>
      <c r="V35" s="168"/>
      <c r="Y35" s="134"/>
      <c r="Z35" s="150"/>
      <c r="AA35" s="150"/>
      <c r="AB35" s="134"/>
      <c r="AC35" s="150"/>
      <c r="AE35" s="134"/>
      <c r="AF35" s="150"/>
    </row>
    <row r="36" spans="1:32" x14ac:dyDescent="0.3">
      <c r="A36" t="str">
        <f>name!A34</f>
        <v>Motor vehicle trade</v>
      </c>
      <c r="B36" s="150">
        <v>569.9599999994731</v>
      </c>
      <c r="C36" s="140">
        <v>1.842663035394082</v>
      </c>
      <c r="D36" s="164">
        <v>100</v>
      </c>
      <c r="E36" s="150">
        <v>641.79699999991612</v>
      </c>
      <c r="F36" s="140">
        <v>1.9331098108187363</v>
      </c>
      <c r="H36" s="150">
        <v>71.837000000443084</v>
      </c>
      <c r="I36" s="140">
        <v>12.603866938120129</v>
      </c>
      <c r="K36" s="150">
        <v>41.808458009533737</v>
      </c>
      <c r="L36" s="140">
        <v>7.3353319547990017</v>
      </c>
      <c r="N36" s="150">
        <v>2.0521604546274403</v>
      </c>
      <c r="O36" s="140">
        <v>0.36005341684141651</v>
      </c>
      <c r="Q36" s="150">
        <v>27.976381536281906</v>
      </c>
      <c r="R36" s="140">
        <v>4.9084815664797121</v>
      </c>
      <c r="S36" s="140"/>
      <c r="T36" s="161">
        <v>569.9599999994731</v>
      </c>
      <c r="U36" s="162">
        <v>641.79699999991612</v>
      </c>
      <c r="V36" s="168"/>
      <c r="Y36" s="134"/>
      <c r="Z36" s="150"/>
      <c r="AA36" s="150"/>
      <c r="AB36" s="134"/>
      <c r="AC36" s="150"/>
      <c r="AE36" s="134"/>
      <c r="AF36" s="150"/>
    </row>
    <row r="37" spans="1:32" x14ac:dyDescent="0.3">
      <c r="A37" t="str">
        <f>name!A35</f>
        <v>Wholesale trade</v>
      </c>
      <c r="B37" s="150">
        <v>1164.0059999989242</v>
      </c>
      <c r="C37" s="140">
        <v>3.7631953631428945</v>
      </c>
      <c r="D37" s="164">
        <v>100</v>
      </c>
      <c r="E37" s="150">
        <v>1232.8599999998389</v>
      </c>
      <c r="F37" s="140">
        <v>3.7134074502778711</v>
      </c>
      <c r="H37" s="150">
        <v>68.854000000914795</v>
      </c>
      <c r="I37" s="140">
        <v>5.9152616052647868</v>
      </c>
      <c r="K37" s="150">
        <v>85.383704073698738</v>
      </c>
      <c r="L37" s="140">
        <v>7.3353319547989999</v>
      </c>
      <c r="N37" s="150">
        <v>-1.1296454231819553</v>
      </c>
      <c r="O37" s="140">
        <v>-9.7048075627015618E-2</v>
      </c>
      <c r="Q37" s="150">
        <v>-15.400058649601988</v>
      </c>
      <c r="R37" s="140">
        <v>-1.3230222739071982</v>
      </c>
      <c r="S37" s="140"/>
      <c r="T37" s="161">
        <v>1164.0059999989242</v>
      </c>
      <c r="U37" s="162">
        <v>1232.8599999998389</v>
      </c>
      <c r="V37" s="168"/>
      <c r="Y37" s="134"/>
      <c r="Z37" s="150"/>
      <c r="AA37" s="150"/>
      <c r="AB37" s="134"/>
      <c r="AC37" s="150"/>
      <c r="AE37" s="134"/>
      <c r="AF37" s="150"/>
    </row>
    <row r="38" spans="1:32" x14ac:dyDescent="0.3">
      <c r="A38" t="str">
        <f>name!A36</f>
        <v>Retail trade</v>
      </c>
      <c r="B38" s="150">
        <v>3028.8189999972019</v>
      </c>
      <c r="C38" s="140">
        <v>9.7920780619679828</v>
      </c>
      <c r="D38" s="164">
        <v>100</v>
      </c>
      <c r="E38" s="150">
        <v>3261.3079999995739</v>
      </c>
      <c r="F38" s="140">
        <v>9.8231473361540029</v>
      </c>
      <c r="H38" s="150">
        <v>232.48900000237208</v>
      </c>
      <c r="I38" s="140">
        <v>7.675896116690593</v>
      </c>
      <c r="K38" s="150">
        <v>222.17392795981831</v>
      </c>
      <c r="L38" s="140">
        <v>7.3353319547990017</v>
      </c>
      <c r="N38" s="150">
        <v>0.70493542239819362</v>
      </c>
      <c r="O38" s="140">
        <v>2.3274267045962298E-2</v>
      </c>
      <c r="Q38" s="150">
        <v>9.610136620155572</v>
      </c>
      <c r="R38" s="140">
        <v>0.31728989484562958</v>
      </c>
      <c r="S38" s="140"/>
      <c r="T38" s="161">
        <v>3028.8189999972019</v>
      </c>
      <c r="U38" s="162">
        <v>3261.3079999995739</v>
      </c>
      <c r="V38" s="168"/>
      <c r="Y38" s="134"/>
      <c r="Z38" s="150"/>
      <c r="AA38" s="150"/>
      <c r="AB38" s="134"/>
      <c r="AC38" s="150"/>
      <c r="AE38" s="134"/>
      <c r="AF38" s="150"/>
    </row>
    <row r="39" spans="1:32" x14ac:dyDescent="0.3">
      <c r="A39" t="str">
        <f>name!A37</f>
        <v>Land transport, etc</v>
      </c>
      <c r="B39" s="150">
        <v>716.96500000073365</v>
      </c>
      <c r="C39" s="140">
        <v>2.3179256494734561</v>
      </c>
      <c r="D39" s="164">
        <v>100</v>
      </c>
      <c r="E39" s="150">
        <v>704.04699999997217</v>
      </c>
      <c r="F39" s="140">
        <v>2.1206084836445522</v>
      </c>
      <c r="H39" s="150">
        <v>-12.918000000761472</v>
      </c>
      <c r="I39" s="140">
        <v>-1.8017615923717691</v>
      </c>
      <c r="K39" s="150">
        <v>52.591762749778475</v>
      </c>
      <c r="L39" s="140">
        <v>7.3353319547990017</v>
      </c>
      <c r="N39" s="150">
        <v>-4.476958773069212</v>
      </c>
      <c r="O39" s="140">
        <v>-0.62443198385759846</v>
      </c>
      <c r="Q39" s="150">
        <v>-61.032803977470735</v>
      </c>
      <c r="R39" s="140">
        <v>-8.5126615633131717</v>
      </c>
      <c r="S39" s="140"/>
      <c r="T39" s="161">
        <v>716.96500000073365</v>
      </c>
      <c r="U39" s="162">
        <v>704.04699999997217</v>
      </c>
      <c r="V39" s="168"/>
      <c r="Y39" s="134"/>
      <c r="Z39" s="150"/>
      <c r="AA39" s="150"/>
      <c r="AB39" s="134"/>
      <c r="AC39" s="150"/>
      <c r="AE39" s="134"/>
      <c r="AF39" s="150"/>
    </row>
    <row r="40" spans="1:32" x14ac:dyDescent="0.3">
      <c r="A40" t="str">
        <f>name!A38</f>
        <v>Water transport</v>
      </c>
      <c r="B40" s="150">
        <v>18.247000000011084</v>
      </c>
      <c r="C40" s="140">
        <v>5.8991986116371888E-2</v>
      </c>
      <c r="D40" s="164">
        <v>100</v>
      </c>
      <c r="E40" s="150">
        <v>17.84799999999214</v>
      </c>
      <c r="F40" s="140">
        <v>5.3758655623946702E-2</v>
      </c>
      <c r="H40" s="150">
        <v>-0.39900000001894298</v>
      </c>
      <c r="I40" s="140">
        <v>-2.1866608210593554</v>
      </c>
      <c r="K40" s="150">
        <v>1.338478021792987</v>
      </c>
      <c r="L40" s="140">
        <v>7.3353319547990026</v>
      </c>
      <c r="N40" s="150">
        <v>-0.11873982054226906</v>
      </c>
      <c r="O40" s="140">
        <v>-0.65073612397762337</v>
      </c>
      <c r="Q40" s="150">
        <v>-1.6187382012696609</v>
      </c>
      <c r="R40" s="140">
        <v>-8.871256651880735</v>
      </c>
      <c r="S40" s="140"/>
      <c r="T40" s="161">
        <v>18.247000000011084</v>
      </c>
      <c r="U40" s="162">
        <v>17.84799999999214</v>
      </c>
      <c r="V40" s="168"/>
      <c r="Y40" s="134"/>
      <c r="Z40" s="150"/>
      <c r="AA40" s="150"/>
      <c r="AB40" s="134"/>
      <c r="AC40" s="150"/>
      <c r="AE40" s="134"/>
      <c r="AF40" s="150"/>
    </row>
    <row r="41" spans="1:32" x14ac:dyDescent="0.3">
      <c r="A41" t="str">
        <f>name!A39</f>
        <v>Air transport</v>
      </c>
      <c r="B41" s="150">
        <v>83.957000000060233</v>
      </c>
      <c r="C41" s="140">
        <v>0.2714303818914221</v>
      </c>
      <c r="D41" s="164">
        <v>100</v>
      </c>
      <c r="E41" s="150">
        <v>115.2650000001187</v>
      </c>
      <c r="F41" s="140">
        <v>0.34718127748225713</v>
      </c>
      <c r="H41" s="150">
        <v>31.30800000005847</v>
      </c>
      <c r="I41" s="140">
        <v>37.290517765089284</v>
      </c>
      <c r="K41" s="150">
        <v>6.1585246492950159</v>
      </c>
      <c r="L41" s="140">
        <v>7.3353319547990017</v>
      </c>
      <c r="N41" s="150">
        <v>1.7187234326956968</v>
      </c>
      <c r="O41" s="140">
        <v>2.0471472690716244</v>
      </c>
      <c r="Q41" s="150">
        <v>23.430751918067756</v>
      </c>
      <c r="R41" s="140">
        <v>27.908038541218655</v>
      </c>
      <c r="S41" s="140"/>
      <c r="T41" s="161">
        <v>83.957000000060233</v>
      </c>
      <c r="U41" s="162">
        <v>115.2650000001187</v>
      </c>
      <c r="V41" s="168"/>
      <c r="Y41" s="134"/>
      <c r="Z41" s="150"/>
      <c r="AA41" s="150"/>
      <c r="AB41" s="134"/>
      <c r="AC41" s="150"/>
      <c r="AE41" s="134"/>
      <c r="AF41" s="150"/>
    </row>
    <row r="42" spans="1:32" x14ac:dyDescent="0.3">
      <c r="A42" t="str">
        <f>name!A40</f>
        <v>Warehousing, etc</v>
      </c>
      <c r="B42" s="150">
        <v>340.75900000006266</v>
      </c>
      <c r="C42" s="140">
        <v>1.1016632979130954</v>
      </c>
      <c r="D42" s="164">
        <v>100</v>
      </c>
      <c r="E42" s="150">
        <v>336.28300000019055</v>
      </c>
      <c r="F42" s="140">
        <v>1.0128934328331394</v>
      </c>
      <c r="H42" s="150">
        <v>-4.4759999998720597</v>
      </c>
      <c r="I42" s="140">
        <v>-1.3135383070942328</v>
      </c>
      <c r="K42" s="150">
        <v>24.995803815858125</v>
      </c>
      <c r="L42" s="140">
        <v>7.3353319547990017</v>
      </c>
      <c r="N42" s="150">
        <v>-2.01411278427996</v>
      </c>
      <c r="O42" s="140">
        <v>-0.59106664366299633</v>
      </c>
      <c r="Q42" s="150">
        <v>-27.457691031450224</v>
      </c>
      <c r="R42" s="140">
        <v>-8.0578036182302366</v>
      </c>
      <c r="S42" s="140"/>
      <c r="T42" s="161">
        <v>340.75900000006266</v>
      </c>
      <c r="U42" s="162">
        <v>336.28300000019055</v>
      </c>
      <c r="V42" s="168"/>
      <c r="Y42" s="134"/>
      <c r="Z42" s="150"/>
      <c r="AA42" s="150"/>
      <c r="AB42" s="134"/>
      <c r="AC42" s="150"/>
      <c r="AE42" s="134"/>
      <c r="AF42" s="150"/>
    </row>
    <row r="43" spans="1:32" x14ac:dyDescent="0.3">
      <c r="A43" t="str">
        <f>name!A41</f>
        <v>Postal and courier</v>
      </c>
      <c r="B43" s="150">
        <v>325.27900000005985</v>
      </c>
      <c r="C43" s="140">
        <v>1.0516169371370201</v>
      </c>
      <c r="D43" s="164">
        <v>100</v>
      </c>
      <c r="E43" s="150">
        <v>535.52800000030322</v>
      </c>
      <c r="F43" s="140">
        <v>1.6130247270848221</v>
      </c>
      <c r="H43" s="150">
        <v>210.24900000024343</v>
      </c>
      <c r="I43" s="140">
        <v>64.63651204049593</v>
      </c>
      <c r="K43" s="150">
        <v>23.860294429255035</v>
      </c>
      <c r="L43" s="140">
        <v>7.3353319547990017</v>
      </c>
      <c r="N43" s="150">
        <v>12.737865557301006</v>
      </c>
      <c r="O43" s="140">
        <v>3.9159815288717268</v>
      </c>
      <c r="Q43" s="150">
        <v>173.6508400136874</v>
      </c>
      <c r="R43" s="140">
        <v>53.385198556825195</v>
      </c>
      <c r="S43" s="140"/>
      <c r="T43" s="161">
        <v>325.27900000005985</v>
      </c>
      <c r="U43" s="162">
        <v>535.52800000030322</v>
      </c>
      <c r="V43" s="168"/>
      <c r="Y43" s="134"/>
      <c r="Z43" s="150"/>
      <c r="AA43" s="150"/>
      <c r="AB43" s="134"/>
      <c r="AC43" s="150"/>
      <c r="AE43" s="134"/>
      <c r="AF43" s="150"/>
    </row>
    <row r="44" spans="1:32" x14ac:dyDescent="0.3">
      <c r="A44" t="str">
        <f>name!A42</f>
        <v>Accommodation</v>
      </c>
      <c r="B44" s="150">
        <v>2144.1589999988464</v>
      </c>
      <c r="C44" s="140">
        <v>6.9319996689400423</v>
      </c>
      <c r="D44" s="164">
        <v>100</v>
      </c>
      <c r="E44" s="150">
        <v>2258.3650000006869</v>
      </c>
      <c r="F44" s="140">
        <v>6.8022560683698323</v>
      </c>
      <c r="H44" s="150">
        <v>114.20600000184029</v>
      </c>
      <c r="I44" s="140">
        <v>5.3263773816168358</v>
      </c>
      <c r="K44" s="150">
        <v>157.28118028861411</v>
      </c>
      <c r="L44" s="140">
        <v>7.3353319547990017</v>
      </c>
      <c r="N44" s="150">
        <v>-2.9437720148788173</v>
      </c>
      <c r="O44" s="140">
        <v>-0.13729261751952168</v>
      </c>
      <c r="Q44" s="150">
        <v>-40.131408271894998</v>
      </c>
      <c r="R44" s="140">
        <v>-1.8716619556626439</v>
      </c>
      <c r="S44" s="140"/>
      <c r="T44" s="161">
        <v>2144.1589999988464</v>
      </c>
      <c r="U44" s="162">
        <v>2258.3650000006869</v>
      </c>
      <c r="V44" s="168"/>
      <c r="Y44" s="134"/>
      <c r="Z44" s="150"/>
      <c r="AA44" s="150"/>
      <c r="AB44" s="134"/>
      <c r="AC44" s="150"/>
      <c r="AE44" s="134"/>
      <c r="AF44" s="150"/>
    </row>
    <row r="45" spans="1:32" x14ac:dyDescent="0.3">
      <c r="A45" t="str">
        <f>name!A43</f>
        <v>Food and beverage services</v>
      </c>
      <c r="B45" s="150">
        <v>197.47100000001379</v>
      </c>
      <c r="C45" s="140">
        <v>0.63841762976817074</v>
      </c>
      <c r="D45" s="164">
        <v>100</v>
      </c>
      <c r="E45" s="150">
        <v>286.78200000015835</v>
      </c>
      <c r="F45" s="140">
        <v>0.86379509060746196</v>
      </c>
      <c r="H45" s="150">
        <v>89.311000000144531</v>
      </c>
      <c r="I45" s="140">
        <v>45.227400479127716</v>
      </c>
      <c r="K45" s="150">
        <v>14.485153364462148</v>
      </c>
      <c r="L45" s="140">
        <v>7.3353319547990017</v>
      </c>
      <c r="N45" s="150">
        <v>5.1136230156045031</v>
      </c>
      <c r="O45" s="140">
        <v>2.5895564491009546</v>
      </c>
      <c r="Q45" s="150">
        <v>69.712223620077879</v>
      </c>
      <c r="R45" s="140">
        <v>35.30251207522776</v>
      </c>
      <c r="S45" s="140"/>
      <c r="T45" s="161">
        <v>197.47100000001379</v>
      </c>
      <c r="U45" s="162">
        <v>286.78200000015835</v>
      </c>
      <c r="V45" s="168"/>
      <c r="Y45" s="134"/>
      <c r="Z45" s="150"/>
      <c r="AA45" s="150"/>
      <c r="AB45" s="134"/>
      <c r="AC45" s="150"/>
      <c r="AE45" s="134"/>
      <c r="AF45" s="150"/>
    </row>
    <row r="46" spans="1:32" x14ac:dyDescent="0.3">
      <c r="A46" t="str">
        <f>name!A44</f>
        <v>Publishing activities</v>
      </c>
      <c r="B46" s="150">
        <v>187.13600000001301</v>
      </c>
      <c r="C46" s="140">
        <v>0.60500489471515484</v>
      </c>
      <c r="D46" s="164">
        <v>100</v>
      </c>
      <c r="E46" s="150">
        <v>179.50800000009909</v>
      </c>
      <c r="F46" s="140">
        <v>0.54068291986513894</v>
      </c>
      <c r="H46" s="150">
        <v>-7.6279999999139108</v>
      </c>
      <c r="I46" s="140">
        <v>-4.076179890514589</v>
      </c>
      <c r="K46" s="150">
        <v>13.727046806933613</v>
      </c>
      <c r="L46" s="140">
        <v>7.3353319547990017</v>
      </c>
      <c r="N46" s="150">
        <v>-1.4594109356690108</v>
      </c>
      <c r="O46" s="140">
        <v>-0.77986647981623491</v>
      </c>
      <c r="Q46" s="150">
        <v>-19.895635871178513</v>
      </c>
      <c r="R46" s="140">
        <v>-10.631645365497354</v>
      </c>
      <c r="S46" s="140"/>
      <c r="T46" s="161">
        <v>187.13600000001301</v>
      </c>
      <c r="U46" s="161">
        <v>179.50800000009909</v>
      </c>
      <c r="V46" s="168"/>
      <c r="Y46" s="134"/>
      <c r="Z46" s="150"/>
      <c r="AA46" s="150"/>
      <c r="AB46" s="134"/>
      <c r="AC46" s="150"/>
      <c r="AE46" s="134"/>
      <c r="AF46" s="150"/>
    </row>
    <row r="47" spans="1:32" x14ac:dyDescent="0.3">
      <c r="A47" t="str">
        <f>name!A45</f>
        <v>Film and music</v>
      </c>
      <c r="B47" s="150">
        <v>199.87700000026544</v>
      </c>
      <c r="C47" s="140">
        <v>0.64619615328495417</v>
      </c>
      <c r="D47" s="164">
        <v>100</v>
      </c>
      <c r="E47" s="150">
        <v>198.79299999997147</v>
      </c>
      <c r="F47" s="140">
        <v>0.59876985810479655</v>
      </c>
      <c r="H47" s="150">
        <v>-1.0840000002939487</v>
      </c>
      <c r="I47" s="140">
        <v>-0.54233353527044592</v>
      </c>
      <c r="K47" s="150">
        <v>14.66164145131307</v>
      </c>
      <c r="L47" s="140">
        <v>7.3353319547990017</v>
      </c>
      <c r="N47" s="150">
        <v>-1.0760623252874428</v>
      </c>
      <c r="O47" s="140">
        <v>-0.53836225543009641</v>
      </c>
      <c r="Q47" s="150">
        <v>-14.669579126319576</v>
      </c>
      <c r="R47" s="140">
        <v>-7.3393032346393507</v>
      </c>
      <c r="S47" s="140"/>
      <c r="T47" s="161">
        <v>199.87700000026544</v>
      </c>
      <c r="U47" s="161">
        <v>198.79299999997147</v>
      </c>
      <c r="V47" s="168"/>
      <c r="Y47" s="134"/>
      <c r="Z47" s="134"/>
      <c r="AA47" s="134"/>
      <c r="AB47" s="134"/>
      <c r="AC47" s="134"/>
      <c r="AE47" s="134"/>
      <c r="AF47" s="150"/>
    </row>
    <row r="48" spans="1:32" x14ac:dyDescent="0.3">
      <c r="A48" t="str">
        <f>name!A46</f>
        <v>Broadcasting</v>
      </c>
      <c r="B48" s="150">
        <v>438.62000000015314</v>
      </c>
      <c r="C48" s="140">
        <v>1.4180448813698885</v>
      </c>
      <c r="D48" s="164">
        <v>100</v>
      </c>
      <c r="E48" s="150">
        <v>414.383999999926</v>
      </c>
      <c r="F48" s="140">
        <v>1.2481357436171761</v>
      </c>
      <c r="H48" s="150">
        <v>-24.236000000227126</v>
      </c>
      <c r="I48" s="140">
        <v>-5.525511832615627</v>
      </c>
      <c r="K48" s="150">
        <v>32.174233020150616</v>
      </c>
      <c r="L48" s="140">
        <v>7.3353319547990017</v>
      </c>
      <c r="N48" s="150">
        <v>-3.8550939128439801</v>
      </c>
      <c r="O48" s="140">
        <v>-0.87891430232151613</v>
      </c>
      <c r="Q48" s="150">
        <v>-52.555139107533762</v>
      </c>
      <c r="R48" s="140">
        <v>-11.981929485093113</v>
      </c>
      <c r="S48" s="140"/>
      <c r="T48" s="161">
        <v>438.62000000015314</v>
      </c>
      <c r="U48" s="161">
        <v>414.383999999926</v>
      </c>
      <c r="Y48" s="134"/>
      <c r="Z48" s="134"/>
      <c r="AA48" s="134"/>
      <c r="AB48" s="134"/>
      <c r="AC48" s="134"/>
      <c r="AE48" s="134"/>
    </row>
    <row r="49" spans="1:21" x14ac:dyDescent="0.3">
      <c r="A49" t="str">
        <f>name!A47</f>
        <v>Telecommunications</v>
      </c>
      <c r="B49" s="150">
        <v>613.98799999968332</v>
      </c>
      <c r="C49" s="140">
        <v>1.9850041963927363</v>
      </c>
      <c r="D49" s="164">
        <v>100</v>
      </c>
      <c r="E49" s="150">
        <v>538.85800000020777</v>
      </c>
      <c r="F49" s="140">
        <v>1.6230547765706296</v>
      </c>
      <c r="H49" s="150">
        <v>-75.129999999475544</v>
      </c>
      <c r="I49" s="140">
        <v>-12.236395499507205</v>
      </c>
      <c r="K49" s="150">
        <v>45.038057962608065</v>
      </c>
      <c r="L49" s="140">
        <v>7.3353319547990017</v>
      </c>
      <c r="N49" s="150">
        <v>-8.2123246787610498</v>
      </c>
      <c r="O49" s="140">
        <v>-1.3375383034791049</v>
      </c>
      <c r="Q49" s="150">
        <v>-111.95573328332256</v>
      </c>
      <c r="R49" s="140">
        <v>-18.234189150827103</v>
      </c>
      <c r="S49" s="140"/>
      <c r="T49" s="161">
        <v>613.98799999968332</v>
      </c>
      <c r="U49" s="161">
        <v>538.85800000020777</v>
      </c>
    </row>
    <row r="50" spans="1:21" x14ac:dyDescent="0.3">
      <c r="A50" t="str">
        <f>name!A48</f>
        <v>Computing services</v>
      </c>
      <c r="B50" s="150">
        <v>132.72299999993143</v>
      </c>
      <c r="C50" s="140">
        <v>0.42908935021178413</v>
      </c>
      <c r="D50" s="164">
        <v>100</v>
      </c>
      <c r="E50" s="150">
        <v>135.03200000005205</v>
      </c>
      <c r="F50" s="140">
        <v>0.40672001267474028</v>
      </c>
      <c r="H50" s="150">
        <v>2.3090000001206064</v>
      </c>
      <c r="I50" s="140">
        <v>1.7397135388152762</v>
      </c>
      <c r="K50" s="150">
        <v>9.7356726303628491</v>
      </c>
      <c r="L50" s="140">
        <v>7.3353319547990017</v>
      </c>
      <c r="N50" s="150">
        <v>-0.50754125477889156</v>
      </c>
      <c r="O50" s="140">
        <v>-0.38240640640970575</v>
      </c>
      <c r="Q50" s="150">
        <v>-6.9191313754633512</v>
      </c>
      <c r="R50" s="140">
        <v>-5.2132120095740202</v>
      </c>
      <c r="S50" s="140"/>
      <c r="T50" s="161">
        <v>132.72299999993143</v>
      </c>
      <c r="U50" s="161">
        <v>135.03200000005205</v>
      </c>
    </row>
    <row r="51" spans="1:21" x14ac:dyDescent="0.3">
      <c r="A51" t="str">
        <f>name!A49</f>
        <v>Information services</v>
      </c>
      <c r="B51" s="150">
        <v>312.76299999983866</v>
      </c>
      <c r="C51" s="140">
        <v>1.0111530966018576</v>
      </c>
      <c r="D51" s="164">
        <v>100</v>
      </c>
      <c r="E51" s="150">
        <v>502.44200000019339</v>
      </c>
      <c r="F51" s="140">
        <v>1.5133688059743005</v>
      </c>
      <c r="H51" s="150">
        <v>189.6790000003547</v>
      </c>
      <c r="I51" s="140">
        <v>60.646240124456078</v>
      </c>
      <c r="K51" s="150">
        <v>22.942204281776167</v>
      </c>
      <c r="L51" s="140">
        <v>7.3353319547990017</v>
      </c>
      <c r="N51" s="150">
        <v>11.394847562313828</v>
      </c>
      <c r="O51" s="140">
        <v>3.6432850312599978</v>
      </c>
      <c r="Q51" s="150">
        <v>155.34194815626472</v>
      </c>
      <c r="R51" s="140">
        <v>49.667623138397076</v>
      </c>
      <c r="S51" s="140"/>
      <c r="T51" s="161">
        <v>312.76299999983866</v>
      </c>
      <c r="U51" s="161">
        <v>502.44200000019339</v>
      </c>
    </row>
    <row r="52" spans="1:21" x14ac:dyDescent="0.3">
      <c r="A52" t="str">
        <f>name!A50</f>
        <v>Financial services</v>
      </c>
      <c r="B52" s="150">
        <v>548.61799999979723</v>
      </c>
      <c r="C52" s="140">
        <v>1.7736650100926228</v>
      </c>
      <c r="D52" s="164">
        <v>100</v>
      </c>
      <c r="E52" s="150">
        <v>580.38300000007268</v>
      </c>
      <c r="F52" s="140">
        <v>1.7481291924591382</v>
      </c>
      <c r="H52" s="150">
        <v>31.765000000275439</v>
      </c>
      <c r="I52" s="140">
        <v>5.7900032445685667</v>
      </c>
      <c r="K52" s="150">
        <v>40.242951463764314</v>
      </c>
      <c r="L52" s="140">
        <v>7.3353319547990017</v>
      </c>
      <c r="N52" s="150">
        <v>-0.57938599665903823</v>
      </c>
      <c r="O52" s="140">
        <v>-0.10560827327197655</v>
      </c>
      <c r="Q52" s="150">
        <v>-7.8985654668298366</v>
      </c>
      <c r="R52" s="140">
        <v>-1.4397204369584586</v>
      </c>
      <c r="S52" s="140"/>
      <c r="T52" s="161">
        <v>548.61799999979723</v>
      </c>
      <c r="U52" s="161">
        <v>580.38300000007268</v>
      </c>
    </row>
    <row r="53" spans="1:21" x14ac:dyDescent="0.3">
      <c r="A53" t="str">
        <f>name!A51</f>
        <v>Insurance and pensions</v>
      </c>
      <c r="B53" s="150">
        <v>1501.1650000006377</v>
      </c>
      <c r="C53" s="140">
        <v>4.8532199725087537</v>
      </c>
      <c r="D53" s="164">
        <v>100</v>
      </c>
      <c r="E53" s="150">
        <v>1898.5639999980804</v>
      </c>
      <c r="F53" s="140">
        <v>5.7185257875372297</v>
      </c>
      <c r="H53" s="150">
        <v>397.39899999744262</v>
      </c>
      <c r="I53" s="140">
        <v>26.472706198004467</v>
      </c>
      <c r="K53" s="150">
        <v>110.11543593930521</v>
      </c>
      <c r="L53" s="140">
        <v>7.3353319547990017</v>
      </c>
      <c r="N53" s="150">
        <v>19.633053433064049</v>
      </c>
      <c r="O53" s="140">
        <v>1.3078544619049677</v>
      </c>
      <c r="Q53" s="150">
        <v>267.65051062507337</v>
      </c>
      <c r="R53" s="140">
        <v>17.829519781300501</v>
      </c>
      <c r="S53" s="140"/>
      <c r="T53" s="161">
        <v>1501.1650000006377</v>
      </c>
      <c r="U53" s="161">
        <v>1898.5639999980804</v>
      </c>
    </row>
    <row r="54" spans="1:21" x14ac:dyDescent="0.3">
      <c r="A54" t="str">
        <f>name!A52</f>
        <v>Auxiliary financial services</v>
      </c>
      <c r="B54" s="150">
        <v>471.13500000027409</v>
      </c>
      <c r="C54" s="140">
        <v>1.5231648697833153</v>
      </c>
      <c r="D54" s="164">
        <v>100</v>
      </c>
      <c r="E54" s="150">
        <v>502.06400000003481</v>
      </c>
      <c r="F54" s="140">
        <v>1.5122302598159418</v>
      </c>
      <c r="H54" s="150">
        <v>30.928999999760709</v>
      </c>
      <c r="I54" s="140">
        <v>6.5647850403265977</v>
      </c>
      <c r="K54" s="150">
        <v>34.559316205262384</v>
      </c>
      <c r="L54" s="140">
        <v>7.3353319547990017</v>
      </c>
      <c r="N54" s="150">
        <v>-0.24809700574137494</v>
      </c>
      <c r="O54" s="140">
        <v>-5.2659430044728284E-2</v>
      </c>
      <c r="Q54" s="150">
        <v>-3.3822191997602999</v>
      </c>
      <c r="R54" s="140">
        <v>-0.71788748442767625</v>
      </c>
      <c r="S54" s="140"/>
      <c r="T54" s="161">
        <v>471.13500000027409</v>
      </c>
      <c r="U54" s="161">
        <v>502.06400000003481</v>
      </c>
    </row>
    <row r="55" spans="1:21" x14ac:dyDescent="0.3">
      <c r="A55" t="str">
        <f>name!A53</f>
        <v>Real estate</v>
      </c>
      <c r="B55" s="150">
        <v>106.49900000005229</v>
      </c>
      <c r="C55" s="140">
        <v>0.34430797004476121</v>
      </c>
      <c r="D55" s="164">
        <v>100</v>
      </c>
      <c r="E55" s="150">
        <v>125.1209999999075</v>
      </c>
      <c r="F55" s="140">
        <v>0.37686781433896366</v>
      </c>
      <c r="H55" s="150">
        <v>18.621999999855209</v>
      </c>
      <c r="I55" s="140">
        <v>17.485610193378402</v>
      </c>
      <c r="K55" s="150">
        <v>7.8120551785452239</v>
      </c>
      <c r="L55" s="140">
        <v>7.3353319547990017</v>
      </c>
      <c r="N55" s="150">
        <v>0.73875519116819888</v>
      </c>
      <c r="O55" s="140">
        <v>0.6936733595318606</v>
      </c>
      <c r="Q55" s="150">
        <v>10.071189630141788</v>
      </c>
      <c r="R55" s="140">
        <v>9.4566048790475428</v>
      </c>
      <c r="S55" s="140"/>
      <c r="T55" s="161">
        <v>106.49900000005229</v>
      </c>
      <c r="U55" s="161">
        <v>125.1209999999075</v>
      </c>
    </row>
    <row r="56" spans="1:21" x14ac:dyDescent="0.3">
      <c r="A56" t="str">
        <f>name!A54</f>
        <v>Legal and accounting</v>
      </c>
      <c r="B56" s="150">
        <v>216.71200000001988</v>
      </c>
      <c r="C56" s="140">
        <v>0.7006231871126537</v>
      </c>
      <c r="D56" s="164">
        <v>100</v>
      </c>
      <c r="E56" s="150">
        <v>307.62700000008448</v>
      </c>
      <c r="F56" s="140">
        <v>0.92658079076869526</v>
      </c>
      <c r="H56" s="150">
        <v>90.91500000006458</v>
      </c>
      <c r="I56" s="140">
        <v>41.951991583325444</v>
      </c>
      <c r="K56" s="150">
        <v>15.89654458588547</v>
      </c>
      <c r="L56" s="140">
        <v>7.3353319547990017</v>
      </c>
      <c r="N56" s="150">
        <v>5.1267859629951857</v>
      </c>
      <c r="O56" s="140">
        <v>2.3657139258530746</v>
      </c>
      <c r="Q56" s="150">
        <v>69.89166945118393</v>
      </c>
      <c r="R56" s="140">
        <v>32.25094570267337</v>
      </c>
      <c r="S56" s="140"/>
      <c r="T56" s="161">
        <v>216.71200000001988</v>
      </c>
      <c r="U56" s="161">
        <v>307.62700000008448</v>
      </c>
    </row>
    <row r="57" spans="1:21" ht="12.75" customHeight="1" x14ac:dyDescent="0.3">
      <c r="A57" t="str">
        <f>name!A55</f>
        <v>Head offices, etc</v>
      </c>
      <c r="B57" s="150">
        <v>488.51200000004457</v>
      </c>
      <c r="C57" s="140">
        <v>1.5793441728320374</v>
      </c>
      <c r="D57" s="164">
        <v>100</v>
      </c>
      <c r="E57" s="150">
        <v>554.93600000015249</v>
      </c>
      <c r="F57" s="140">
        <v>1.6714821446297523</v>
      </c>
      <c r="H57" s="150">
        <v>66.424000000107924</v>
      </c>
      <c r="I57" s="140">
        <v>13.597209485151206</v>
      </c>
      <c r="K57" s="150">
        <v>35.833976839030967</v>
      </c>
      <c r="L57" s="140">
        <v>7.3353319547990017</v>
      </c>
      <c r="N57" s="150">
        <v>2.0905322628152163</v>
      </c>
      <c r="O57" s="140">
        <v>0.42793877383053552</v>
      </c>
      <c r="Q57" s="150">
        <v>28.49949089826174</v>
      </c>
      <c r="R57" s="140">
        <v>5.83393875652167</v>
      </c>
      <c r="S57" s="140"/>
      <c r="T57" s="161">
        <v>488.51200000004457</v>
      </c>
      <c r="U57" s="161">
        <v>554.93600000015249</v>
      </c>
    </row>
    <row r="58" spans="1:21" x14ac:dyDescent="0.3">
      <c r="A58" t="str">
        <f>name!A56</f>
        <v>Architectural and related</v>
      </c>
      <c r="B58" s="150">
        <v>154.33900000012474</v>
      </c>
      <c r="C58" s="140">
        <v>0.49897320903252856</v>
      </c>
      <c r="D58" s="164">
        <v>100</v>
      </c>
      <c r="E58" s="150">
        <v>141.48199999997618</v>
      </c>
      <c r="F58" s="140">
        <v>0.42614758600343433</v>
      </c>
      <c r="H58" s="150">
        <v>-12.857000000148545</v>
      </c>
      <c r="I58" s="140">
        <v>-8.3303636800407901</v>
      </c>
      <c r="K58" s="150">
        <v>11.321277985726381</v>
      </c>
      <c r="L58" s="140">
        <v>7.3353319547990017</v>
      </c>
      <c r="N58" s="150">
        <v>-1.6523514847514473</v>
      </c>
      <c r="O58" s="140">
        <v>-1.0705988018259234</v>
      </c>
      <c r="Q58" s="150">
        <v>-22.525926501123479</v>
      </c>
      <c r="R58" s="140">
        <v>-14.595096833013868</v>
      </c>
      <c r="S58" s="140"/>
      <c r="T58" s="161">
        <v>154.33900000012474</v>
      </c>
      <c r="U58" s="161">
        <v>141.48199999997618</v>
      </c>
    </row>
    <row r="59" spans="1:21" x14ac:dyDescent="0.3">
      <c r="A59" t="str">
        <f>name!A57</f>
        <v>Scientific research and development</v>
      </c>
      <c r="B59" s="150">
        <v>945.30400000076372</v>
      </c>
      <c r="C59" s="140">
        <v>3.0561385676419133</v>
      </c>
      <c r="D59" s="164">
        <v>100</v>
      </c>
      <c r="E59" s="150">
        <v>1147.9249999998067</v>
      </c>
      <c r="F59" s="140">
        <v>3.4575809478449013</v>
      </c>
      <c r="H59" s="150">
        <v>202.62099999904308</v>
      </c>
      <c r="I59" s="140">
        <v>21.434480336365802</v>
      </c>
      <c r="K59" s="150">
        <v>69.341186382049173</v>
      </c>
      <c r="L59" s="140">
        <v>7.3353319547990017</v>
      </c>
      <c r="N59" s="150">
        <v>9.1083863807875787</v>
      </c>
      <c r="O59" s="140">
        <v>0.96354044633051583</v>
      </c>
      <c r="Q59" s="150">
        <v>124.17142723620634</v>
      </c>
      <c r="R59" s="140">
        <v>13.135607935236285</v>
      </c>
      <c r="S59" s="140"/>
      <c r="T59" s="161">
        <v>945.30400000076372</v>
      </c>
      <c r="U59" s="161">
        <v>1147.9249999998067</v>
      </c>
    </row>
    <row r="60" spans="1:21" x14ac:dyDescent="0.3">
      <c r="A60" t="str">
        <f>name!A58</f>
        <v>Advertising, etc</v>
      </c>
      <c r="B60" s="150">
        <v>116.95000000009452</v>
      </c>
      <c r="C60" s="140">
        <v>0.37809572950682724</v>
      </c>
      <c r="D60" s="164">
        <v>100</v>
      </c>
      <c r="E60" s="150">
        <v>118.9089999999799</v>
      </c>
      <c r="F60" s="140">
        <v>0.35815710340596213</v>
      </c>
      <c r="H60" s="150">
        <v>1.9589999998853891</v>
      </c>
      <c r="I60" s="140">
        <v>1.6750748181990645</v>
      </c>
      <c r="K60" s="150">
        <v>8.5786707211443645</v>
      </c>
      <c r="L60" s="140">
        <v>7.3353319547989999</v>
      </c>
      <c r="N60" s="150">
        <v>-0.45239047839668522</v>
      </c>
      <c r="O60" s="140">
        <v>-0.38682383787628871</v>
      </c>
      <c r="Q60" s="150">
        <v>-6.1672802428622902</v>
      </c>
      <c r="R60" s="140">
        <v>-5.2734332987236474</v>
      </c>
      <c r="S60" s="140"/>
      <c r="T60" s="161">
        <v>116.95000000009452</v>
      </c>
      <c r="U60" s="161">
        <v>118.9089999999799</v>
      </c>
    </row>
    <row r="61" spans="1:21" ht="12.75" customHeight="1" x14ac:dyDescent="0.3">
      <c r="A61" t="str">
        <f>name!A59</f>
        <v>Other professional</v>
      </c>
      <c r="B61" s="150">
        <v>1329.574000001074</v>
      </c>
      <c r="C61" s="140">
        <v>4.2984715815588732</v>
      </c>
      <c r="D61" s="164">
        <v>100</v>
      </c>
      <c r="E61" s="150">
        <v>1355.4139999997719</v>
      </c>
      <c r="F61" s="140">
        <v>4.0825433916346876</v>
      </c>
      <c r="H61" s="150">
        <v>25.839999998697778</v>
      </c>
      <c r="I61" s="140">
        <v>1.9434796407478565</v>
      </c>
      <c r="K61" s="150">
        <v>97.528666484778057</v>
      </c>
      <c r="L61" s="140">
        <v>7.3353319547990017</v>
      </c>
      <c r="N61" s="150">
        <v>-4.899227090420851</v>
      </c>
      <c r="O61" s="140">
        <v>-0.36848096385886708</v>
      </c>
      <c r="Q61" s="150">
        <v>-66.789439395659429</v>
      </c>
      <c r="R61" s="140">
        <v>-5.0233713501922779</v>
      </c>
      <c r="S61" s="140"/>
      <c r="T61" s="161">
        <v>1329.574000001074</v>
      </c>
      <c r="U61" s="161">
        <v>1355.4139999997719</v>
      </c>
    </row>
    <row r="62" spans="1:21" ht="12.75" customHeight="1" x14ac:dyDescent="0.3">
      <c r="A62" t="str">
        <f>name!A60</f>
        <v>Veterinary</v>
      </c>
      <c r="B62" s="150">
        <v>1373.6089999998901</v>
      </c>
      <c r="C62" s="140">
        <v>4.4408353733363164</v>
      </c>
      <c r="D62" s="164">
        <v>100</v>
      </c>
      <c r="E62" s="150">
        <v>1410.480000000412</v>
      </c>
      <c r="F62" s="140">
        <v>4.2484036634087783</v>
      </c>
      <c r="H62" s="150">
        <v>36.87100000052201</v>
      </c>
      <c r="I62" s="140">
        <v>2.6842427503405233</v>
      </c>
      <c r="K62" s="150">
        <v>100.75877991098696</v>
      </c>
      <c r="L62" s="140">
        <v>7.3353319547990017</v>
      </c>
      <c r="N62" s="150">
        <v>-4.366111931304566</v>
      </c>
      <c r="O62" s="140">
        <v>-0.31785696885393994</v>
      </c>
      <c r="Q62" s="150">
        <v>-59.521667979160384</v>
      </c>
      <c r="R62" s="140">
        <v>-4.3332322356045383</v>
      </c>
      <c r="S62" s="140"/>
      <c r="T62" s="161">
        <v>1373.6089999998901</v>
      </c>
      <c r="U62" s="161">
        <v>1410.480000000412</v>
      </c>
    </row>
    <row r="63" spans="1:21" x14ac:dyDescent="0.3">
      <c r="A63" t="str">
        <f>name!A61</f>
        <v>Rental and leasing</v>
      </c>
      <c r="B63" s="150">
        <v>2644.983000000736</v>
      </c>
      <c r="C63" s="140">
        <v>8.5511481566278444</v>
      </c>
      <c r="D63" s="164">
        <v>100</v>
      </c>
      <c r="E63" s="150">
        <v>2641.450000001309</v>
      </c>
      <c r="F63" s="140">
        <v>7.9561183829004314</v>
      </c>
      <c r="H63" s="150">
        <v>-3.5329999994267709</v>
      </c>
      <c r="I63" s="140">
        <v>-0.13357363731357774</v>
      </c>
      <c r="K63" s="150">
        <v>194.01828319805523</v>
      </c>
      <c r="L63" s="140">
        <v>7.3353319547989999</v>
      </c>
      <c r="N63" s="150">
        <v>-13.500719790574287</v>
      </c>
      <c r="O63" s="140">
        <v>-0.51042746930965266</v>
      </c>
      <c r="Q63" s="150">
        <v>-184.05056340690771</v>
      </c>
      <c r="R63" s="140">
        <v>-6.9584781228029264</v>
      </c>
      <c r="S63" s="140"/>
      <c r="T63" s="161">
        <v>2644.983000000736</v>
      </c>
      <c r="U63" s="161">
        <v>2641.450000001309</v>
      </c>
    </row>
    <row r="64" spans="1:21" x14ac:dyDescent="0.3">
      <c r="A64" t="str">
        <f>name!A62</f>
        <v>Employment activities</v>
      </c>
      <c r="B64" s="150">
        <v>2374.4340000002467</v>
      </c>
      <c r="C64" s="140">
        <v>7.6764716151789791</v>
      </c>
      <c r="D64" s="164">
        <v>100</v>
      </c>
      <c r="E64" s="150">
        <v>2612.1830000006412</v>
      </c>
      <c r="F64" s="140">
        <v>7.8679653924150754</v>
      </c>
      <c r="H64" s="150">
        <v>237.7490000003944</v>
      </c>
      <c r="I64" s="140">
        <v>10.012870435664656</v>
      </c>
      <c r="K64" s="150">
        <v>174.17261594763022</v>
      </c>
      <c r="L64" s="140">
        <v>7.3353319547990017</v>
      </c>
      <c r="N64" s="150">
        <v>4.3448310357788387</v>
      </c>
      <c r="O64" s="140">
        <v>0.18298386208159026</v>
      </c>
      <c r="Q64" s="150">
        <v>59.231553016985345</v>
      </c>
      <c r="R64" s="140">
        <v>2.4945546187840635</v>
      </c>
      <c r="S64" s="140"/>
      <c r="T64" s="161">
        <v>2374.4340000002467</v>
      </c>
      <c r="U64" s="161">
        <v>2612.1830000006412</v>
      </c>
    </row>
    <row r="65" spans="1:21" x14ac:dyDescent="0.3">
      <c r="A65" t="str">
        <f>name!A63</f>
        <v>Travel, etc</v>
      </c>
      <c r="B65" s="150">
        <v>1674.2150000001743</v>
      </c>
      <c r="C65" s="140">
        <v>5.4126852652913824</v>
      </c>
      <c r="D65" s="164">
        <v>100</v>
      </c>
      <c r="E65" s="150">
        <v>1674.3130000004107</v>
      </c>
      <c r="F65" s="140">
        <v>5.0430757493141405</v>
      </c>
      <c r="H65" s="150">
        <v>9.8000000236323159E-2</v>
      </c>
      <c r="I65" s="140">
        <v>5.8534895599617097E-3</v>
      </c>
      <c r="K65" s="150">
        <v>122.80922788705089</v>
      </c>
      <c r="L65" s="140">
        <v>7.3353319547990017</v>
      </c>
      <c r="N65" s="150">
        <v>-8.3861257494394739</v>
      </c>
      <c r="O65" s="140">
        <v>-0.50089897351526547</v>
      </c>
      <c r="Q65" s="150">
        <v>-114.3251021373751</v>
      </c>
      <c r="R65" s="140">
        <v>-6.8285794917237741</v>
      </c>
      <c r="S65" s="140"/>
      <c r="T65" s="161">
        <v>1674.2150000001743</v>
      </c>
      <c r="U65" s="161">
        <v>1674.3130000004107</v>
      </c>
    </row>
    <row r="66" spans="1:21" x14ac:dyDescent="0.3">
      <c r="A66" t="str">
        <f>name!A64</f>
        <v>Security, etc</v>
      </c>
      <c r="B66" s="150">
        <v>413.60599999980559</v>
      </c>
      <c r="C66" s="140">
        <v>1.3371753937426327</v>
      </c>
      <c r="D66" s="164">
        <v>100</v>
      </c>
      <c r="E66" s="150">
        <v>428.36800000013642</v>
      </c>
      <c r="F66" s="140">
        <v>1.2902559274056631</v>
      </c>
      <c r="H66" s="150">
        <v>14.762000000330852</v>
      </c>
      <c r="I66" s="140">
        <v>3.5690971601808945</v>
      </c>
      <c r="K66" s="150">
        <v>30.339373084951696</v>
      </c>
      <c r="L66" s="140">
        <v>7.3353319547990017</v>
      </c>
      <c r="N66" s="150">
        <v>-1.064562809640007</v>
      </c>
      <c r="O66" s="140">
        <v>-0.25738572690930678</v>
      </c>
      <c r="Q66" s="150">
        <v>-14.512810274980836</v>
      </c>
      <c r="R66" s="140">
        <v>-3.5088490677087996</v>
      </c>
      <c r="S66" s="140"/>
      <c r="T66" s="161">
        <v>413.60599999980559</v>
      </c>
      <c r="U66" s="161">
        <v>428.36800000013642</v>
      </c>
    </row>
    <row r="67" spans="1:21" x14ac:dyDescent="0.3">
      <c r="A67" t="str">
        <f>name!A65</f>
        <v>Services to buildings</v>
      </c>
      <c r="B67" s="150">
        <v>435.47399999979547</v>
      </c>
      <c r="C67" s="140">
        <v>1.4078739607613997</v>
      </c>
      <c r="D67" s="164">
        <v>100</v>
      </c>
      <c r="E67" s="150">
        <v>454.83400000014473</v>
      </c>
      <c r="F67" s="140">
        <v>1.3699722306185969</v>
      </c>
      <c r="H67" s="150">
        <v>19.360000000349245</v>
      </c>
      <c r="I67" s="140">
        <v>4.4457303996009729</v>
      </c>
      <c r="K67" s="150">
        <v>31.943463476826398</v>
      </c>
      <c r="L67" s="140">
        <v>7.3353319547990017</v>
      </c>
      <c r="N67" s="150">
        <v>-0.85995804046995161</v>
      </c>
      <c r="O67" s="140">
        <v>-0.19747632246020552</v>
      </c>
      <c r="Q67" s="150">
        <v>-11.723505436007201</v>
      </c>
      <c r="R67" s="140">
        <v>-2.6921252327378231</v>
      </c>
      <c r="S67" s="140"/>
      <c r="T67" s="161">
        <v>435.47399999979547</v>
      </c>
      <c r="U67" s="161">
        <v>454.83400000014473</v>
      </c>
    </row>
    <row r="68" spans="1:21" x14ac:dyDescent="0.3">
      <c r="A68" t="str">
        <f>name!A66</f>
        <v>Office administrative</v>
      </c>
      <c r="B68" s="150">
        <v>242.30100000016066</v>
      </c>
      <c r="C68" s="140">
        <v>0.78335163193861013</v>
      </c>
      <c r="D68" s="164">
        <v>100</v>
      </c>
      <c r="E68" s="150">
        <v>263.26700000002035</v>
      </c>
      <c r="F68" s="140">
        <v>0.79296727869547856</v>
      </c>
      <c r="H68" s="150">
        <v>20.965999999859719</v>
      </c>
      <c r="I68" s="140">
        <v>8.6528739047077057</v>
      </c>
      <c r="K68" s="150">
        <v>17.773582679809312</v>
      </c>
      <c r="L68" s="140">
        <v>7.3353319547990017</v>
      </c>
      <c r="N68" s="150">
        <v>0.2181708516137455</v>
      </c>
      <c r="O68" s="140">
        <v>9.0041251011593354E-2</v>
      </c>
      <c r="Q68" s="150">
        <v>2.974246468436661</v>
      </c>
      <c r="R68" s="140">
        <v>1.2275006988971109</v>
      </c>
      <c r="S68" s="140"/>
      <c r="T68" s="161">
        <v>242.30100000016066</v>
      </c>
      <c r="U68" s="161">
        <v>263.26700000002035</v>
      </c>
    </row>
    <row r="69" spans="1:21" x14ac:dyDescent="0.3">
      <c r="A69" t="str">
        <f>name!A67</f>
        <v>Public administration and defence</v>
      </c>
      <c r="B69" s="150">
        <v>90.647000000060117</v>
      </c>
      <c r="C69" s="140">
        <v>0.29305894478495426</v>
      </c>
      <c r="D69" s="164">
        <v>100</v>
      </c>
      <c r="E69" s="150">
        <v>97.768000000007532</v>
      </c>
      <c r="F69" s="140">
        <v>0.29447984329027005</v>
      </c>
      <c r="H69" s="150">
        <v>7.1209999999474238</v>
      </c>
      <c r="I69" s="140">
        <v>7.8557481217720406</v>
      </c>
      <c r="K69" s="150">
        <v>6.6492583570710604</v>
      </c>
      <c r="L69" s="140">
        <v>7.3353319547990017</v>
      </c>
      <c r="N69" s="150">
        <v>3.2238979321913774E-2</v>
      </c>
      <c r="O69" s="140">
        <v>3.5565412337851661E-2</v>
      </c>
      <c r="Q69" s="150">
        <v>0.43950266355444967</v>
      </c>
      <c r="R69" s="140">
        <v>0.48485075463518729</v>
      </c>
      <c r="S69" s="140"/>
      <c r="T69" s="161">
        <v>90.647000000060117</v>
      </c>
      <c r="U69" s="161">
        <v>97.768000000007532</v>
      </c>
    </row>
    <row r="70" spans="1:21" x14ac:dyDescent="0.3">
      <c r="A70" t="str">
        <f>name!A68</f>
        <v xml:space="preserve">Education </v>
      </c>
      <c r="B70" s="150">
        <v>541.20600000035859</v>
      </c>
      <c r="C70" s="140">
        <v>1.7497022435523057</v>
      </c>
      <c r="D70" s="164">
        <v>100</v>
      </c>
      <c r="E70" s="150">
        <v>583.72000000004539</v>
      </c>
      <c r="F70" s="140">
        <v>1.75818032613326</v>
      </c>
      <c r="H70" s="150">
        <v>42.513999999686845</v>
      </c>
      <c r="I70" s="140">
        <v>7.8554191933678998</v>
      </c>
      <c r="K70" s="150">
        <v>39.699256659315786</v>
      </c>
      <c r="L70" s="140">
        <v>7.3353319547990017</v>
      </c>
      <c r="N70" s="150">
        <v>0.19236048739177392</v>
      </c>
      <c r="O70" s="140">
        <v>3.5542933262315363E-2</v>
      </c>
      <c r="Q70" s="150">
        <v>2.6223828529792854</v>
      </c>
      <c r="R70" s="140">
        <v>0.48454430530658343</v>
      </c>
      <c r="S70" s="140"/>
      <c r="T70" s="161">
        <v>541.20600000035859</v>
      </c>
      <c r="U70" s="161">
        <v>583.72000000004539</v>
      </c>
    </row>
    <row r="71" spans="1:21" x14ac:dyDescent="0.3">
      <c r="A71" t="str">
        <f>name!A69</f>
        <v>Health</v>
      </c>
      <c r="B71" s="150">
        <v>89.69100000005939</v>
      </c>
      <c r="C71" s="140">
        <v>0.28996822638043518</v>
      </c>
      <c r="D71" s="164">
        <v>100</v>
      </c>
      <c r="E71" s="150">
        <v>93.170000000007207</v>
      </c>
      <c r="F71" s="140">
        <v>0.28063054372958912</v>
      </c>
      <c r="H71" s="150">
        <v>3.4789999999478169</v>
      </c>
      <c r="I71" s="140">
        <v>3.8788730195287302</v>
      </c>
      <c r="K71" s="150">
        <v>6.5791325835831289</v>
      </c>
      <c r="L71" s="140">
        <v>7.3353319547990017</v>
      </c>
      <c r="N71" s="150">
        <v>-0.21186408231755838</v>
      </c>
      <c r="O71" s="140">
        <v>-0.23621554260451783</v>
      </c>
      <c r="Q71" s="150">
        <v>-2.8882685013177536</v>
      </c>
      <c r="R71" s="140">
        <v>-3.2202433926657537</v>
      </c>
      <c r="S71" s="140"/>
      <c r="T71" s="161">
        <v>89.69100000005939</v>
      </c>
      <c r="U71" s="161">
        <v>93.170000000007207</v>
      </c>
    </row>
    <row r="72" spans="1:21" x14ac:dyDescent="0.3">
      <c r="A72" s="23" t="str">
        <f>name!A3</f>
        <v>All industries</v>
      </c>
      <c r="B72" s="151">
        <v>30931.320000000887</v>
      </c>
      <c r="C72" s="146">
        <v>100</v>
      </c>
      <c r="D72" s="197">
        <v>100</v>
      </c>
      <c r="E72" s="151">
        <v>33200.235000002089</v>
      </c>
      <c r="F72" s="146">
        <v>100</v>
      </c>
      <c r="G72" s="144"/>
      <c r="H72" s="151">
        <v>2268.9150000011996</v>
      </c>
      <c r="I72" s="146">
        <v>7.3353319547990017</v>
      </c>
      <c r="J72" s="144"/>
      <c r="K72" s="151">
        <v>2268.9150000011996</v>
      </c>
      <c r="L72" s="146">
        <v>7.3353319547990017</v>
      </c>
      <c r="M72" s="144"/>
      <c r="N72" s="151">
        <v>-2.5920599000528455E-11</v>
      </c>
      <c r="O72" s="146">
        <v>-8.3800494128694509E-14</v>
      </c>
      <c r="P72" s="144"/>
      <c r="Q72" s="151">
        <v>2.5963231564674061E-11</v>
      </c>
      <c r="R72" s="146">
        <v>2.7161651386449669E-13</v>
      </c>
      <c r="S72" s="146"/>
      <c r="T72" s="166">
        <v>30931.320000000887</v>
      </c>
      <c r="U72" s="166">
        <v>33200.235000002089</v>
      </c>
    </row>
    <row r="75" spans="1:21" x14ac:dyDescent="0.3">
      <c r="A75" s="169" t="s">
        <v>73</v>
      </c>
      <c r="B75" s="170"/>
      <c r="C75" s="170"/>
      <c r="D75" s="170"/>
      <c r="E75" s="170"/>
    </row>
    <row r="76" spans="1:21" x14ac:dyDescent="0.3">
      <c r="A76" s="387" t="s">
        <v>74</v>
      </c>
      <c r="B76" s="387"/>
      <c r="C76" s="387"/>
      <c r="D76" s="387"/>
      <c r="E76" s="387"/>
      <c r="F76" s="387"/>
      <c r="G76" s="387"/>
      <c r="H76" s="387"/>
      <c r="I76" s="387"/>
      <c r="J76" s="387"/>
      <c r="K76" s="387"/>
      <c r="L76" s="387"/>
      <c r="M76" s="387"/>
      <c r="N76" s="387"/>
      <c r="O76" s="387"/>
      <c r="P76" s="387"/>
      <c r="Q76" s="387"/>
      <c r="R76" s="387"/>
    </row>
    <row r="77" spans="1:21" x14ac:dyDescent="0.3">
      <c r="A77" s="387" t="s">
        <v>75</v>
      </c>
      <c r="B77" s="387"/>
      <c r="C77" s="387"/>
      <c r="D77" s="387"/>
      <c r="E77" s="387"/>
      <c r="F77" s="387"/>
      <c r="G77" s="387"/>
      <c r="H77" s="387"/>
      <c r="I77" s="387"/>
      <c r="J77" s="387"/>
      <c r="K77" s="387"/>
      <c r="L77" s="387"/>
      <c r="M77" s="387"/>
      <c r="N77" s="387"/>
      <c r="O77" s="387"/>
      <c r="P77" s="387"/>
      <c r="Q77" s="387"/>
      <c r="R77" s="387"/>
    </row>
    <row r="78" spans="1:21" x14ac:dyDescent="0.3">
      <c r="A78" s="387" t="s">
        <v>76</v>
      </c>
      <c r="B78" s="387"/>
      <c r="C78" s="387"/>
      <c r="D78" s="387"/>
      <c r="E78" s="387"/>
      <c r="F78" s="387"/>
      <c r="G78" s="387"/>
      <c r="H78" s="387"/>
      <c r="I78" s="387"/>
      <c r="J78" s="387"/>
      <c r="K78" s="387"/>
      <c r="L78" s="387"/>
      <c r="M78" s="387"/>
      <c r="N78" s="387"/>
      <c r="O78" s="387"/>
      <c r="P78" s="387"/>
      <c r="Q78" s="387"/>
      <c r="R78" s="387"/>
    </row>
    <row r="79" spans="1:21" x14ac:dyDescent="0.3">
      <c r="A79" s="387" t="s">
        <v>77</v>
      </c>
      <c r="B79" s="387"/>
      <c r="C79" s="387"/>
      <c r="D79" s="387"/>
      <c r="E79" s="387"/>
      <c r="F79" s="387"/>
      <c r="G79" s="387"/>
      <c r="H79" s="387"/>
      <c r="I79" s="387"/>
      <c r="J79" s="387"/>
      <c r="K79" s="387"/>
      <c r="L79" s="387"/>
      <c r="M79" s="387"/>
      <c r="N79" s="387"/>
      <c r="O79" s="387"/>
      <c r="P79" s="387"/>
      <c r="Q79" s="387"/>
      <c r="R79" s="387"/>
    </row>
    <row r="80" spans="1:21" x14ac:dyDescent="0.3">
      <c r="A80" s="387" t="s">
        <v>78</v>
      </c>
      <c r="B80" s="387"/>
      <c r="C80" s="387"/>
      <c r="D80" s="387"/>
      <c r="E80" s="387"/>
      <c r="F80" s="387"/>
      <c r="G80" s="387"/>
      <c r="H80" s="387"/>
      <c r="I80" s="387"/>
      <c r="J80" s="387"/>
      <c r="K80" s="387"/>
      <c r="L80" s="387"/>
      <c r="M80" s="387"/>
      <c r="N80" s="387"/>
      <c r="O80" s="387"/>
      <c r="P80" s="387"/>
      <c r="Q80" s="387"/>
      <c r="R80" s="387"/>
    </row>
    <row r="81" spans="1:18" x14ac:dyDescent="0.3">
      <c r="A81" s="387" t="s">
        <v>79</v>
      </c>
      <c r="B81" s="387"/>
      <c r="C81" s="387"/>
      <c r="D81" s="387"/>
      <c r="E81" s="387"/>
      <c r="F81" s="387"/>
      <c r="G81" s="387"/>
      <c r="H81" s="387"/>
      <c r="I81" s="387"/>
      <c r="J81" s="387"/>
      <c r="K81" s="387"/>
      <c r="L81" s="387"/>
      <c r="M81" s="387"/>
      <c r="N81" s="387"/>
      <c r="O81" s="387"/>
      <c r="P81" s="387"/>
      <c r="Q81" s="387"/>
      <c r="R81" s="387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5234375" defaultRowHeight="12.45" x14ac:dyDescent="0.3"/>
  <cols>
    <col min="1" max="1" width="18.15234375" style="90" customWidth="1"/>
    <col min="2" max="6" width="7.69140625" style="90" customWidth="1"/>
    <col min="7" max="7" width="3.53515625" style="90" customWidth="1"/>
    <col min="8" max="12" width="7.69140625" style="90" customWidth="1"/>
    <col min="13" max="13" width="3.53515625" style="90" customWidth="1"/>
    <col min="14" max="18" width="7.69140625" style="90" customWidth="1"/>
    <col min="19" max="19" width="3.53515625" style="90" customWidth="1"/>
    <col min="20" max="24" width="7.69140625" style="90" customWidth="1"/>
    <col min="25" max="16384" width="9.15234375" style="90"/>
  </cols>
  <sheetData>
    <row r="1" spans="1:60" ht="15.45" x14ac:dyDescent="0.4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80" t="s">
        <v>105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3">
      <c r="W2" s="383" t="s">
        <v>13</v>
      </c>
      <c r="X2" s="383"/>
      <c r="AP2" s="120" t="s">
        <v>13</v>
      </c>
      <c r="BH2" s="120" t="s">
        <v>13</v>
      </c>
    </row>
    <row r="3" spans="1:60" x14ac:dyDescent="0.3">
      <c r="A3" s="117" t="s">
        <v>101</v>
      </c>
      <c r="B3" s="183" t="s">
        <v>118</v>
      </c>
      <c r="C3" s="183"/>
      <c r="D3" s="184"/>
      <c r="E3" s="183"/>
      <c r="F3" s="183"/>
      <c r="G3" s="117"/>
      <c r="H3" s="183" t="s">
        <v>46</v>
      </c>
      <c r="I3" s="183"/>
      <c r="J3" s="183"/>
      <c r="K3" s="183"/>
      <c r="L3" s="183"/>
      <c r="M3" s="117"/>
      <c r="N3" s="183" t="s">
        <v>47</v>
      </c>
      <c r="O3" s="183"/>
      <c r="P3" s="183"/>
      <c r="Q3" s="183"/>
      <c r="R3" s="183"/>
      <c r="S3" s="117"/>
      <c r="T3" s="388" t="s">
        <v>48</v>
      </c>
      <c r="U3" s="388"/>
      <c r="V3" s="388"/>
      <c r="W3" s="388"/>
      <c r="X3" s="388"/>
      <c r="Y3" s="117" t="s">
        <v>101</v>
      </c>
      <c r="Z3" s="388" t="s">
        <v>119</v>
      </c>
      <c r="AA3" s="388"/>
      <c r="AB3" s="388"/>
      <c r="AC3" s="388"/>
      <c r="AD3" s="388"/>
      <c r="AE3" s="117"/>
      <c r="AF3" s="183" t="s">
        <v>49</v>
      </c>
      <c r="AG3" s="183"/>
      <c r="AH3" s="183"/>
      <c r="AI3" s="183"/>
      <c r="AJ3" s="183"/>
      <c r="AK3" s="117"/>
      <c r="AL3" s="388" t="s">
        <v>50</v>
      </c>
      <c r="AM3" s="388"/>
      <c r="AN3" s="388"/>
      <c r="AO3" s="388"/>
      <c r="AP3" s="388"/>
      <c r="AQ3" s="117" t="s">
        <v>101</v>
      </c>
      <c r="AR3" s="388" t="s">
        <v>120</v>
      </c>
      <c r="AS3" s="388"/>
      <c r="AT3" s="388"/>
      <c r="AU3" s="388"/>
      <c r="AV3" s="388"/>
      <c r="AW3" s="117"/>
      <c r="AX3" s="183" t="s">
        <v>51</v>
      </c>
      <c r="AY3" s="183"/>
      <c r="AZ3" s="183"/>
      <c r="BA3" s="183"/>
      <c r="BB3" s="183"/>
      <c r="BC3" s="117"/>
      <c r="BD3" s="388" t="s">
        <v>52</v>
      </c>
      <c r="BE3" s="388"/>
      <c r="BF3" s="388"/>
      <c r="BG3" s="388"/>
      <c r="BH3" s="388"/>
    </row>
    <row r="4" spans="1:60" x14ac:dyDescent="0.3">
      <c r="A4" s="179" t="s">
        <v>104</v>
      </c>
      <c r="B4" s="185"/>
      <c r="C4" s="185"/>
      <c r="D4" s="185"/>
      <c r="E4" s="185"/>
      <c r="F4" s="185"/>
      <c r="G4" s="91"/>
      <c r="H4" s="185"/>
      <c r="I4" s="185"/>
      <c r="J4" s="185"/>
      <c r="K4" s="185"/>
      <c r="L4" s="185"/>
      <c r="M4" s="91"/>
      <c r="N4" s="185"/>
      <c r="O4" s="185"/>
      <c r="P4" s="185"/>
      <c r="Q4" s="185"/>
      <c r="R4" s="185"/>
      <c r="S4" s="91"/>
      <c r="T4" s="185"/>
      <c r="U4" s="185"/>
      <c r="V4" s="185"/>
      <c r="W4" s="185"/>
      <c r="X4" s="185"/>
      <c r="Y4" s="179" t="s">
        <v>104</v>
      </c>
      <c r="Z4" s="185"/>
      <c r="AA4" s="185"/>
      <c r="AB4" s="185"/>
      <c r="AC4" s="185"/>
      <c r="AD4" s="185"/>
      <c r="AE4" s="91"/>
      <c r="AF4" s="185"/>
      <c r="AG4" s="185"/>
      <c r="AH4" s="185"/>
      <c r="AI4" s="185"/>
      <c r="AJ4" s="185"/>
      <c r="AK4" s="91"/>
      <c r="AL4" s="185"/>
      <c r="AM4" s="185"/>
      <c r="AN4" s="185"/>
      <c r="AO4" s="185"/>
      <c r="AP4" s="185"/>
      <c r="AQ4" s="179" t="s">
        <v>104</v>
      </c>
      <c r="AR4" s="185"/>
      <c r="AS4" s="185"/>
      <c r="AT4" s="185"/>
      <c r="AU4" s="185"/>
      <c r="AV4" s="185"/>
      <c r="AW4" s="91"/>
      <c r="AX4" s="185"/>
      <c r="AY4" s="185"/>
      <c r="AZ4" s="185"/>
      <c r="BA4" s="185"/>
      <c r="BB4" s="185"/>
      <c r="BC4" s="91"/>
      <c r="BD4" s="185"/>
      <c r="BE4" s="185"/>
      <c r="BF4" s="185"/>
      <c r="BG4" s="185"/>
      <c r="BH4" s="185"/>
    </row>
    <row r="5" spans="1:60" x14ac:dyDescent="0.3">
      <c r="A5" s="178"/>
      <c r="B5" s="186">
        <v>2008</v>
      </c>
      <c r="C5" s="186">
        <v>2010</v>
      </c>
      <c r="D5" s="186">
        <v>2015</v>
      </c>
      <c r="E5" s="186">
        <v>2020</v>
      </c>
      <c r="F5" s="119">
        <v>2025</v>
      </c>
      <c r="G5" s="119"/>
      <c r="H5" s="119">
        <f>B5</f>
        <v>2008</v>
      </c>
      <c r="I5" s="119">
        <f>C5</f>
        <v>2010</v>
      </c>
      <c r="J5" s="119">
        <f>D5</f>
        <v>2015</v>
      </c>
      <c r="K5" s="119">
        <f>E5</f>
        <v>2020</v>
      </c>
      <c r="L5" s="119">
        <f>F5</f>
        <v>2025</v>
      </c>
      <c r="M5" s="119"/>
      <c r="N5" s="119">
        <f>B5</f>
        <v>2008</v>
      </c>
      <c r="O5" s="119">
        <f>C5</f>
        <v>2010</v>
      </c>
      <c r="P5" s="119">
        <f>D5</f>
        <v>2015</v>
      </c>
      <c r="Q5" s="119">
        <f>E5</f>
        <v>2020</v>
      </c>
      <c r="R5" s="119">
        <f>F5</f>
        <v>2025</v>
      </c>
      <c r="S5" s="119"/>
      <c r="T5" s="119">
        <f>B5</f>
        <v>2008</v>
      </c>
      <c r="U5" s="119">
        <f>C5</f>
        <v>2010</v>
      </c>
      <c r="V5" s="119">
        <f>D5</f>
        <v>2015</v>
      </c>
      <c r="W5" s="119">
        <f>E5</f>
        <v>2020</v>
      </c>
      <c r="X5" s="119">
        <f>F5</f>
        <v>2025</v>
      </c>
      <c r="Y5" s="178"/>
      <c r="Z5" s="186">
        <v>2008</v>
      </c>
      <c r="AA5" s="186">
        <v>2010</v>
      </c>
      <c r="AB5" s="186">
        <v>2012</v>
      </c>
      <c r="AC5" s="186">
        <v>2015</v>
      </c>
      <c r="AD5" s="179">
        <v>2020</v>
      </c>
      <c r="AE5" s="119"/>
      <c r="AF5" s="119">
        <f>Z5</f>
        <v>2008</v>
      </c>
      <c r="AG5" s="119">
        <f>AA5</f>
        <v>2010</v>
      </c>
      <c r="AH5" s="119">
        <f>AB5</f>
        <v>2012</v>
      </c>
      <c r="AI5" s="119">
        <f>AC5</f>
        <v>2015</v>
      </c>
      <c r="AJ5" s="119">
        <f>AD5</f>
        <v>2020</v>
      </c>
      <c r="AK5" s="119"/>
      <c r="AL5" s="119">
        <f>Z5</f>
        <v>2008</v>
      </c>
      <c r="AM5" s="119">
        <f>AA5</f>
        <v>2010</v>
      </c>
      <c r="AN5" s="119">
        <f>AB5</f>
        <v>2012</v>
      </c>
      <c r="AO5" s="119">
        <f>AC5</f>
        <v>2015</v>
      </c>
      <c r="AP5" s="119">
        <f>AD5</f>
        <v>2020</v>
      </c>
      <c r="AQ5" s="178"/>
      <c r="AR5" s="186">
        <v>2008</v>
      </c>
      <c r="AS5" s="186">
        <v>2010</v>
      </c>
      <c r="AT5" s="186">
        <v>2012</v>
      </c>
      <c r="AU5" s="186">
        <v>2015</v>
      </c>
      <c r="AV5" s="179">
        <v>2020</v>
      </c>
      <c r="AW5" s="119"/>
      <c r="AX5" s="119">
        <f>AR5</f>
        <v>2008</v>
      </c>
      <c r="AY5" s="119">
        <f>AS5</f>
        <v>2010</v>
      </c>
      <c r="AZ5" s="119">
        <f>AT5</f>
        <v>2012</v>
      </c>
      <c r="BA5" s="119">
        <f>AU5</f>
        <v>2015</v>
      </c>
      <c r="BB5" s="119">
        <f>AV5</f>
        <v>2020</v>
      </c>
      <c r="BC5" s="119"/>
      <c r="BD5" s="119">
        <f>AR5</f>
        <v>2008</v>
      </c>
      <c r="BE5" s="119">
        <f>AS5</f>
        <v>2010</v>
      </c>
      <c r="BF5" s="119">
        <f>AT5</f>
        <v>2012</v>
      </c>
      <c r="BG5" s="119">
        <f>AU5</f>
        <v>2015</v>
      </c>
      <c r="BH5" s="119">
        <f>AV5</f>
        <v>2020</v>
      </c>
    </row>
    <row r="6" spans="1:60" x14ac:dyDescent="0.3">
      <c r="A6" s="113" t="s">
        <v>100</v>
      </c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Y6" s="113" t="str">
        <f>A6</f>
        <v>Males and females</v>
      </c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13" t="str">
        <f>A6</f>
        <v>Males and females</v>
      </c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</row>
    <row r="7" spans="1:60" x14ac:dyDescent="0.3">
      <c r="A7" s="90" t="s">
        <v>117</v>
      </c>
      <c r="B7" s="188">
        <f>SUM(B21,B35)</f>
        <v>3459.4640427147242</v>
      </c>
      <c r="C7" s="188">
        <f t="shared" ref="C7:F7" si="0">SUM(C21,C35)</f>
        <v>3400.2899538632541</v>
      </c>
      <c r="D7" s="188">
        <f t="shared" si="0"/>
        <v>3045.4402650537522</v>
      </c>
      <c r="E7" s="188">
        <f t="shared" si="0"/>
        <v>2678.9714989136332</v>
      </c>
      <c r="F7" s="188">
        <f t="shared" si="0"/>
        <v>2317.0105072138758</v>
      </c>
      <c r="G7" s="187"/>
      <c r="H7" s="188">
        <f>SUM(H21,H35)</f>
        <v>1679.4259754428681</v>
      </c>
      <c r="I7" s="188">
        <f t="shared" ref="I7:L7" si="1">SUM(I21,I35)</f>
        <v>1648.317888485841</v>
      </c>
      <c r="J7" s="188">
        <f t="shared" si="1"/>
        <v>1477.7490935463652</v>
      </c>
      <c r="K7" s="188">
        <f t="shared" si="1"/>
        <v>1288.2296891194944</v>
      </c>
      <c r="L7" s="188">
        <f t="shared" si="1"/>
        <v>1088.2685344941576</v>
      </c>
      <c r="M7" s="187"/>
      <c r="N7" s="188">
        <f>SUM(N21,N35)</f>
        <v>1780.0380672718561</v>
      </c>
      <c r="O7" s="188">
        <f t="shared" ref="O7:R7" si="2">SUM(O21,O35)</f>
        <v>1751.9720653774136</v>
      </c>
      <c r="P7" s="188">
        <f t="shared" si="2"/>
        <v>1567.6911715073866</v>
      </c>
      <c r="Q7" s="188">
        <f t="shared" si="2"/>
        <v>1390.7418097941386</v>
      </c>
      <c r="R7" s="188">
        <f t="shared" si="2"/>
        <v>1228.7419727197182</v>
      </c>
      <c r="S7" s="187"/>
      <c r="T7" s="188">
        <f>SUM(T21,T35)</f>
        <v>0</v>
      </c>
      <c r="U7" s="188">
        <f t="shared" ref="U7:X7" si="3">SUM(U21,U35)</f>
        <v>0</v>
      </c>
      <c r="V7" s="188">
        <f t="shared" si="3"/>
        <v>0</v>
      </c>
      <c r="W7" s="188">
        <f t="shared" si="3"/>
        <v>0</v>
      </c>
      <c r="X7" s="188">
        <f t="shared" si="3"/>
        <v>0</v>
      </c>
      <c r="Y7" s="90" t="str">
        <f>A7</f>
        <v>15+</v>
      </c>
      <c r="Z7" s="188">
        <f>SUM(Z21,Z35)</f>
        <v>3091.791884793171</v>
      </c>
      <c r="AA7" s="188">
        <f t="shared" ref="AA7:AD7" si="4">SUM(AA21,AA35)</f>
        <v>3065.8806069644388</v>
      </c>
      <c r="AB7" s="188">
        <f t="shared" si="4"/>
        <v>3409.3013579609269</v>
      </c>
      <c r="AC7" s="188">
        <f t="shared" si="4"/>
        <v>3706.9349474249966</v>
      </c>
      <c r="AD7" s="188">
        <f t="shared" si="4"/>
        <v>4020.4986268054308</v>
      </c>
      <c r="AE7" s="187"/>
      <c r="AF7" s="188">
        <f>SUM(AF21,AF35)</f>
        <v>2927.4264642789112</v>
      </c>
      <c r="AG7" s="188">
        <f t="shared" ref="AG7:AJ7" si="5">SUM(AG21,AG35)</f>
        <v>2904.0501410418874</v>
      </c>
      <c r="AH7" s="188">
        <f t="shared" si="5"/>
        <v>3230.1495942820802</v>
      </c>
      <c r="AI7" s="188">
        <f t="shared" si="5"/>
        <v>3512.6427518955061</v>
      </c>
      <c r="AJ7" s="188">
        <f t="shared" si="5"/>
        <v>3811.1764268486331</v>
      </c>
      <c r="AK7" s="187"/>
      <c r="AL7" s="188">
        <f>SUM(AL21,AL35)</f>
        <v>164.36542051425988</v>
      </c>
      <c r="AM7" s="188">
        <f t="shared" ref="AM7:AP7" si="6">SUM(AM21,AM35)</f>
        <v>161.83046592255167</v>
      </c>
      <c r="AN7" s="188">
        <f t="shared" si="6"/>
        <v>179.15176367884681</v>
      </c>
      <c r="AO7" s="188">
        <f t="shared" si="6"/>
        <v>194.29219552948987</v>
      </c>
      <c r="AP7" s="188">
        <f t="shared" si="6"/>
        <v>209.3221999567977</v>
      </c>
      <c r="AQ7" s="90" t="str">
        <f>A7</f>
        <v>15+</v>
      </c>
      <c r="AR7" s="188">
        <f>SUM(AR21,AR35)</f>
        <v>2315.1550724921058</v>
      </c>
      <c r="AS7" s="188">
        <f t="shared" ref="AS7:AV7" si="7">SUM(AS21,AS35)</f>
        <v>2541.5004391723069</v>
      </c>
      <c r="AT7" s="188">
        <f t="shared" si="7"/>
        <v>2941.8093769853213</v>
      </c>
      <c r="AU7" s="188">
        <f t="shared" si="7"/>
        <v>3371.4645536613707</v>
      </c>
      <c r="AV7" s="188">
        <f t="shared" si="7"/>
        <v>3852.3018659806939</v>
      </c>
      <c r="AW7" s="187"/>
      <c r="AX7" s="188">
        <f>SUM(AX21,AX35)</f>
        <v>2273.2830854649774</v>
      </c>
      <c r="AY7" s="188">
        <f t="shared" ref="AY7:BB7" si="8">SUM(AY21,AY35)</f>
        <v>2495.5789443393905</v>
      </c>
      <c r="AZ7" s="188">
        <f t="shared" si="8"/>
        <v>2888.5095204216923</v>
      </c>
      <c r="BA7" s="188">
        <f t="shared" si="8"/>
        <v>3309.625834412429</v>
      </c>
      <c r="BB7" s="188">
        <f t="shared" si="8"/>
        <v>3780.5650780045271</v>
      </c>
      <c r="BC7" s="187"/>
      <c r="BD7" s="188">
        <f>SUM(BD21,BD35)</f>
        <v>41.87198702712827</v>
      </c>
      <c r="BE7" s="188">
        <f t="shared" ref="BE7:BH7" si="9">SUM(BE21,BE35)</f>
        <v>45.921494832916046</v>
      </c>
      <c r="BF7" s="188">
        <f t="shared" si="9"/>
        <v>53.299856563628751</v>
      </c>
      <c r="BG7" s="188">
        <f t="shared" si="9"/>
        <v>61.838719248942184</v>
      </c>
      <c r="BH7" s="188">
        <f t="shared" si="9"/>
        <v>71.736787976166625</v>
      </c>
    </row>
    <row r="8" spans="1:60" x14ac:dyDescent="0.3">
      <c r="A8" s="90" t="s">
        <v>107</v>
      </c>
      <c r="B8" s="188">
        <f t="shared" ref="B8:F18" si="10">SUM(B22,B36)</f>
        <v>501.63108046561928</v>
      </c>
      <c r="C8" s="188">
        <f t="shared" si="10"/>
        <v>493.36896304450306</v>
      </c>
      <c r="D8" s="188">
        <f t="shared" si="10"/>
        <v>467.66784217805935</v>
      </c>
      <c r="E8" s="188">
        <f t="shared" si="10"/>
        <v>467.57168305686275</v>
      </c>
      <c r="F8" s="188">
        <f t="shared" si="10"/>
        <v>503.21354379106839</v>
      </c>
      <c r="G8" s="187"/>
      <c r="H8" s="188">
        <f t="shared" ref="H8:L18" si="11">SUM(H22,H36)</f>
        <v>114.48583632559203</v>
      </c>
      <c r="I8" s="188">
        <f t="shared" si="11"/>
        <v>112.4668251880446</v>
      </c>
      <c r="J8" s="188">
        <f t="shared" si="11"/>
        <v>106.55167737427834</v>
      </c>
      <c r="K8" s="188">
        <f t="shared" si="11"/>
        <v>106.48887604298042</v>
      </c>
      <c r="L8" s="188">
        <f t="shared" si="11"/>
        <v>114.56799971676224</v>
      </c>
      <c r="M8" s="187"/>
      <c r="N8" s="188">
        <f t="shared" ref="N8:R18" si="12">SUM(N22,N36)</f>
        <v>387.14524414002727</v>
      </c>
      <c r="O8" s="188">
        <f t="shared" si="12"/>
        <v>380.90213785645847</v>
      </c>
      <c r="P8" s="188">
        <f t="shared" si="12"/>
        <v>361.11616480378109</v>
      </c>
      <c r="Q8" s="188">
        <f t="shared" si="12"/>
        <v>361.08280701388242</v>
      </c>
      <c r="R8" s="188">
        <f t="shared" si="12"/>
        <v>388.64554407430614</v>
      </c>
      <c r="S8" s="187"/>
      <c r="T8" s="188">
        <f t="shared" ref="T8:X18" si="13">SUM(T22,T36)</f>
        <v>0</v>
      </c>
      <c r="U8" s="188">
        <f t="shared" si="13"/>
        <v>0</v>
      </c>
      <c r="V8" s="188">
        <f t="shared" si="13"/>
        <v>0</v>
      </c>
      <c r="W8" s="188">
        <f t="shared" si="13"/>
        <v>0</v>
      </c>
      <c r="X8" s="188">
        <f t="shared" si="13"/>
        <v>0</v>
      </c>
      <c r="Y8" s="90" t="str">
        <f t="shared" ref="Y8:Y20" si="14">A8</f>
        <v>15-19</v>
      </c>
      <c r="Z8" s="188">
        <f t="shared" ref="Z8:AD18" si="15">SUM(Z22,Z36)</f>
        <v>150.08101199827104</v>
      </c>
      <c r="AA8" s="188">
        <f t="shared" si="15"/>
        <v>155.93795619324226</v>
      </c>
      <c r="AB8" s="188">
        <f t="shared" si="15"/>
        <v>164.99720704459003</v>
      </c>
      <c r="AC8" s="188">
        <f t="shared" si="15"/>
        <v>178.36278144057661</v>
      </c>
      <c r="AD8" s="188">
        <f t="shared" si="15"/>
        <v>207.50995998860915</v>
      </c>
      <c r="AE8" s="187"/>
      <c r="AF8" s="188">
        <f t="shared" ref="AF8:AJ18" si="16">SUM(AF22,AF36)</f>
        <v>147.86996763731275</v>
      </c>
      <c r="AG8" s="188">
        <f t="shared" si="16"/>
        <v>153.62639813852158</v>
      </c>
      <c r="AH8" s="188">
        <f t="shared" si="16"/>
        <v>162.54197557268748</v>
      </c>
      <c r="AI8" s="188">
        <f t="shared" si="16"/>
        <v>175.70743183187028</v>
      </c>
      <c r="AJ8" s="188">
        <f t="shared" si="16"/>
        <v>204.41892397369543</v>
      </c>
      <c r="AK8" s="187"/>
      <c r="AL8" s="188">
        <f t="shared" ref="AL8:AP18" si="17">SUM(AL22,AL36)</f>
        <v>2.2110443609582711</v>
      </c>
      <c r="AM8" s="188">
        <f t="shared" si="17"/>
        <v>2.3115580547206553</v>
      </c>
      <c r="AN8" s="188">
        <f t="shared" si="17"/>
        <v>2.4552314719025436</v>
      </c>
      <c r="AO8" s="188">
        <f t="shared" si="17"/>
        <v>2.6553496087063317</v>
      </c>
      <c r="AP8" s="188">
        <f t="shared" si="17"/>
        <v>3.0910360149137395</v>
      </c>
      <c r="AQ8" s="90" t="str">
        <f t="shared" ref="AQ8:AQ18" si="18">A8</f>
        <v>15-19</v>
      </c>
      <c r="AR8" s="188">
        <f t="shared" ref="AR8:AV18" si="19">SUM(AR22,AR36)</f>
        <v>0.60290753610971359</v>
      </c>
      <c r="AS8" s="188">
        <f t="shared" si="19"/>
        <v>1.3250807622546965</v>
      </c>
      <c r="AT8" s="188">
        <f t="shared" si="19"/>
        <v>1.9219507773505975</v>
      </c>
      <c r="AU8" s="188">
        <f t="shared" si="19"/>
        <v>1.9655355025605465</v>
      </c>
      <c r="AV8" s="188">
        <f t="shared" si="19"/>
        <v>2.1654962203224546</v>
      </c>
      <c r="AW8" s="187"/>
      <c r="AX8" s="188">
        <f t="shared" ref="AX8:BB18" si="20">SUM(AX22,AX36)</f>
        <v>0.54737466781637356</v>
      </c>
      <c r="AY8" s="188">
        <f t="shared" si="20"/>
        <v>1.2407671949430608</v>
      </c>
      <c r="AZ8" s="188">
        <f t="shared" si="20"/>
        <v>1.8657913659809988</v>
      </c>
      <c r="BA8" s="188">
        <f t="shared" si="20"/>
        <v>1.9082644770900146</v>
      </c>
      <c r="BB8" s="188">
        <f t="shared" si="20"/>
        <v>2.1026008851094398</v>
      </c>
      <c r="BC8" s="187"/>
      <c r="BD8" s="188">
        <f t="shared" ref="BD8:BH18" si="21">SUM(BD22,BD36)</f>
        <v>5.5532868293339949E-2</v>
      </c>
      <c r="BE8" s="188">
        <f t="shared" si="21"/>
        <v>8.4313567311635793E-2</v>
      </c>
      <c r="BF8" s="188">
        <f t="shared" si="21"/>
        <v>5.6159411369598657E-2</v>
      </c>
      <c r="BG8" s="188">
        <f t="shared" si="21"/>
        <v>5.7271025470531763E-2</v>
      </c>
      <c r="BH8" s="188">
        <f t="shared" si="21"/>
        <v>6.2895335213014894E-2</v>
      </c>
    </row>
    <row r="9" spans="1:60" x14ac:dyDescent="0.3">
      <c r="A9" s="90" t="s">
        <v>108</v>
      </c>
      <c r="B9" s="188">
        <f t="shared" si="10"/>
        <v>113.85056817629103</v>
      </c>
      <c r="C9" s="188">
        <f t="shared" si="10"/>
        <v>115.65112792404403</v>
      </c>
      <c r="D9" s="188">
        <f t="shared" si="10"/>
        <v>108.64656736044506</v>
      </c>
      <c r="E9" s="188">
        <f t="shared" si="10"/>
        <v>95.846387380896019</v>
      </c>
      <c r="F9" s="188">
        <f t="shared" si="10"/>
        <v>87.521667739268693</v>
      </c>
      <c r="G9" s="187"/>
      <c r="H9" s="188">
        <f t="shared" si="11"/>
        <v>36.71242366227203</v>
      </c>
      <c r="I9" s="188">
        <f t="shared" si="11"/>
        <v>37.140869961294854</v>
      </c>
      <c r="J9" s="188">
        <f t="shared" si="11"/>
        <v>34.405280511674597</v>
      </c>
      <c r="K9" s="188">
        <f t="shared" si="11"/>
        <v>30.323294922669287</v>
      </c>
      <c r="L9" s="188">
        <f t="shared" si="11"/>
        <v>27.681805786841899</v>
      </c>
      <c r="M9" s="187"/>
      <c r="N9" s="188">
        <f t="shared" si="12"/>
        <v>77.13814451401899</v>
      </c>
      <c r="O9" s="188">
        <f t="shared" si="12"/>
        <v>78.510257962749179</v>
      </c>
      <c r="P9" s="188">
        <f t="shared" si="12"/>
        <v>74.241286848770471</v>
      </c>
      <c r="Q9" s="188">
        <f t="shared" si="12"/>
        <v>65.523092458226728</v>
      </c>
      <c r="R9" s="188">
        <f t="shared" si="12"/>
        <v>59.839861952426787</v>
      </c>
      <c r="S9" s="187"/>
      <c r="T9" s="188">
        <f t="shared" si="13"/>
        <v>0</v>
      </c>
      <c r="U9" s="188">
        <f t="shared" si="13"/>
        <v>0</v>
      </c>
      <c r="V9" s="188">
        <f t="shared" si="13"/>
        <v>0</v>
      </c>
      <c r="W9" s="188">
        <f t="shared" si="13"/>
        <v>0</v>
      </c>
      <c r="X9" s="188">
        <f t="shared" si="13"/>
        <v>0</v>
      </c>
      <c r="Y9" s="90" t="str">
        <f t="shared" si="14"/>
        <v>20-24</v>
      </c>
      <c r="Z9" s="188">
        <f t="shared" si="15"/>
        <v>382.98069564153434</v>
      </c>
      <c r="AA9" s="188">
        <f t="shared" si="15"/>
        <v>394.35590193118628</v>
      </c>
      <c r="AB9" s="188">
        <f t="shared" si="15"/>
        <v>412.87076891444883</v>
      </c>
      <c r="AC9" s="188">
        <f t="shared" si="15"/>
        <v>399.37934349064994</v>
      </c>
      <c r="AD9" s="188">
        <f t="shared" si="15"/>
        <v>400.88677473503026</v>
      </c>
      <c r="AE9" s="187"/>
      <c r="AF9" s="188">
        <f t="shared" si="16"/>
        <v>363.98477719851724</v>
      </c>
      <c r="AG9" s="188">
        <f t="shared" si="16"/>
        <v>374.77312480698299</v>
      </c>
      <c r="AH9" s="188">
        <f t="shared" si="16"/>
        <v>392.37404871527087</v>
      </c>
      <c r="AI9" s="188">
        <f t="shared" si="16"/>
        <v>379.57670333802525</v>
      </c>
      <c r="AJ9" s="188">
        <f t="shared" si="16"/>
        <v>381.02605803364366</v>
      </c>
      <c r="AK9" s="187"/>
      <c r="AL9" s="188">
        <f t="shared" si="17"/>
        <v>18.995918443017182</v>
      </c>
      <c r="AM9" s="188">
        <f t="shared" si="17"/>
        <v>19.582777124203318</v>
      </c>
      <c r="AN9" s="188">
        <f t="shared" si="17"/>
        <v>20.49672019917795</v>
      </c>
      <c r="AO9" s="188">
        <f t="shared" si="17"/>
        <v>19.802640152624711</v>
      </c>
      <c r="AP9" s="188">
        <f t="shared" si="17"/>
        <v>19.860716701386607</v>
      </c>
      <c r="AQ9" s="90" t="str">
        <f t="shared" si="18"/>
        <v>20-24</v>
      </c>
      <c r="AR9" s="188">
        <f t="shared" si="19"/>
        <v>143.68473618217462</v>
      </c>
      <c r="AS9" s="188">
        <f t="shared" si="19"/>
        <v>150.71097014476959</v>
      </c>
      <c r="AT9" s="188">
        <f t="shared" si="19"/>
        <v>186.98366372510611</v>
      </c>
      <c r="AU9" s="188">
        <f t="shared" si="19"/>
        <v>201.56226912845403</v>
      </c>
      <c r="AV9" s="188">
        <f t="shared" si="19"/>
        <v>224.84155752570109</v>
      </c>
      <c r="AW9" s="187"/>
      <c r="AX9" s="188">
        <f t="shared" si="20"/>
        <v>143.33653114819879</v>
      </c>
      <c r="AY9" s="188">
        <f t="shared" si="20"/>
        <v>150.34362309651959</v>
      </c>
      <c r="AZ9" s="188">
        <f t="shared" si="20"/>
        <v>186.52415613000247</v>
      </c>
      <c r="BA9" s="188">
        <f t="shared" si="20"/>
        <v>201.06633972833936</v>
      </c>
      <c r="BB9" s="188">
        <f t="shared" si="20"/>
        <v>224.28837377749321</v>
      </c>
      <c r="BC9" s="187"/>
      <c r="BD9" s="188">
        <f t="shared" si="21"/>
        <v>0.34820503397584823</v>
      </c>
      <c r="BE9" s="188">
        <f t="shared" si="21"/>
        <v>0.36734704825001729</v>
      </c>
      <c r="BF9" s="188">
        <f t="shared" si="21"/>
        <v>0.4595075951036377</v>
      </c>
      <c r="BG9" s="188">
        <f t="shared" si="21"/>
        <v>0.49592940011468256</v>
      </c>
      <c r="BH9" s="188">
        <f t="shared" si="21"/>
        <v>0.55318374820788452</v>
      </c>
    </row>
    <row r="10" spans="1:60" x14ac:dyDescent="0.3">
      <c r="A10" s="90" t="s">
        <v>109</v>
      </c>
      <c r="B10" s="188">
        <f t="shared" si="10"/>
        <v>115.37907358541085</v>
      </c>
      <c r="C10" s="188">
        <f t="shared" si="10"/>
        <v>127.07460532220105</v>
      </c>
      <c r="D10" s="188">
        <f t="shared" si="10"/>
        <v>118.40314244947737</v>
      </c>
      <c r="E10" s="188">
        <f t="shared" si="10"/>
        <v>117.74066640587412</v>
      </c>
      <c r="F10" s="188">
        <f t="shared" si="10"/>
        <v>104.64926095222505</v>
      </c>
      <c r="G10" s="187"/>
      <c r="H10" s="188">
        <f t="shared" si="11"/>
        <v>40.798223765839786</v>
      </c>
      <c r="I10" s="188">
        <f t="shared" si="11"/>
        <v>45.065990030629422</v>
      </c>
      <c r="J10" s="188">
        <f t="shared" si="11"/>
        <v>41.916443930124132</v>
      </c>
      <c r="K10" s="188">
        <f t="shared" si="11"/>
        <v>41.603247748686108</v>
      </c>
      <c r="L10" s="188">
        <f t="shared" si="11"/>
        <v>36.975172705743539</v>
      </c>
      <c r="M10" s="187"/>
      <c r="N10" s="188">
        <f t="shared" si="12"/>
        <v>74.580849819571057</v>
      </c>
      <c r="O10" s="188">
        <f t="shared" si="12"/>
        <v>82.008615291571644</v>
      </c>
      <c r="P10" s="188">
        <f t="shared" si="12"/>
        <v>76.48669851935324</v>
      </c>
      <c r="Q10" s="188">
        <f t="shared" si="12"/>
        <v>76.137418657188022</v>
      </c>
      <c r="R10" s="188">
        <f t="shared" si="12"/>
        <v>67.674088246481503</v>
      </c>
      <c r="S10" s="187"/>
      <c r="T10" s="188">
        <f t="shared" si="13"/>
        <v>0</v>
      </c>
      <c r="U10" s="188">
        <f t="shared" si="13"/>
        <v>0</v>
      </c>
      <c r="V10" s="188">
        <f t="shared" si="13"/>
        <v>0</v>
      </c>
      <c r="W10" s="188">
        <f t="shared" si="13"/>
        <v>0</v>
      </c>
      <c r="X10" s="188">
        <f t="shared" si="13"/>
        <v>0</v>
      </c>
      <c r="Y10" s="90" t="str">
        <f t="shared" si="14"/>
        <v>25-29</v>
      </c>
      <c r="Z10" s="188">
        <f t="shared" si="15"/>
        <v>285.32401508902581</v>
      </c>
      <c r="AA10" s="188">
        <f t="shared" si="15"/>
        <v>266.19879984541552</v>
      </c>
      <c r="AB10" s="188">
        <f t="shared" si="15"/>
        <v>280.11568976670378</v>
      </c>
      <c r="AC10" s="188">
        <f t="shared" si="15"/>
        <v>295.3482302777582</v>
      </c>
      <c r="AD10" s="188">
        <f t="shared" si="15"/>
        <v>289.74487116781143</v>
      </c>
      <c r="AE10" s="187"/>
      <c r="AF10" s="188">
        <f t="shared" si="16"/>
        <v>264.71283723333693</v>
      </c>
      <c r="AG10" s="188">
        <f t="shared" si="16"/>
        <v>246.96600220301298</v>
      </c>
      <c r="AH10" s="188">
        <f t="shared" si="16"/>
        <v>260.0379790136522</v>
      </c>
      <c r="AI10" s="188">
        <f t="shared" si="16"/>
        <v>274.30243506375962</v>
      </c>
      <c r="AJ10" s="188">
        <f t="shared" si="16"/>
        <v>269.19630907068336</v>
      </c>
      <c r="AK10" s="187"/>
      <c r="AL10" s="188">
        <f t="shared" si="17"/>
        <v>20.611177855688922</v>
      </c>
      <c r="AM10" s="188">
        <f t="shared" si="17"/>
        <v>19.232797642402538</v>
      </c>
      <c r="AN10" s="188">
        <f t="shared" si="17"/>
        <v>20.077710753051615</v>
      </c>
      <c r="AO10" s="188">
        <f t="shared" si="17"/>
        <v>21.04579521399852</v>
      </c>
      <c r="AP10" s="188">
        <f t="shared" si="17"/>
        <v>20.548562097128041</v>
      </c>
      <c r="AQ10" s="90" t="str">
        <f t="shared" si="18"/>
        <v>25-29</v>
      </c>
      <c r="AR10" s="188">
        <f t="shared" si="19"/>
        <v>285.48891132556332</v>
      </c>
      <c r="AS10" s="188">
        <f t="shared" si="19"/>
        <v>298.43559483238334</v>
      </c>
      <c r="AT10" s="188">
        <f t="shared" si="19"/>
        <v>329.80716778381884</v>
      </c>
      <c r="AU10" s="188">
        <f t="shared" si="19"/>
        <v>365.58310331636773</v>
      </c>
      <c r="AV10" s="188">
        <f t="shared" si="19"/>
        <v>376.96286787996354</v>
      </c>
      <c r="AW10" s="187"/>
      <c r="AX10" s="188">
        <f t="shared" si="20"/>
        <v>282.70510559860855</v>
      </c>
      <c r="AY10" s="188">
        <f t="shared" si="20"/>
        <v>295.51880182634955</v>
      </c>
      <c r="AZ10" s="188">
        <f t="shared" si="20"/>
        <v>326.59395287550331</v>
      </c>
      <c r="BA10" s="188">
        <f t="shared" si="20"/>
        <v>362.02223728946319</v>
      </c>
      <c r="BB10" s="188">
        <f t="shared" si="20"/>
        <v>373.29368404794025</v>
      </c>
      <c r="BC10" s="187"/>
      <c r="BD10" s="188">
        <f t="shared" si="21"/>
        <v>2.7838057269548049</v>
      </c>
      <c r="BE10" s="188">
        <f t="shared" si="21"/>
        <v>2.916793006033831</v>
      </c>
      <c r="BF10" s="188">
        <f t="shared" si="21"/>
        <v>3.2132149083155843</v>
      </c>
      <c r="BG10" s="188">
        <f t="shared" si="21"/>
        <v>3.5608660269045256</v>
      </c>
      <c r="BH10" s="188">
        <f t="shared" si="21"/>
        <v>3.669183832023271</v>
      </c>
    </row>
    <row r="11" spans="1:60" x14ac:dyDescent="0.3">
      <c r="A11" s="90" t="s">
        <v>110</v>
      </c>
      <c r="B11" s="188">
        <f t="shared" si="10"/>
        <v>116.6348130799831</v>
      </c>
      <c r="C11" s="188">
        <f t="shared" si="10"/>
        <v>121.76030756867036</v>
      </c>
      <c r="D11" s="188">
        <f t="shared" si="10"/>
        <v>118.18823108583572</v>
      </c>
      <c r="E11" s="188">
        <f t="shared" si="10"/>
        <v>109.913241263863</v>
      </c>
      <c r="F11" s="188">
        <f t="shared" si="10"/>
        <v>93.676057480419587</v>
      </c>
      <c r="G11" s="187"/>
      <c r="H11" s="188">
        <f t="shared" si="11"/>
        <v>44.791528463722429</v>
      </c>
      <c r="I11" s="188">
        <f t="shared" si="11"/>
        <v>47.017124581566897</v>
      </c>
      <c r="J11" s="188">
        <f t="shared" si="11"/>
        <v>45.575297988406476</v>
      </c>
      <c r="K11" s="188">
        <f t="shared" si="11"/>
        <v>42.364426936905772</v>
      </c>
      <c r="L11" s="188">
        <f t="shared" si="11"/>
        <v>36.057194740501721</v>
      </c>
      <c r="M11" s="187"/>
      <c r="N11" s="188">
        <f t="shared" si="12"/>
        <v>71.843284616260675</v>
      </c>
      <c r="O11" s="188">
        <f t="shared" si="12"/>
        <v>74.743182987103467</v>
      </c>
      <c r="P11" s="188">
        <f t="shared" si="12"/>
        <v>72.612933097429249</v>
      </c>
      <c r="Q11" s="188">
        <f t="shared" si="12"/>
        <v>67.548814326957228</v>
      </c>
      <c r="R11" s="188">
        <f t="shared" si="12"/>
        <v>57.618862739917844</v>
      </c>
      <c r="S11" s="187"/>
      <c r="T11" s="188">
        <f t="shared" si="13"/>
        <v>0</v>
      </c>
      <c r="U11" s="188">
        <f t="shared" si="13"/>
        <v>0</v>
      </c>
      <c r="V11" s="188">
        <f t="shared" si="13"/>
        <v>0</v>
      </c>
      <c r="W11" s="188">
        <f t="shared" si="13"/>
        <v>0</v>
      </c>
      <c r="X11" s="188">
        <f t="shared" si="13"/>
        <v>0</v>
      </c>
      <c r="Y11" s="90" t="str">
        <f t="shared" si="14"/>
        <v>30-34</v>
      </c>
      <c r="Z11" s="188">
        <f t="shared" si="15"/>
        <v>275.1983307590632</v>
      </c>
      <c r="AA11" s="188">
        <f t="shared" si="15"/>
        <v>266.0829768237935</v>
      </c>
      <c r="AB11" s="188">
        <f t="shared" si="15"/>
        <v>285.51361958464611</v>
      </c>
      <c r="AC11" s="188">
        <f t="shared" si="15"/>
        <v>296.32015564557162</v>
      </c>
      <c r="AD11" s="188">
        <f t="shared" si="15"/>
        <v>317.88848271212305</v>
      </c>
      <c r="AE11" s="187"/>
      <c r="AF11" s="188">
        <f t="shared" si="16"/>
        <v>255.48717394280527</v>
      </c>
      <c r="AG11" s="188">
        <f t="shared" si="16"/>
        <v>247.06950912979124</v>
      </c>
      <c r="AH11" s="188">
        <f t="shared" si="16"/>
        <v>265.15360262399543</v>
      </c>
      <c r="AI11" s="188">
        <f t="shared" si="16"/>
        <v>275.24980054915358</v>
      </c>
      <c r="AJ11" s="188">
        <f t="shared" si="16"/>
        <v>295.36996417982152</v>
      </c>
      <c r="AK11" s="187"/>
      <c r="AL11" s="188">
        <f t="shared" si="17"/>
        <v>19.711156816257962</v>
      </c>
      <c r="AM11" s="188">
        <f t="shared" si="17"/>
        <v>19.01346769400228</v>
      </c>
      <c r="AN11" s="188">
        <f t="shared" si="17"/>
        <v>20.360016960650725</v>
      </c>
      <c r="AO11" s="188">
        <f t="shared" si="17"/>
        <v>21.070355096418023</v>
      </c>
      <c r="AP11" s="188">
        <f t="shared" si="17"/>
        <v>22.518518532301513</v>
      </c>
      <c r="AQ11" s="90" t="str">
        <f t="shared" si="18"/>
        <v>30-34</v>
      </c>
      <c r="AR11" s="188">
        <f t="shared" si="19"/>
        <v>294.76785616095367</v>
      </c>
      <c r="AS11" s="188">
        <f t="shared" si="19"/>
        <v>310.21271560753621</v>
      </c>
      <c r="AT11" s="188">
        <f t="shared" si="19"/>
        <v>340.70814932951816</v>
      </c>
      <c r="AU11" s="188">
        <f t="shared" si="19"/>
        <v>369.83560309056543</v>
      </c>
      <c r="AV11" s="188">
        <f t="shared" si="19"/>
        <v>418.22345980745735</v>
      </c>
      <c r="AW11" s="187"/>
      <c r="AX11" s="188">
        <f t="shared" si="20"/>
        <v>289.63080788660079</v>
      </c>
      <c r="AY11" s="188">
        <f t="shared" si="20"/>
        <v>304.79570037586518</v>
      </c>
      <c r="AZ11" s="188">
        <f t="shared" si="20"/>
        <v>334.81192752241731</v>
      </c>
      <c r="BA11" s="188">
        <f t="shared" si="20"/>
        <v>363.47263912244296</v>
      </c>
      <c r="BB11" s="188">
        <f t="shared" si="20"/>
        <v>411.01000020534735</v>
      </c>
      <c r="BC11" s="187"/>
      <c r="BD11" s="188">
        <f t="shared" si="21"/>
        <v>5.1370482743529013</v>
      </c>
      <c r="BE11" s="188">
        <f t="shared" si="21"/>
        <v>5.4170152316709643</v>
      </c>
      <c r="BF11" s="188">
        <f t="shared" si="21"/>
        <v>5.8962218071008108</v>
      </c>
      <c r="BG11" s="188">
        <f t="shared" si="21"/>
        <v>6.3629639681224219</v>
      </c>
      <c r="BH11" s="188">
        <f t="shared" si="21"/>
        <v>7.213459602110035</v>
      </c>
    </row>
    <row r="12" spans="1:60" x14ac:dyDescent="0.3">
      <c r="A12" s="90" t="s">
        <v>111</v>
      </c>
      <c r="B12" s="188">
        <f t="shared" si="10"/>
        <v>154.11214519557188</v>
      </c>
      <c r="C12" s="188">
        <f t="shared" si="10"/>
        <v>148.15717385227549</v>
      </c>
      <c r="D12" s="188">
        <f t="shared" si="10"/>
        <v>124.1637405731941</v>
      </c>
      <c r="E12" s="188">
        <f t="shared" si="10"/>
        <v>103.00106387667563</v>
      </c>
      <c r="F12" s="188">
        <f t="shared" si="10"/>
        <v>79.667767346824377</v>
      </c>
      <c r="G12" s="187"/>
      <c r="H12" s="188">
        <f t="shared" si="11"/>
        <v>56.003261702459064</v>
      </c>
      <c r="I12" s="188">
        <f t="shared" si="11"/>
        <v>53.61808406304786</v>
      </c>
      <c r="J12" s="188">
        <f t="shared" si="11"/>
        <v>44.946036484441635</v>
      </c>
      <c r="K12" s="188">
        <f t="shared" si="11"/>
        <v>37.289691972205802</v>
      </c>
      <c r="L12" s="188">
        <f t="shared" si="11"/>
        <v>28.798762169451095</v>
      </c>
      <c r="M12" s="187"/>
      <c r="N12" s="188">
        <f t="shared" si="12"/>
        <v>98.108883493112813</v>
      </c>
      <c r="O12" s="188">
        <f t="shared" si="12"/>
        <v>94.539089789227646</v>
      </c>
      <c r="P12" s="188">
        <f t="shared" si="12"/>
        <v>79.21770408875247</v>
      </c>
      <c r="Q12" s="188">
        <f t="shared" si="12"/>
        <v>65.711371904469829</v>
      </c>
      <c r="R12" s="188">
        <f t="shared" si="12"/>
        <v>50.869005177373282</v>
      </c>
      <c r="S12" s="187"/>
      <c r="T12" s="188">
        <f t="shared" si="13"/>
        <v>0</v>
      </c>
      <c r="U12" s="188">
        <f t="shared" si="13"/>
        <v>0</v>
      </c>
      <c r="V12" s="188">
        <f t="shared" si="13"/>
        <v>0</v>
      </c>
      <c r="W12" s="188">
        <f t="shared" si="13"/>
        <v>0</v>
      </c>
      <c r="X12" s="188">
        <f t="shared" si="13"/>
        <v>0</v>
      </c>
      <c r="Y12" s="90" t="str">
        <f t="shared" si="14"/>
        <v>35-39</v>
      </c>
      <c r="Z12" s="188">
        <f t="shared" si="15"/>
        <v>322.88579844316473</v>
      </c>
      <c r="AA12" s="188">
        <f t="shared" si="15"/>
        <v>287.4998240668773</v>
      </c>
      <c r="AB12" s="188">
        <f t="shared" si="15"/>
        <v>280.92839455401918</v>
      </c>
      <c r="AC12" s="188">
        <f t="shared" si="15"/>
        <v>299.54044624192568</v>
      </c>
      <c r="AD12" s="188">
        <f t="shared" si="15"/>
        <v>317.07239175090058</v>
      </c>
      <c r="AE12" s="187"/>
      <c r="AF12" s="188">
        <f t="shared" si="16"/>
        <v>303.37132132153579</v>
      </c>
      <c r="AG12" s="188">
        <f t="shared" si="16"/>
        <v>270.10893635844064</v>
      </c>
      <c r="AH12" s="188">
        <f t="shared" si="16"/>
        <v>263.99085237827694</v>
      </c>
      <c r="AI12" s="188">
        <f t="shared" si="16"/>
        <v>281.50570542953108</v>
      </c>
      <c r="AJ12" s="188">
        <f t="shared" si="16"/>
        <v>298.00980149252553</v>
      </c>
      <c r="AK12" s="187"/>
      <c r="AL12" s="188">
        <f t="shared" si="17"/>
        <v>19.514477121629021</v>
      </c>
      <c r="AM12" s="188">
        <f t="shared" si="17"/>
        <v>17.390887708436701</v>
      </c>
      <c r="AN12" s="188">
        <f t="shared" si="17"/>
        <v>16.937542175742227</v>
      </c>
      <c r="AO12" s="188">
        <f t="shared" si="17"/>
        <v>18.034740812394613</v>
      </c>
      <c r="AP12" s="188">
        <f t="shared" si="17"/>
        <v>19.062590258375032</v>
      </c>
      <c r="AQ12" s="90" t="str">
        <f t="shared" si="18"/>
        <v>35-39</v>
      </c>
      <c r="AR12" s="188">
        <f t="shared" si="19"/>
        <v>284.91205636126335</v>
      </c>
      <c r="AS12" s="188">
        <f t="shared" si="19"/>
        <v>312.0690020808471</v>
      </c>
      <c r="AT12" s="188">
        <f t="shared" si="19"/>
        <v>329.21186487278669</v>
      </c>
      <c r="AU12" s="188">
        <f t="shared" si="19"/>
        <v>370.51748988139866</v>
      </c>
      <c r="AV12" s="188">
        <f t="shared" si="19"/>
        <v>410.36684090227504</v>
      </c>
      <c r="AW12" s="187"/>
      <c r="AX12" s="188">
        <f t="shared" si="20"/>
        <v>279.90489605154085</v>
      </c>
      <c r="AY12" s="188">
        <f t="shared" si="20"/>
        <v>306.58743388534367</v>
      </c>
      <c r="AZ12" s="188">
        <f t="shared" si="20"/>
        <v>323.49821814056338</v>
      </c>
      <c r="BA12" s="188">
        <f t="shared" si="20"/>
        <v>364.11650308755236</v>
      </c>
      <c r="BB12" s="188">
        <f t="shared" si="20"/>
        <v>403.29145582426617</v>
      </c>
      <c r="BC12" s="187"/>
      <c r="BD12" s="188">
        <f t="shared" si="21"/>
        <v>5.0071603097225514</v>
      </c>
      <c r="BE12" s="188">
        <f t="shared" si="21"/>
        <v>5.4815681955034474</v>
      </c>
      <c r="BF12" s="188">
        <f t="shared" si="21"/>
        <v>5.7136467322232507</v>
      </c>
      <c r="BG12" s="188">
        <f t="shared" si="21"/>
        <v>6.4009867938463287</v>
      </c>
      <c r="BH12" s="188">
        <f t="shared" si="21"/>
        <v>7.0753850780088525</v>
      </c>
    </row>
    <row r="13" spans="1:60" x14ac:dyDescent="0.3">
      <c r="A13" s="90" t="s">
        <v>112</v>
      </c>
      <c r="B13" s="188">
        <f t="shared" si="10"/>
        <v>204.95472906429887</v>
      </c>
      <c r="C13" s="188">
        <f t="shared" si="10"/>
        <v>183.2736739920656</v>
      </c>
      <c r="D13" s="188">
        <f t="shared" si="10"/>
        <v>145.6109353666948</v>
      </c>
      <c r="E13" s="188">
        <f t="shared" si="10"/>
        <v>103.89159180775462</v>
      </c>
      <c r="F13" s="188">
        <f t="shared" si="10"/>
        <v>77.263056657170154</v>
      </c>
      <c r="G13" s="187"/>
      <c r="H13" s="188">
        <f t="shared" si="11"/>
        <v>75.043968155480954</v>
      </c>
      <c r="I13" s="188">
        <f t="shared" si="11"/>
        <v>66.962528106248641</v>
      </c>
      <c r="J13" s="188">
        <f t="shared" si="11"/>
        <v>53.205635957380473</v>
      </c>
      <c r="K13" s="188">
        <f t="shared" si="11"/>
        <v>37.898539746132187</v>
      </c>
      <c r="L13" s="188">
        <f t="shared" si="11"/>
        <v>28.104284599359445</v>
      </c>
      <c r="M13" s="187"/>
      <c r="N13" s="188">
        <f t="shared" si="12"/>
        <v>129.91076090881791</v>
      </c>
      <c r="O13" s="188">
        <f t="shared" si="12"/>
        <v>116.31114588581696</v>
      </c>
      <c r="P13" s="188">
        <f t="shared" si="12"/>
        <v>92.405299409314324</v>
      </c>
      <c r="Q13" s="188">
        <f t="shared" si="12"/>
        <v>65.993052061622421</v>
      </c>
      <c r="R13" s="188">
        <f t="shared" si="12"/>
        <v>49.158772057810708</v>
      </c>
      <c r="S13" s="187"/>
      <c r="T13" s="188">
        <f t="shared" si="13"/>
        <v>0</v>
      </c>
      <c r="U13" s="188">
        <f t="shared" si="13"/>
        <v>0</v>
      </c>
      <c r="V13" s="188">
        <f t="shared" si="13"/>
        <v>0</v>
      </c>
      <c r="W13" s="188">
        <f t="shared" si="13"/>
        <v>0</v>
      </c>
      <c r="X13" s="188">
        <f t="shared" si="13"/>
        <v>0</v>
      </c>
      <c r="Y13" s="90" t="str">
        <f t="shared" si="14"/>
        <v>40-44</v>
      </c>
      <c r="Z13" s="188">
        <f t="shared" si="15"/>
        <v>335.88123323100854</v>
      </c>
      <c r="AA13" s="188">
        <f t="shared" si="15"/>
        <v>312.92776503427081</v>
      </c>
      <c r="AB13" s="188">
        <f t="shared" si="15"/>
        <v>302.35363356602068</v>
      </c>
      <c r="AC13" s="188">
        <f t="shared" si="15"/>
        <v>306.64075194256282</v>
      </c>
      <c r="AD13" s="188">
        <f t="shared" si="15"/>
        <v>332.62704072525781</v>
      </c>
      <c r="AE13" s="187"/>
      <c r="AF13" s="188">
        <f t="shared" si="16"/>
        <v>318.57769939988361</v>
      </c>
      <c r="AG13" s="188">
        <f t="shared" si="16"/>
        <v>296.81769048378715</v>
      </c>
      <c r="AH13" s="188">
        <f t="shared" si="16"/>
        <v>286.81359197562756</v>
      </c>
      <c r="AI13" s="188">
        <f t="shared" si="16"/>
        <v>290.88951267461152</v>
      </c>
      <c r="AJ13" s="188">
        <f t="shared" si="16"/>
        <v>315.54744066806541</v>
      </c>
      <c r="AK13" s="187"/>
      <c r="AL13" s="188">
        <f t="shared" si="17"/>
        <v>17.303533831124952</v>
      </c>
      <c r="AM13" s="188">
        <f t="shared" si="17"/>
        <v>16.110074550483667</v>
      </c>
      <c r="AN13" s="188">
        <f t="shared" si="17"/>
        <v>15.540041590393106</v>
      </c>
      <c r="AO13" s="188">
        <f t="shared" si="17"/>
        <v>15.751239267951231</v>
      </c>
      <c r="AP13" s="188">
        <f t="shared" si="17"/>
        <v>17.079600057192419</v>
      </c>
      <c r="AQ13" s="90" t="str">
        <f t="shared" si="18"/>
        <v>40-44</v>
      </c>
      <c r="AR13" s="188">
        <f t="shared" si="19"/>
        <v>270.9300377046925</v>
      </c>
      <c r="AS13" s="188">
        <f t="shared" si="19"/>
        <v>293.55256097366362</v>
      </c>
      <c r="AT13" s="188">
        <f t="shared" si="19"/>
        <v>322.20043106728446</v>
      </c>
      <c r="AU13" s="188">
        <f t="shared" si="19"/>
        <v>339.66265624968264</v>
      </c>
      <c r="AV13" s="188">
        <f t="shared" si="19"/>
        <v>380.66890261757209</v>
      </c>
      <c r="AW13" s="187"/>
      <c r="AX13" s="188">
        <f t="shared" si="20"/>
        <v>266.38705152405146</v>
      </c>
      <c r="AY13" s="188">
        <f t="shared" si="20"/>
        <v>288.66110365884219</v>
      </c>
      <c r="AZ13" s="188">
        <f t="shared" si="20"/>
        <v>316.84860387450232</v>
      </c>
      <c r="BA13" s="188">
        <f t="shared" si="20"/>
        <v>334.03930780465259</v>
      </c>
      <c r="BB13" s="188">
        <f t="shared" si="20"/>
        <v>374.38350092432177</v>
      </c>
      <c r="BC13" s="187"/>
      <c r="BD13" s="188">
        <f t="shared" si="21"/>
        <v>4.5429861806410692</v>
      </c>
      <c r="BE13" s="188">
        <f t="shared" si="21"/>
        <v>4.8914573148213645</v>
      </c>
      <c r="BF13" s="188">
        <f t="shared" si="21"/>
        <v>5.3518271927821548</v>
      </c>
      <c r="BG13" s="188">
        <f t="shared" si="21"/>
        <v>5.6233484450300253</v>
      </c>
      <c r="BH13" s="188">
        <f t="shared" si="21"/>
        <v>6.2854016932503862</v>
      </c>
    </row>
    <row r="14" spans="1:60" x14ac:dyDescent="0.3">
      <c r="A14" s="90" t="s">
        <v>113</v>
      </c>
      <c r="B14" s="188">
        <f t="shared" si="10"/>
        <v>254.65884951398874</v>
      </c>
      <c r="C14" s="188">
        <f t="shared" si="10"/>
        <v>249.88437754828158</v>
      </c>
      <c r="D14" s="188">
        <f t="shared" si="10"/>
        <v>178.47858254526204</v>
      </c>
      <c r="E14" s="188">
        <f t="shared" si="10"/>
        <v>132.26113301280915</v>
      </c>
      <c r="F14" s="188">
        <f t="shared" si="10"/>
        <v>96.751846747388981</v>
      </c>
      <c r="G14" s="187"/>
      <c r="H14" s="188">
        <f t="shared" si="11"/>
        <v>97.081589333520498</v>
      </c>
      <c r="I14" s="188">
        <f t="shared" si="11"/>
        <v>95.255541277602333</v>
      </c>
      <c r="J14" s="188">
        <f t="shared" si="11"/>
        <v>67.471423380418784</v>
      </c>
      <c r="K14" s="188">
        <f t="shared" si="11"/>
        <v>49.673795228067675</v>
      </c>
      <c r="L14" s="188">
        <f t="shared" si="11"/>
        <v>36.08222161527133</v>
      </c>
      <c r="M14" s="187"/>
      <c r="N14" s="188">
        <f t="shared" si="12"/>
        <v>157.57726018046827</v>
      </c>
      <c r="O14" s="188">
        <f t="shared" si="12"/>
        <v>154.62883627067924</v>
      </c>
      <c r="P14" s="188">
        <f t="shared" si="12"/>
        <v>111.00715916484326</v>
      </c>
      <c r="Q14" s="188">
        <f t="shared" si="12"/>
        <v>82.587337784741479</v>
      </c>
      <c r="R14" s="188">
        <f t="shared" si="12"/>
        <v>60.669625132117659</v>
      </c>
      <c r="S14" s="187"/>
      <c r="T14" s="188">
        <f t="shared" si="13"/>
        <v>0</v>
      </c>
      <c r="U14" s="188">
        <f t="shared" si="13"/>
        <v>0</v>
      </c>
      <c r="V14" s="188">
        <f t="shared" si="13"/>
        <v>0</v>
      </c>
      <c r="W14" s="188">
        <f t="shared" si="13"/>
        <v>0</v>
      </c>
      <c r="X14" s="188">
        <f t="shared" si="13"/>
        <v>0</v>
      </c>
      <c r="Y14" s="90" t="str">
        <f t="shared" si="14"/>
        <v>45-49</v>
      </c>
      <c r="Z14" s="188">
        <f t="shared" si="15"/>
        <v>296.89078106183149</v>
      </c>
      <c r="AA14" s="188">
        <f t="shared" si="15"/>
        <v>297.81089783713531</v>
      </c>
      <c r="AB14" s="188">
        <f t="shared" si="15"/>
        <v>323.00238790557432</v>
      </c>
      <c r="AC14" s="188">
        <f t="shared" si="15"/>
        <v>331.21130960813161</v>
      </c>
      <c r="AD14" s="188">
        <f t="shared" si="15"/>
        <v>336.85601788588576</v>
      </c>
      <c r="AE14" s="187"/>
      <c r="AF14" s="188">
        <f t="shared" si="16"/>
        <v>283.27902750867406</v>
      </c>
      <c r="AG14" s="188">
        <f t="shared" si="16"/>
        <v>284.17878044572376</v>
      </c>
      <c r="AH14" s="188">
        <f t="shared" si="16"/>
        <v>308.23712222424672</v>
      </c>
      <c r="AI14" s="188">
        <f t="shared" si="16"/>
        <v>316.06982132262846</v>
      </c>
      <c r="AJ14" s="188">
        <f t="shared" si="16"/>
        <v>321.4595503021684</v>
      </c>
      <c r="AK14" s="187"/>
      <c r="AL14" s="188">
        <f t="shared" si="17"/>
        <v>13.611753553157442</v>
      </c>
      <c r="AM14" s="188">
        <f t="shared" si="17"/>
        <v>13.632117391411541</v>
      </c>
      <c r="AN14" s="188">
        <f t="shared" si="17"/>
        <v>14.765265681327598</v>
      </c>
      <c r="AO14" s="188">
        <f t="shared" si="17"/>
        <v>15.141488285503199</v>
      </c>
      <c r="AP14" s="188">
        <f t="shared" si="17"/>
        <v>15.39646758371746</v>
      </c>
      <c r="AQ14" s="90" t="str">
        <f t="shared" si="18"/>
        <v>45-49</v>
      </c>
      <c r="AR14" s="188">
        <f t="shared" si="19"/>
        <v>250.46536942417981</v>
      </c>
      <c r="AS14" s="188">
        <f t="shared" si="19"/>
        <v>272.37172461458317</v>
      </c>
      <c r="AT14" s="188">
        <f t="shared" si="19"/>
        <v>298.56302954916367</v>
      </c>
      <c r="AU14" s="188">
        <f t="shared" si="19"/>
        <v>312.99255737905924</v>
      </c>
      <c r="AV14" s="188">
        <f t="shared" si="19"/>
        <v>324.57513536672525</v>
      </c>
      <c r="AW14" s="187"/>
      <c r="AX14" s="188">
        <f t="shared" si="20"/>
        <v>245.6503099953992</v>
      </c>
      <c r="AY14" s="188">
        <f t="shared" si="20"/>
        <v>267.15960275583393</v>
      </c>
      <c r="AZ14" s="188">
        <f t="shared" si="20"/>
        <v>292.91536308672585</v>
      </c>
      <c r="BA14" s="188">
        <f t="shared" si="20"/>
        <v>307.10108024986414</v>
      </c>
      <c r="BB14" s="188">
        <f t="shared" si="20"/>
        <v>318.48324328013177</v>
      </c>
      <c r="BC14" s="187"/>
      <c r="BD14" s="188">
        <f t="shared" si="21"/>
        <v>4.815059428780601</v>
      </c>
      <c r="BE14" s="188">
        <f t="shared" si="21"/>
        <v>5.2121218587492244</v>
      </c>
      <c r="BF14" s="188">
        <f t="shared" si="21"/>
        <v>5.6476664624378259</v>
      </c>
      <c r="BG14" s="188">
        <f t="shared" si="21"/>
        <v>5.8914771291951418</v>
      </c>
      <c r="BH14" s="188">
        <f t="shared" si="21"/>
        <v>6.0918920865934654</v>
      </c>
    </row>
    <row r="15" spans="1:60" x14ac:dyDescent="0.3">
      <c r="A15" s="90" t="s">
        <v>114</v>
      </c>
      <c r="B15" s="188">
        <f t="shared" si="10"/>
        <v>294.38575187935118</v>
      </c>
      <c r="C15" s="188">
        <f t="shared" si="10"/>
        <v>286.9982182545242</v>
      </c>
      <c r="D15" s="188">
        <f t="shared" si="10"/>
        <v>249.82582092451261</v>
      </c>
      <c r="E15" s="188">
        <f t="shared" si="10"/>
        <v>196.7617947968931</v>
      </c>
      <c r="F15" s="188">
        <f t="shared" si="10"/>
        <v>151.97754802573786</v>
      </c>
      <c r="G15" s="187"/>
      <c r="H15" s="188">
        <f t="shared" si="11"/>
        <v>131.00937650791479</v>
      </c>
      <c r="I15" s="188">
        <f t="shared" si="11"/>
        <v>127.36456196076394</v>
      </c>
      <c r="J15" s="188">
        <f t="shared" si="11"/>
        <v>110.61745625735594</v>
      </c>
      <c r="K15" s="188">
        <f t="shared" si="11"/>
        <v>86.72311902225573</v>
      </c>
      <c r="L15" s="188">
        <f t="shared" si="11"/>
        <v>66.672294242780168</v>
      </c>
      <c r="M15" s="187"/>
      <c r="N15" s="188">
        <f t="shared" si="12"/>
        <v>163.37637537143638</v>
      </c>
      <c r="O15" s="188">
        <f t="shared" si="12"/>
        <v>159.63365629376028</v>
      </c>
      <c r="P15" s="188">
        <f t="shared" si="12"/>
        <v>139.20836466715667</v>
      </c>
      <c r="Q15" s="188">
        <f t="shared" si="12"/>
        <v>110.03867577463737</v>
      </c>
      <c r="R15" s="188">
        <f t="shared" si="12"/>
        <v>85.305253782957692</v>
      </c>
      <c r="S15" s="187"/>
      <c r="T15" s="188">
        <f t="shared" si="13"/>
        <v>0</v>
      </c>
      <c r="U15" s="188">
        <f t="shared" si="13"/>
        <v>0</v>
      </c>
      <c r="V15" s="188">
        <f t="shared" si="13"/>
        <v>0</v>
      </c>
      <c r="W15" s="188">
        <f t="shared" si="13"/>
        <v>0</v>
      </c>
      <c r="X15" s="188">
        <f t="shared" si="13"/>
        <v>0</v>
      </c>
      <c r="Y15" s="90" t="str">
        <f t="shared" si="14"/>
        <v>50-54</v>
      </c>
      <c r="Z15" s="188">
        <f t="shared" si="15"/>
        <v>252.37047905418916</v>
      </c>
      <c r="AA15" s="188">
        <f t="shared" si="15"/>
        <v>261.89041594407234</v>
      </c>
      <c r="AB15" s="188">
        <f t="shared" si="15"/>
        <v>299.71030873183417</v>
      </c>
      <c r="AC15" s="188">
        <f t="shared" si="15"/>
        <v>315.46818569365763</v>
      </c>
      <c r="AD15" s="188">
        <f t="shared" si="15"/>
        <v>326.48805608055682</v>
      </c>
      <c r="AE15" s="187"/>
      <c r="AF15" s="188">
        <f t="shared" si="16"/>
        <v>240.43095817773155</v>
      </c>
      <c r="AG15" s="188">
        <f t="shared" si="16"/>
        <v>249.49009896266847</v>
      </c>
      <c r="AH15" s="188">
        <f t="shared" si="16"/>
        <v>285.51870262738919</v>
      </c>
      <c r="AI15" s="188">
        <f t="shared" si="16"/>
        <v>300.52266588791969</v>
      </c>
      <c r="AJ15" s="188">
        <f t="shared" si="16"/>
        <v>311.01138512295665</v>
      </c>
      <c r="AK15" s="187"/>
      <c r="AL15" s="188">
        <f t="shared" si="17"/>
        <v>11.939520876457582</v>
      </c>
      <c r="AM15" s="188">
        <f t="shared" si="17"/>
        <v>12.400316981403893</v>
      </c>
      <c r="AN15" s="188">
        <f t="shared" si="17"/>
        <v>14.191606104444997</v>
      </c>
      <c r="AO15" s="188">
        <f t="shared" si="17"/>
        <v>14.945519805737941</v>
      </c>
      <c r="AP15" s="188">
        <f t="shared" si="17"/>
        <v>15.476670957600156</v>
      </c>
      <c r="AQ15" s="90" t="str">
        <f t="shared" si="18"/>
        <v>50-54</v>
      </c>
      <c r="AR15" s="188">
        <f t="shared" si="19"/>
        <v>192.52176906645971</v>
      </c>
      <c r="AS15" s="188">
        <f t="shared" si="19"/>
        <v>218.63836580140344</v>
      </c>
      <c r="AT15" s="188">
        <f t="shared" si="19"/>
        <v>269.43387034365321</v>
      </c>
      <c r="AU15" s="188">
        <f t="shared" si="19"/>
        <v>285.28301950944933</v>
      </c>
      <c r="AV15" s="188">
        <f t="shared" si="19"/>
        <v>297.31139589370531</v>
      </c>
      <c r="AW15" s="187"/>
      <c r="AX15" s="188">
        <f t="shared" si="20"/>
        <v>188.73862621744155</v>
      </c>
      <c r="AY15" s="188">
        <f t="shared" si="20"/>
        <v>214.45420550224321</v>
      </c>
      <c r="AZ15" s="188">
        <f t="shared" si="20"/>
        <v>264.30480604656157</v>
      </c>
      <c r="BA15" s="188">
        <f t="shared" si="20"/>
        <v>279.90450448189154</v>
      </c>
      <c r="BB15" s="188">
        <f t="shared" si="20"/>
        <v>291.76093520892465</v>
      </c>
      <c r="BC15" s="187"/>
      <c r="BD15" s="188">
        <f t="shared" si="21"/>
        <v>3.7831428490181196</v>
      </c>
      <c r="BE15" s="188">
        <f t="shared" si="21"/>
        <v>4.1841602991602418</v>
      </c>
      <c r="BF15" s="188">
        <f t="shared" si="21"/>
        <v>5.1290642970916389</v>
      </c>
      <c r="BG15" s="188">
        <f t="shared" si="21"/>
        <v>5.3785150275577474</v>
      </c>
      <c r="BH15" s="188">
        <f t="shared" si="21"/>
        <v>5.5504606847806457</v>
      </c>
    </row>
    <row r="16" spans="1:60" x14ac:dyDescent="0.3">
      <c r="A16" s="90" t="s">
        <v>115</v>
      </c>
      <c r="B16" s="188">
        <f t="shared" si="10"/>
        <v>306.08926780144049</v>
      </c>
      <c r="C16" s="188">
        <f t="shared" si="10"/>
        <v>294.14842701950209</v>
      </c>
      <c r="D16" s="188">
        <f t="shared" si="10"/>
        <v>278.7696849113002</v>
      </c>
      <c r="E16" s="188">
        <f t="shared" si="10"/>
        <v>248.77345263961809</v>
      </c>
      <c r="F16" s="188">
        <f t="shared" si="10"/>
        <v>193.72538705183911</v>
      </c>
      <c r="G16" s="187"/>
      <c r="H16" s="188">
        <f t="shared" si="11"/>
        <v>148.94385811824938</v>
      </c>
      <c r="I16" s="188">
        <f t="shared" si="11"/>
        <v>142.80048229460601</v>
      </c>
      <c r="J16" s="188">
        <f t="shared" si="11"/>
        <v>135.1816907077864</v>
      </c>
      <c r="K16" s="188">
        <f t="shared" si="11"/>
        <v>120.20919098393057</v>
      </c>
      <c r="L16" s="188">
        <f t="shared" si="11"/>
        <v>93.347075058771225</v>
      </c>
      <c r="M16" s="187"/>
      <c r="N16" s="188">
        <f t="shared" si="12"/>
        <v>157.14540968319108</v>
      </c>
      <c r="O16" s="188">
        <f t="shared" si="12"/>
        <v>151.34794472489608</v>
      </c>
      <c r="P16" s="188">
        <f t="shared" si="12"/>
        <v>143.5879942035138</v>
      </c>
      <c r="Q16" s="188">
        <f t="shared" si="12"/>
        <v>128.56426165568749</v>
      </c>
      <c r="R16" s="188">
        <f t="shared" si="12"/>
        <v>100.37831199306788</v>
      </c>
      <c r="S16" s="187"/>
      <c r="T16" s="188">
        <f t="shared" si="13"/>
        <v>0</v>
      </c>
      <c r="U16" s="188">
        <f t="shared" si="13"/>
        <v>0</v>
      </c>
      <c r="V16" s="188">
        <f t="shared" si="13"/>
        <v>0</v>
      </c>
      <c r="W16" s="188">
        <f t="shared" si="13"/>
        <v>0</v>
      </c>
      <c r="X16" s="188">
        <f t="shared" si="13"/>
        <v>0</v>
      </c>
      <c r="Y16" s="90" t="str">
        <f t="shared" si="14"/>
        <v>55-59</v>
      </c>
      <c r="Z16" s="188">
        <f t="shared" si="15"/>
        <v>212.90735173400915</v>
      </c>
      <c r="AA16" s="188">
        <f t="shared" si="15"/>
        <v>208.34374328055009</v>
      </c>
      <c r="AB16" s="188">
        <f t="shared" si="15"/>
        <v>259.24373379880308</v>
      </c>
      <c r="AC16" s="188">
        <f t="shared" si="15"/>
        <v>305.1432760109069</v>
      </c>
      <c r="AD16" s="188">
        <f t="shared" si="15"/>
        <v>322.49455355236876</v>
      </c>
      <c r="AE16" s="187"/>
      <c r="AF16" s="188">
        <f t="shared" si="16"/>
        <v>201.39475054266842</v>
      </c>
      <c r="AG16" s="188">
        <f t="shared" si="16"/>
        <v>197.03624221177998</v>
      </c>
      <c r="AH16" s="188">
        <f t="shared" si="16"/>
        <v>245.14463767909808</v>
      </c>
      <c r="AI16" s="188">
        <f t="shared" si="16"/>
        <v>288.53398269710931</v>
      </c>
      <c r="AJ16" s="188">
        <f t="shared" si="16"/>
        <v>304.93914690919075</v>
      </c>
      <c r="AK16" s="187"/>
      <c r="AL16" s="188">
        <f t="shared" si="17"/>
        <v>11.512601191340718</v>
      </c>
      <c r="AM16" s="188">
        <f t="shared" si="17"/>
        <v>11.30750106877008</v>
      </c>
      <c r="AN16" s="188">
        <f t="shared" si="17"/>
        <v>14.099096119705006</v>
      </c>
      <c r="AO16" s="188">
        <f t="shared" si="17"/>
        <v>16.609293313797622</v>
      </c>
      <c r="AP16" s="188">
        <f t="shared" si="17"/>
        <v>17.555406643178003</v>
      </c>
      <c r="AQ16" s="90" t="str">
        <f t="shared" si="18"/>
        <v>55-59</v>
      </c>
      <c r="AR16" s="188">
        <f t="shared" si="19"/>
        <v>157.97838046455036</v>
      </c>
      <c r="AS16" s="188">
        <f t="shared" si="19"/>
        <v>186.95882969994784</v>
      </c>
      <c r="AT16" s="188">
        <f t="shared" si="19"/>
        <v>217.65058128989665</v>
      </c>
      <c r="AU16" s="188">
        <f t="shared" si="19"/>
        <v>252.64427134947505</v>
      </c>
      <c r="AV16" s="188">
        <f t="shared" si="19"/>
        <v>271.26605939579213</v>
      </c>
      <c r="AW16" s="187"/>
      <c r="AX16" s="188">
        <f t="shared" si="20"/>
        <v>154.50769225162065</v>
      </c>
      <c r="AY16" s="188">
        <f t="shared" si="20"/>
        <v>182.97075166245719</v>
      </c>
      <c r="AZ16" s="188">
        <f t="shared" si="20"/>
        <v>213.04788309462984</v>
      </c>
      <c r="BA16" s="188">
        <f t="shared" si="20"/>
        <v>247.41376136943245</v>
      </c>
      <c r="BB16" s="188">
        <f t="shared" si="20"/>
        <v>265.66983752581206</v>
      </c>
      <c r="BC16" s="187"/>
      <c r="BD16" s="188">
        <f t="shared" si="21"/>
        <v>3.470688212929685</v>
      </c>
      <c r="BE16" s="188">
        <f t="shared" si="21"/>
        <v>3.9880780374906122</v>
      </c>
      <c r="BF16" s="188">
        <f t="shared" si="21"/>
        <v>4.6026981952668296</v>
      </c>
      <c r="BG16" s="188">
        <f t="shared" si="21"/>
        <v>5.2305099800425978</v>
      </c>
      <c r="BH16" s="188">
        <f t="shared" si="21"/>
        <v>5.5962218699800657</v>
      </c>
    </row>
    <row r="17" spans="1:60" x14ac:dyDescent="0.3">
      <c r="A17" s="90" t="s">
        <v>116</v>
      </c>
      <c r="B17" s="188">
        <f t="shared" si="10"/>
        <v>300.27408615273544</v>
      </c>
      <c r="C17" s="188">
        <f t="shared" si="10"/>
        <v>307.02902619700649</v>
      </c>
      <c r="D17" s="188">
        <f t="shared" si="10"/>
        <v>275.57160817400484</v>
      </c>
      <c r="E17" s="188">
        <f t="shared" si="10"/>
        <v>242.50355927772591</v>
      </c>
      <c r="F17" s="188">
        <f t="shared" si="10"/>
        <v>196.62341104090149</v>
      </c>
      <c r="G17" s="187"/>
      <c r="H17" s="188">
        <f t="shared" si="11"/>
        <v>163.84239820508242</v>
      </c>
      <c r="I17" s="188">
        <f t="shared" si="11"/>
        <v>167.48634018543549</v>
      </c>
      <c r="J17" s="188">
        <f t="shared" si="11"/>
        <v>150.0793901711946</v>
      </c>
      <c r="K17" s="188">
        <f t="shared" si="11"/>
        <v>131.95757743155312</v>
      </c>
      <c r="L17" s="188">
        <f t="shared" si="11"/>
        <v>106.85061904727925</v>
      </c>
      <c r="M17" s="187"/>
      <c r="N17" s="188">
        <f t="shared" si="12"/>
        <v>136.43168794765302</v>
      </c>
      <c r="O17" s="188">
        <f t="shared" si="12"/>
        <v>139.54268601157099</v>
      </c>
      <c r="P17" s="188">
        <f t="shared" si="12"/>
        <v>125.49221800281023</v>
      </c>
      <c r="Q17" s="188">
        <f t="shared" si="12"/>
        <v>110.54598184617279</v>
      </c>
      <c r="R17" s="188">
        <f t="shared" si="12"/>
        <v>89.772791993622235</v>
      </c>
      <c r="S17" s="187"/>
      <c r="T17" s="188">
        <f t="shared" si="13"/>
        <v>0</v>
      </c>
      <c r="U17" s="188">
        <f t="shared" si="13"/>
        <v>0</v>
      </c>
      <c r="V17" s="188">
        <f t="shared" si="13"/>
        <v>0</v>
      </c>
      <c r="W17" s="188">
        <f t="shared" si="13"/>
        <v>0</v>
      </c>
      <c r="X17" s="188">
        <f t="shared" si="13"/>
        <v>0</v>
      </c>
      <c r="Y17" s="90" t="str">
        <f t="shared" si="14"/>
        <v>60-64</v>
      </c>
      <c r="Z17" s="188">
        <f t="shared" si="15"/>
        <v>164.67698820651987</v>
      </c>
      <c r="AA17" s="188">
        <f t="shared" si="15"/>
        <v>173.02754429415353</v>
      </c>
      <c r="AB17" s="188">
        <f t="shared" si="15"/>
        <v>211.64420247686218</v>
      </c>
      <c r="AC17" s="188">
        <f t="shared" si="15"/>
        <v>262.32745519640429</v>
      </c>
      <c r="AD17" s="188">
        <f t="shared" si="15"/>
        <v>307.19809774569194</v>
      </c>
      <c r="AE17" s="187"/>
      <c r="AF17" s="188">
        <f t="shared" si="16"/>
        <v>156.364761045058</v>
      </c>
      <c r="AG17" s="188">
        <f t="shared" si="16"/>
        <v>164.2583318854096</v>
      </c>
      <c r="AH17" s="188">
        <f t="shared" si="16"/>
        <v>200.85031018974644</v>
      </c>
      <c r="AI17" s="188">
        <f t="shared" si="16"/>
        <v>248.92153917613587</v>
      </c>
      <c r="AJ17" s="188">
        <f t="shared" si="16"/>
        <v>291.50729249745882</v>
      </c>
      <c r="AK17" s="187"/>
      <c r="AL17" s="188">
        <f t="shared" si="17"/>
        <v>8.3122271614618572</v>
      </c>
      <c r="AM17" s="188">
        <f t="shared" si="17"/>
        <v>8.7692124087439236</v>
      </c>
      <c r="AN17" s="188">
        <f t="shared" si="17"/>
        <v>10.793892287115703</v>
      </c>
      <c r="AO17" s="188">
        <f t="shared" si="17"/>
        <v>13.405916020268418</v>
      </c>
      <c r="AP17" s="188">
        <f t="shared" si="17"/>
        <v>15.690805248233143</v>
      </c>
      <c r="AQ17" s="90" t="str">
        <f t="shared" si="18"/>
        <v>60-64</v>
      </c>
      <c r="AR17" s="188">
        <f t="shared" si="19"/>
        <v>124.1659256407448</v>
      </c>
      <c r="AS17" s="188">
        <f t="shared" si="19"/>
        <v>151.81542950884</v>
      </c>
      <c r="AT17" s="188">
        <f t="shared" si="19"/>
        <v>179.49318934913299</v>
      </c>
      <c r="AU17" s="188">
        <f t="shared" si="19"/>
        <v>229.32198552586985</v>
      </c>
      <c r="AV17" s="188">
        <f t="shared" si="19"/>
        <v>282.2344912134065</v>
      </c>
      <c r="AW17" s="187"/>
      <c r="AX17" s="188">
        <f t="shared" si="20"/>
        <v>120.47353378485059</v>
      </c>
      <c r="AY17" s="188">
        <f t="shared" si="20"/>
        <v>147.28380768694541</v>
      </c>
      <c r="AZ17" s="188">
        <f t="shared" si="20"/>
        <v>174.20095676665699</v>
      </c>
      <c r="BA17" s="188">
        <f t="shared" si="20"/>
        <v>222.61021872219823</v>
      </c>
      <c r="BB17" s="188">
        <f t="shared" si="20"/>
        <v>274.01688935790713</v>
      </c>
      <c r="BC17" s="187"/>
      <c r="BD17" s="188">
        <f t="shared" si="21"/>
        <v>3.6923918558942086</v>
      </c>
      <c r="BE17" s="188">
        <f t="shared" si="21"/>
        <v>4.5316218218945803</v>
      </c>
      <c r="BF17" s="188">
        <f t="shared" si="21"/>
        <v>5.2922325824760046</v>
      </c>
      <c r="BG17" s="188">
        <f t="shared" si="21"/>
        <v>6.7117668036716331</v>
      </c>
      <c r="BH17" s="188">
        <f t="shared" si="21"/>
        <v>8.2176018554993142</v>
      </c>
    </row>
    <row r="18" spans="1:60" x14ac:dyDescent="0.3">
      <c r="A18" s="90" t="s">
        <v>103</v>
      </c>
      <c r="B18" s="188">
        <f t="shared" si="10"/>
        <v>1097.4936778000333</v>
      </c>
      <c r="C18" s="188">
        <f t="shared" si="10"/>
        <v>1072.9440531401806</v>
      </c>
      <c r="D18" s="188">
        <f t="shared" si="10"/>
        <v>980.11410948496587</v>
      </c>
      <c r="E18" s="188">
        <f t="shared" si="10"/>
        <v>860.70692539466086</v>
      </c>
      <c r="F18" s="188">
        <f t="shared" si="10"/>
        <v>731.94096038103203</v>
      </c>
      <c r="G18" s="187"/>
      <c r="H18" s="188">
        <f t="shared" si="11"/>
        <v>770.71351120273471</v>
      </c>
      <c r="I18" s="188">
        <f t="shared" si="11"/>
        <v>753.1395408366011</v>
      </c>
      <c r="J18" s="188">
        <f t="shared" si="11"/>
        <v>687.79876078330381</v>
      </c>
      <c r="K18" s="188">
        <f t="shared" si="11"/>
        <v>603.69792908410795</v>
      </c>
      <c r="L18" s="188">
        <f t="shared" si="11"/>
        <v>513.13110481139574</v>
      </c>
      <c r="M18" s="187"/>
      <c r="N18" s="188">
        <f t="shared" si="12"/>
        <v>326.78016659729855</v>
      </c>
      <c r="O18" s="188">
        <f t="shared" si="12"/>
        <v>319.80451230357949</v>
      </c>
      <c r="P18" s="188">
        <f t="shared" si="12"/>
        <v>292.31534870166195</v>
      </c>
      <c r="Q18" s="188">
        <f t="shared" si="12"/>
        <v>257.0089963105529</v>
      </c>
      <c r="R18" s="188">
        <f t="shared" si="12"/>
        <v>218.80985556963645</v>
      </c>
      <c r="S18" s="187"/>
      <c r="T18" s="188">
        <f t="shared" si="13"/>
        <v>0</v>
      </c>
      <c r="U18" s="188">
        <f t="shared" si="13"/>
        <v>0</v>
      </c>
      <c r="V18" s="188">
        <f t="shared" si="13"/>
        <v>0</v>
      </c>
      <c r="W18" s="188">
        <f t="shared" si="13"/>
        <v>0</v>
      </c>
      <c r="X18" s="188">
        <f t="shared" si="13"/>
        <v>0</v>
      </c>
      <c r="Y18" s="90" t="str">
        <f t="shared" si="14"/>
        <v>65+</v>
      </c>
      <c r="Z18" s="188">
        <f t="shared" si="15"/>
        <v>412.59519957455325</v>
      </c>
      <c r="AA18" s="188">
        <f t="shared" si="15"/>
        <v>441.80478171374187</v>
      </c>
      <c r="AB18" s="188">
        <f t="shared" si="15"/>
        <v>588.92141161742438</v>
      </c>
      <c r="AC18" s="188">
        <f t="shared" si="15"/>
        <v>717.19301187685096</v>
      </c>
      <c r="AD18" s="188">
        <f t="shared" si="15"/>
        <v>861.73238046119513</v>
      </c>
      <c r="AE18" s="187"/>
      <c r="AF18" s="188">
        <f t="shared" si="16"/>
        <v>391.95319027138726</v>
      </c>
      <c r="AG18" s="188">
        <f t="shared" si="16"/>
        <v>419.72502641576881</v>
      </c>
      <c r="AH18" s="188">
        <f t="shared" si="16"/>
        <v>559.48677128208897</v>
      </c>
      <c r="AI18" s="188">
        <f t="shared" si="16"/>
        <v>681.36315392476172</v>
      </c>
      <c r="AJ18" s="188">
        <f t="shared" si="16"/>
        <v>818.69055459842366</v>
      </c>
      <c r="AK18" s="187"/>
      <c r="AL18" s="188">
        <f t="shared" si="17"/>
        <v>20.642009303165985</v>
      </c>
      <c r="AM18" s="188">
        <f t="shared" si="17"/>
        <v>22.079755297973087</v>
      </c>
      <c r="AN18" s="188">
        <f t="shared" si="17"/>
        <v>29.434640335335327</v>
      </c>
      <c r="AO18" s="188">
        <f t="shared" si="17"/>
        <v>35.82985795208927</v>
      </c>
      <c r="AP18" s="188">
        <f t="shared" si="17"/>
        <v>43.041825862771589</v>
      </c>
      <c r="AQ18" s="90" t="str">
        <f t="shared" si="18"/>
        <v>65+</v>
      </c>
      <c r="AR18" s="188">
        <f t="shared" si="19"/>
        <v>309.63712262541355</v>
      </c>
      <c r="AS18" s="188">
        <f t="shared" si="19"/>
        <v>345.41016514607776</v>
      </c>
      <c r="AT18" s="188">
        <f t="shared" si="19"/>
        <v>465.83547889760985</v>
      </c>
      <c r="AU18" s="188">
        <f t="shared" si="19"/>
        <v>642.09606272848828</v>
      </c>
      <c r="AV18" s="188">
        <f t="shared" si="19"/>
        <v>863.68565915777276</v>
      </c>
      <c r="AW18" s="187"/>
      <c r="AX18" s="188">
        <f t="shared" si="20"/>
        <v>301.40115633884841</v>
      </c>
      <c r="AY18" s="188">
        <f t="shared" si="20"/>
        <v>336.56314669404765</v>
      </c>
      <c r="AZ18" s="188">
        <f t="shared" si="20"/>
        <v>453.89786151814837</v>
      </c>
      <c r="BA18" s="188">
        <f t="shared" si="20"/>
        <v>625.97097807950172</v>
      </c>
      <c r="BB18" s="188">
        <f t="shared" si="20"/>
        <v>842.26455696727317</v>
      </c>
      <c r="BC18" s="187"/>
      <c r="BD18" s="188">
        <f t="shared" si="21"/>
        <v>8.2359662865651462</v>
      </c>
      <c r="BE18" s="188">
        <f t="shared" si="21"/>
        <v>8.847018452030122</v>
      </c>
      <c r="BF18" s="188">
        <f t="shared" si="21"/>
        <v>11.937617379461411</v>
      </c>
      <c r="BG18" s="188">
        <f t="shared" si="21"/>
        <v>16.125084648986547</v>
      </c>
      <c r="BH18" s="188">
        <f t="shared" si="21"/>
        <v>21.421102190499685</v>
      </c>
    </row>
    <row r="19" spans="1:60" x14ac:dyDescent="0.3">
      <c r="B19" s="188"/>
      <c r="C19" s="188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93"/>
      <c r="U19" s="93"/>
      <c r="V19" s="93"/>
      <c r="W19" s="93"/>
      <c r="X19" s="93"/>
      <c r="Z19" s="188"/>
      <c r="AA19" s="188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R19" s="188"/>
      <c r="AS19" s="188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</row>
    <row r="20" spans="1:60" x14ac:dyDescent="0.3">
      <c r="A20" s="113" t="s">
        <v>98</v>
      </c>
      <c r="B20" s="93"/>
      <c r="C20" s="93"/>
      <c r="D20" s="93"/>
      <c r="E20" s="93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93"/>
      <c r="U20" s="93"/>
      <c r="V20" s="93"/>
      <c r="W20" s="93"/>
      <c r="X20" s="93"/>
      <c r="Y20" s="113" t="str">
        <f t="shared" si="14"/>
        <v>Males</v>
      </c>
      <c r="Z20" s="93"/>
      <c r="AA20" s="93"/>
      <c r="AB20" s="93"/>
      <c r="AC20" s="93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13" t="str">
        <f>A20</f>
        <v>Males</v>
      </c>
      <c r="AR20" s="93"/>
      <c r="AS20" s="93"/>
      <c r="AT20" s="93"/>
      <c r="AU20" s="93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</row>
    <row r="21" spans="1:60" x14ac:dyDescent="0.3">
      <c r="A21" s="90" t="str">
        <f>$A$7</f>
        <v>15+</v>
      </c>
      <c r="B21" s="188">
        <f>SUM(B22:B32)</f>
        <v>1620.2473852146525</v>
      </c>
      <c r="C21" s="188">
        <f t="shared" ref="C21:F21" si="22">SUM(C22:C32)</f>
        <v>1614.229579565203</v>
      </c>
      <c r="D21" s="188">
        <f t="shared" si="22"/>
        <v>1473.336267790763</v>
      </c>
      <c r="E21" s="188">
        <f t="shared" si="22"/>
        <v>1328.0088879474006</v>
      </c>
      <c r="F21" s="188">
        <f t="shared" si="22"/>
        <v>1173.6897154992268</v>
      </c>
      <c r="G21" s="188"/>
      <c r="H21" s="188">
        <f>SUM(H22:H32)</f>
        <v>716.1464894810149</v>
      </c>
      <c r="I21" s="188">
        <f t="shared" ref="I21:L21" si="23">SUM(I22:I32)</f>
        <v>715.64405967986499</v>
      </c>
      <c r="J21" s="188">
        <f t="shared" si="23"/>
        <v>655.33170359679184</v>
      </c>
      <c r="K21" s="188">
        <f t="shared" si="23"/>
        <v>588.71852138985469</v>
      </c>
      <c r="L21" s="188">
        <f t="shared" si="23"/>
        <v>511.80228655523888</v>
      </c>
      <c r="M21" s="188"/>
      <c r="N21" s="188">
        <f>SUM(N22:N32)</f>
        <v>904.1008957336378</v>
      </c>
      <c r="O21" s="188">
        <f t="shared" ref="O21:R21" si="24">SUM(O22:O32)</f>
        <v>898.5855198853385</v>
      </c>
      <c r="P21" s="188">
        <f t="shared" si="24"/>
        <v>818.00456419397131</v>
      </c>
      <c r="Q21" s="188">
        <f t="shared" si="24"/>
        <v>739.29036655754555</v>
      </c>
      <c r="R21" s="188">
        <f t="shared" si="24"/>
        <v>661.88742894398808</v>
      </c>
      <c r="S21" s="188"/>
      <c r="T21" s="188">
        <f>SUM(T22:T32)</f>
        <v>0</v>
      </c>
      <c r="U21" s="188">
        <f t="shared" ref="U21:X21" si="25">SUM(U22:U32)</f>
        <v>0</v>
      </c>
      <c r="V21" s="188">
        <f t="shared" si="25"/>
        <v>0</v>
      </c>
      <c r="W21" s="188">
        <f t="shared" si="25"/>
        <v>0</v>
      </c>
      <c r="X21" s="188">
        <f t="shared" si="25"/>
        <v>0</v>
      </c>
      <c r="Y21" s="90" t="str">
        <f>$A$7</f>
        <v>15+</v>
      </c>
      <c r="Z21" s="188">
        <f>SUM(Z22:Z32)</f>
        <v>1577.3024491368396</v>
      </c>
      <c r="AA21" s="188">
        <f t="shared" ref="AA21:AD21" si="26">SUM(AA22:AA32)</f>
        <v>1562.2040994555152</v>
      </c>
      <c r="AB21" s="188">
        <f t="shared" si="26"/>
        <v>1749.398715210659</v>
      </c>
      <c r="AC21" s="188">
        <f t="shared" si="26"/>
        <v>1909.488504579884</v>
      </c>
      <c r="AD21" s="188">
        <f t="shared" si="26"/>
        <v>2081.0684990931632</v>
      </c>
      <c r="AE21" s="188"/>
      <c r="AF21" s="188">
        <f>SUM(AF22:AF32)</f>
        <v>1499.7774540648427</v>
      </c>
      <c r="AG21" s="188">
        <f t="shared" ref="AG21:AJ21" si="27">SUM(AG22:AG32)</f>
        <v>1486.1007164675289</v>
      </c>
      <c r="AH21" s="188">
        <f t="shared" si="27"/>
        <v>1664.4597911861424</v>
      </c>
      <c r="AI21" s="188">
        <f t="shared" si="27"/>
        <v>1816.8390130222895</v>
      </c>
      <c r="AJ21" s="188">
        <f t="shared" si="27"/>
        <v>1980.4678395589967</v>
      </c>
      <c r="AK21" s="188"/>
      <c r="AL21" s="188">
        <f>SUM(AL22:AL32)</f>
        <v>77.524995071996941</v>
      </c>
      <c r="AM21" s="188">
        <f t="shared" ref="AM21:AP21" si="28">SUM(AM22:AM32)</f>
        <v>76.103382987986208</v>
      </c>
      <c r="AN21" s="188">
        <f t="shared" si="28"/>
        <v>84.938924024516524</v>
      </c>
      <c r="AO21" s="188">
        <f t="shared" si="28"/>
        <v>92.649491557594388</v>
      </c>
      <c r="AP21" s="188">
        <f t="shared" si="28"/>
        <v>100.60065953416633</v>
      </c>
      <c r="AQ21" s="90" t="str">
        <f>A21</f>
        <v>15+</v>
      </c>
      <c r="AR21" s="188">
        <f>SUM(AR22:AR32)</f>
        <v>1106.6731656485081</v>
      </c>
      <c r="AS21" s="188">
        <f t="shared" ref="AS21:AV21" si="29">SUM(AS22:AS32)</f>
        <v>1199.3363209792817</v>
      </c>
      <c r="AT21" s="188">
        <f t="shared" si="29"/>
        <v>1365.5690169985778</v>
      </c>
      <c r="AU21" s="188">
        <f t="shared" si="29"/>
        <v>1541.874607472716</v>
      </c>
      <c r="AV21" s="188">
        <f t="shared" si="29"/>
        <v>1748.1917854076103</v>
      </c>
      <c r="AW21" s="188"/>
      <c r="AX21" s="188">
        <f>SUM(AX22:AX32)</f>
        <v>1077.4599726477079</v>
      </c>
      <c r="AY21" s="188">
        <f t="shared" ref="AY21:BB21" si="30">SUM(AY22:AY32)</f>
        <v>1167.5793096493508</v>
      </c>
      <c r="AZ21" s="188">
        <f t="shared" si="30"/>
        <v>1328.8583394486275</v>
      </c>
      <c r="BA21" s="188">
        <f t="shared" si="30"/>
        <v>1499.4805167904162</v>
      </c>
      <c r="BB21" s="188">
        <f t="shared" si="30"/>
        <v>1698.9799024688193</v>
      </c>
      <c r="BC21" s="188"/>
      <c r="BD21" s="188">
        <f>SUM(BD22:BD32)</f>
        <v>29.213193000800217</v>
      </c>
      <c r="BE21" s="188">
        <f t="shared" ref="BE21:BH21" si="31">SUM(BE22:BE32)</f>
        <v>31.757011329930545</v>
      </c>
      <c r="BF21" s="188">
        <f t="shared" si="31"/>
        <v>36.710677549950461</v>
      </c>
      <c r="BG21" s="188">
        <f t="shared" si="31"/>
        <v>42.394090682299776</v>
      </c>
      <c r="BH21" s="188">
        <f t="shared" si="31"/>
        <v>49.211882938790794</v>
      </c>
    </row>
    <row r="22" spans="1:60" x14ac:dyDescent="0.3">
      <c r="A22" s="90" t="str">
        <f>$A$8</f>
        <v>15-19</v>
      </c>
      <c r="B22" s="188">
        <v>265.87910321369338</v>
      </c>
      <c r="C22" s="188">
        <v>258.0443726840308</v>
      </c>
      <c r="D22" s="188">
        <v>243.141770298518</v>
      </c>
      <c r="E22" s="188">
        <v>242.0329033496289</v>
      </c>
      <c r="F22" s="187">
        <v>259.48953414978911</v>
      </c>
      <c r="G22" s="188"/>
      <c r="H22" s="188">
        <v>65.502301380201217</v>
      </c>
      <c r="I22" s="188">
        <v>63.57213501074979</v>
      </c>
      <c r="J22" s="188">
        <v>59.900673398189532</v>
      </c>
      <c r="K22" s="188">
        <v>59.627470660231161</v>
      </c>
      <c r="L22" s="187">
        <v>63.928125917066254</v>
      </c>
      <c r="M22" s="188"/>
      <c r="N22" s="188">
        <v>200.37680183349218</v>
      </c>
      <c r="O22" s="188">
        <v>194.47223767328106</v>
      </c>
      <c r="P22" s="188">
        <v>183.2410969003285</v>
      </c>
      <c r="Q22" s="188">
        <v>182.40543268939777</v>
      </c>
      <c r="R22" s="187">
        <v>195.56140823272287</v>
      </c>
      <c r="S22" s="188"/>
      <c r="T22" s="188">
        <v>0</v>
      </c>
      <c r="U22" s="188">
        <v>0</v>
      </c>
      <c r="V22" s="188">
        <v>0</v>
      </c>
      <c r="W22" s="188">
        <v>0</v>
      </c>
      <c r="X22" s="187">
        <v>0</v>
      </c>
      <c r="Y22" s="90" t="str">
        <f>$A$8</f>
        <v>15-19</v>
      </c>
      <c r="Z22" s="188">
        <v>66.511132470586716</v>
      </c>
      <c r="AA22" s="188">
        <v>73.411299772273082</v>
      </c>
      <c r="AB22" s="188">
        <v>80.502722532222251</v>
      </c>
      <c r="AC22" s="188">
        <v>87.416701640226961</v>
      </c>
      <c r="AD22" s="187">
        <v>102.22230692001014</v>
      </c>
      <c r="AE22" s="188"/>
      <c r="AF22" s="188">
        <v>65.408785510809949</v>
      </c>
      <c r="AG22" s="188">
        <v>72.194629595921498</v>
      </c>
      <c r="AH22" s="188">
        <v>79.16853183013346</v>
      </c>
      <c r="AI22" s="188">
        <v>85.967955058277127</v>
      </c>
      <c r="AJ22" s="187">
        <v>100.52812602924274</v>
      </c>
      <c r="AK22" s="188"/>
      <c r="AL22" s="188">
        <v>1.1023469597767663</v>
      </c>
      <c r="AM22" s="188">
        <v>1.2166701763515873</v>
      </c>
      <c r="AN22" s="188">
        <v>1.3341907020887731</v>
      </c>
      <c r="AO22" s="188">
        <v>1.4487465819498317</v>
      </c>
      <c r="AP22" s="187">
        <v>1.6941808907673945</v>
      </c>
      <c r="AQ22" s="90" t="str">
        <f t="shared" ref="AQ22:AQ32" si="32">A22</f>
        <v>15-19</v>
      </c>
      <c r="AR22" s="188">
        <v>0.47976431571996198</v>
      </c>
      <c r="AS22" s="188">
        <v>0.72732754369609554</v>
      </c>
      <c r="AT22" s="188">
        <v>0.48550716925975612</v>
      </c>
      <c r="AU22" s="188">
        <v>0.49439501014410386</v>
      </c>
      <c r="AV22" s="187">
        <v>0.54315893020071748</v>
      </c>
      <c r="AW22" s="188"/>
      <c r="AX22" s="188">
        <v>0.424231447426622</v>
      </c>
      <c r="AY22" s="188">
        <v>0.64301397638445978</v>
      </c>
      <c r="AZ22" s="188">
        <v>0.4293477578901575</v>
      </c>
      <c r="BA22" s="188">
        <v>0.43712398467357205</v>
      </c>
      <c r="BB22" s="187">
        <v>0.4802635949877026</v>
      </c>
      <c r="BC22" s="188"/>
      <c r="BD22" s="188">
        <v>5.5532868293339949E-2</v>
      </c>
      <c r="BE22" s="188">
        <v>8.4313567311635793E-2</v>
      </c>
      <c r="BF22" s="188">
        <v>5.6159411369598657E-2</v>
      </c>
      <c r="BG22" s="188">
        <v>5.7271025470531763E-2</v>
      </c>
      <c r="BH22" s="187">
        <v>6.2895335213014894E-2</v>
      </c>
    </row>
    <row r="23" spans="1:60" x14ac:dyDescent="0.3">
      <c r="A23" s="90" t="str">
        <f>$A$9</f>
        <v>20-24</v>
      </c>
      <c r="B23" s="188">
        <v>62.563891293376557</v>
      </c>
      <c r="C23" s="188">
        <v>65.325512781581011</v>
      </c>
      <c r="D23" s="188">
        <v>67.029010553797633</v>
      </c>
      <c r="E23" s="188">
        <v>59.464637575430878</v>
      </c>
      <c r="F23" s="187">
        <v>54.38972351131563</v>
      </c>
      <c r="G23" s="188"/>
      <c r="H23" s="188">
        <v>17.754171051225015</v>
      </c>
      <c r="I23" s="188">
        <v>18.537831805843624</v>
      </c>
      <c r="J23" s="188">
        <v>19.021243659623707</v>
      </c>
      <c r="K23" s="188">
        <v>16.874679665555647</v>
      </c>
      <c r="L23" s="187">
        <v>15.434495406960504</v>
      </c>
      <c r="M23" s="188"/>
      <c r="N23" s="188">
        <v>44.809720242151542</v>
      </c>
      <c r="O23" s="188">
        <v>46.787680975737388</v>
      </c>
      <c r="P23" s="188">
        <v>48.00776689417394</v>
      </c>
      <c r="Q23" s="188">
        <v>42.589957909875231</v>
      </c>
      <c r="R23" s="187">
        <v>38.955228104355122</v>
      </c>
      <c r="S23" s="188"/>
      <c r="T23" s="188">
        <v>0</v>
      </c>
      <c r="U23" s="188">
        <v>0</v>
      </c>
      <c r="V23" s="188">
        <v>0</v>
      </c>
      <c r="W23" s="188">
        <v>0</v>
      </c>
      <c r="X23" s="187">
        <v>0</v>
      </c>
      <c r="Y23" s="90" t="str">
        <f>$A$9</f>
        <v>20-24</v>
      </c>
      <c r="Z23" s="188">
        <v>203.50469894139783</v>
      </c>
      <c r="AA23" s="188">
        <v>206.78831948241526</v>
      </c>
      <c r="AB23" s="188">
        <v>217.16688614689699</v>
      </c>
      <c r="AC23" s="188">
        <v>213.03529301815917</v>
      </c>
      <c r="AD23" s="187">
        <v>215.87448968593148</v>
      </c>
      <c r="AE23" s="188"/>
      <c r="AF23" s="188">
        <v>194.19340573185747</v>
      </c>
      <c r="AG23" s="188">
        <v>197.32683079971491</v>
      </c>
      <c r="AH23" s="188">
        <v>207.23048265883725</v>
      </c>
      <c r="AI23" s="188">
        <v>203.2879208070558</v>
      </c>
      <c r="AJ23" s="187">
        <v>205.99720170925298</v>
      </c>
      <c r="AK23" s="188"/>
      <c r="AL23" s="188">
        <v>9.3112932095403682</v>
      </c>
      <c r="AM23" s="188">
        <v>9.4614886827003613</v>
      </c>
      <c r="AN23" s="188">
        <v>9.936403488059721</v>
      </c>
      <c r="AO23" s="188">
        <v>9.7473722111033432</v>
      </c>
      <c r="AP23" s="187">
        <v>9.8772879766784918</v>
      </c>
      <c r="AQ23" s="90" t="str">
        <f t="shared" si="32"/>
        <v>20-24</v>
      </c>
      <c r="AR23" s="188">
        <v>55.35540976522563</v>
      </c>
      <c r="AS23" s="188">
        <v>59.428167736003701</v>
      </c>
      <c r="AT23" s="188">
        <v>76.351103299305365</v>
      </c>
      <c r="AU23" s="188">
        <v>82.69706940640998</v>
      </c>
      <c r="AV23" s="187">
        <v>92.251786802752903</v>
      </c>
      <c r="AW23" s="188"/>
      <c r="AX23" s="188">
        <v>55.171502233744391</v>
      </c>
      <c r="AY23" s="188">
        <v>59.230692610728923</v>
      </c>
      <c r="AZ23" s="188">
        <v>76.097464300047577</v>
      </c>
      <c r="BA23" s="188">
        <v>82.422307619001344</v>
      </c>
      <c r="BB23" s="187">
        <v>91.945269557157303</v>
      </c>
      <c r="BC23" s="188"/>
      <c r="BD23" s="188">
        <v>0.18390753148124411</v>
      </c>
      <c r="BE23" s="188">
        <v>0.19747512527477654</v>
      </c>
      <c r="BF23" s="188">
        <v>0.2536389992577906</v>
      </c>
      <c r="BG23" s="188">
        <v>0.27476178740863866</v>
      </c>
      <c r="BH23" s="187">
        <v>0.30651724559561289</v>
      </c>
    </row>
    <row r="24" spans="1:60" x14ac:dyDescent="0.3">
      <c r="A24" s="90" t="str">
        <f>$A$10</f>
        <v>25-29</v>
      </c>
      <c r="B24" s="188">
        <v>66.398736675349255</v>
      </c>
      <c r="C24" s="188">
        <v>69.045212178063281</v>
      </c>
      <c r="D24" s="188">
        <v>66.627042081793974</v>
      </c>
      <c r="E24" s="188">
        <v>68.686692459413791</v>
      </c>
      <c r="F24" s="187">
        <v>61.118016987628771</v>
      </c>
      <c r="G24" s="188"/>
      <c r="H24" s="188">
        <v>22.566174767142297</v>
      </c>
      <c r="I24" s="188">
        <v>23.465649013403809</v>
      </c>
      <c r="J24" s="188">
        <v>22.643783635613381</v>
      </c>
      <c r="K24" s="188">
        <v>23.343782133688464</v>
      </c>
      <c r="L24" s="187">
        <v>20.771486527956</v>
      </c>
      <c r="M24" s="188"/>
      <c r="N24" s="188">
        <v>43.832561908206955</v>
      </c>
      <c r="O24" s="188">
        <v>45.579563164659476</v>
      </c>
      <c r="P24" s="188">
        <v>43.983258446180592</v>
      </c>
      <c r="Q24" s="188">
        <v>45.342910325725327</v>
      </c>
      <c r="R24" s="187">
        <v>40.346530459672763</v>
      </c>
      <c r="S24" s="188"/>
      <c r="T24" s="188">
        <v>0</v>
      </c>
      <c r="U24" s="188">
        <v>0</v>
      </c>
      <c r="V24" s="188">
        <v>0</v>
      </c>
      <c r="W24" s="188">
        <v>0</v>
      </c>
      <c r="X24" s="187">
        <v>0</v>
      </c>
      <c r="Y24" s="90" t="str">
        <f>$A$10</f>
        <v>25-29</v>
      </c>
      <c r="Z24" s="188">
        <v>157.53682636123301</v>
      </c>
      <c r="AA24" s="188">
        <v>146.82469164415315</v>
      </c>
      <c r="AB24" s="188">
        <v>162.09459077138558</v>
      </c>
      <c r="AC24" s="188">
        <v>176.76412293200428</v>
      </c>
      <c r="AD24" s="187">
        <v>178.0449747242445</v>
      </c>
      <c r="AE24" s="188"/>
      <c r="AF24" s="188">
        <v>147.64849438417414</v>
      </c>
      <c r="AG24" s="188">
        <v>137.60882551682283</v>
      </c>
      <c r="AH24" s="188">
        <v>151.92024178805138</v>
      </c>
      <c r="AI24" s="188">
        <v>165.66900835507411</v>
      </c>
      <c r="AJ24" s="187">
        <v>166.86940114891388</v>
      </c>
      <c r="AK24" s="188"/>
      <c r="AL24" s="188">
        <v>9.8883319770588862</v>
      </c>
      <c r="AM24" s="188">
        <v>9.21586612733031</v>
      </c>
      <c r="AN24" s="188">
        <v>10.174348983334211</v>
      </c>
      <c r="AO24" s="188">
        <v>11.095114576930154</v>
      </c>
      <c r="AP24" s="187">
        <v>11.175573575330596</v>
      </c>
      <c r="AQ24" s="90" t="str">
        <f t="shared" si="32"/>
        <v>25-29</v>
      </c>
      <c r="AR24" s="188">
        <v>119.99943696341774</v>
      </c>
      <c r="AS24" s="188">
        <v>129.39109617778351</v>
      </c>
      <c r="AT24" s="188">
        <v>137.02936714682045</v>
      </c>
      <c r="AU24" s="188">
        <v>151.42218460858194</v>
      </c>
      <c r="AV24" s="187">
        <v>154.61300828812676</v>
      </c>
      <c r="AW24" s="188"/>
      <c r="AX24" s="188">
        <v>118.70993980899782</v>
      </c>
      <c r="AY24" s="188">
        <v>128.00063464065943</v>
      </c>
      <c r="AZ24" s="188">
        <v>135.5567932955843</v>
      </c>
      <c r="BA24" s="188">
        <v>149.7950052068511</v>
      </c>
      <c r="BB24" s="187">
        <v>152.9514745672883</v>
      </c>
      <c r="BC24" s="188"/>
      <c r="BD24" s="188">
        <v>1.2894971544199207</v>
      </c>
      <c r="BE24" s="188">
        <v>1.3904615371240769</v>
      </c>
      <c r="BF24" s="188">
        <v>1.4725738512361566</v>
      </c>
      <c r="BG24" s="188">
        <v>1.6271794017308401</v>
      </c>
      <c r="BH24" s="187">
        <v>1.6615337208384582</v>
      </c>
    </row>
    <row r="25" spans="1:60" x14ac:dyDescent="0.3">
      <c r="A25" s="90" t="str">
        <f>$A$11</f>
        <v>30-34</v>
      </c>
      <c r="B25" s="188">
        <v>68.283196879250426</v>
      </c>
      <c r="C25" s="188">
        <v>66.945802724107253</v>
      </c>
      <c r="D25" s="188">
        <v>66.03723253213704</v>
      </c>
      <c r="E25" s="188">
        <v>61.74876482433028</v>
      </c>
      <c r="F25" s="187">
        <v>53.450029841365982</v>
      </c>
      <c r="G25" s="188"/>
      <c r="H25" s="188">
        <v>24.544039774496266</v>
      </c>
      <c r="I25" s="188">
        <v>24.063322041545216</v>
      </c>
      <c r="J25" s="188">
        <v>23.736795331659089</v>
      </c>
      <c r="K25" s="188">
        <v>22.195343632842444</v>
      </c>
      <c r="L25" s="187">
        <v>19.212368288465317</v>
      </c>
      <c r="M25" s="188"/>
      <c r="N25" s="188">
        <v>43.739157104754149</v>
      </c>
      <c r="O25" s="188">
        <v>42.88248068256204</v>
      </c>
      <c r="P25" s="188">
        <v>42.300437200477958</v>
      </c>
      <c r="Q25" s="188">
        <v>39.553421191487843</v>
      </c>
      <c r="R25" s="187">
        <v>34.237661552900661</v>
      </c>
      <c r="S25" s="188"/>
      <c r="T25" s="188">
        <v>0</v>
      </c>
      <c r="U25" s="188">
        <v>0</v>
      </c>
      <c r="V25" s="188">
        <v>0</v>
      </c>
      <c r="W25" s="188">
        <v>0</v>
      </c>
      <c r="X25" s="187">
        <v>0</v>
      </c>
      <c r="Y25" s="90" t="str">
        <f>$A$11</f>
        <v>30-34</v>
      </c>
      <c r="Z25" s="188">
        <v>148.60780472425301</v>
      </c>
      <c r="AA25" s="188">
        <v>147.31893427815288</v>
      </c>
      <c r="AB25" s="188">
        <v>161.47366094590328</v>
      </c>
      <c r="AC25" s="188">
        <v>172.47340823028688</v>
      </c>
      <c r="AD25" s="187">
        <v>191.95713844294832</v>
      </c>
      <c r="AE25" s="188"/>
      <c r="AF25" s="188">
        <v>138.80683308840062</v>
      </c>
      <c r="AG25" s="188">
        <v>137.60298665378525</v>
      </c>
      <c r="AH25" s="188">
        <v>150.82413863510811</v>
      </c>
      <c r="AI25" s="188">
        <v>161.09845641798645</v>
      </c>
      <c r="AJ25" s="187">
        <v>179.29720884021523</v>
      </c>
      <c r="AK25" s="188"/>
      <c r="AL25" s="188">
        <v>9.8009716358523953</v>
      </c>
      <c r="AM25" s="188">
        <v>9.7159476243676277</v>
      </c>
      <c r="AN25" s="188">
        <v>10.649522310795193</v>
      </c>
      <c r="AO25" s="188">
        <v>11.374951812300438</v>
      </c>
      <c r="AP25" s="187">
        <v>12.659929602733092</v>
      </c>
      <c r="AQ25" s="90" t="str">
        <f t="shared" si="32"/>
        <v>30-34</v>
      </c>
      <c r="AR25" s="188">
        <v>129.43499839649661</v>
      </c>
      <c r="AS25" s="188">
        <v>136.9352629977399</v>
      </c>
      <c r="AT25" s="188">
        <v>146.86710652195967</v>
      </c>
      <c r="AU25" s="188">
        <v>156.94682694538284</v>
      </c>
      <c r="AV25" s="187">
        <v>178.67283171568567</v>
      </c>
      <c r="AW25" s="188"/>
      <c r="AX25" s="188">
        <v>126.08382142150504</v>
      </c>
      <c r="AY25" s="188">
        <v>133.38988826824271</v>
      </c>
      <c r="AZ25" s="188">
        <v>143.06466319041809</v>
      </c>
      <c r="BA25" s="188">
        <v>152.88342672901697</v>
      </c>
      <c r="BB25" s="187">
        <v>174.04687249714561</v>
      </c>
      <c r="BC25" s="188"/>
      <c r="BD25" s="188">
        <v>3.3511769749915721</v>
      </c>
      <c r="BE25" s="188">
        <v>3.5453747294971758</v>
      </c>
      <c r="BF25" s="188">
        <v>3.8024433315415691</v>
      </c>
      <c r="BG25" s="188">
        <v>4.0634002163658671</v>
      </c>
      <c r="BH25" s="187">
        <v>4.625959218540066</v>
      </c>
    </row>
    <row r="26" spans="1:60" x14ac:dyDescent="0.3">
      <c r="A26" s="90" t="str">
        <f>$A$12</f>
        <v>35-39</v>
      </c>
      <c r="B26" s="188">
        <v>81.570107580789099</v>
      </c>
      <c r="C26" s="188">
        <v>83.089506586868126</v>
      </c>
      <c r="D26" s="188">
        <v>69.396955766521813</v>
      </c>
      <c r="E26" s="188">
        <v>57.477476782623199</v>
      </c>
      <c r="F26" s="187">
        <v>45.376437261099497</v>
      </c>
      <c r="G26" s="188"/>
      <c r="H26" s="188">
        <v>27.823839481647656</v>
      </c>
      <c r="I26" s="188">
        <v>28.342149363665129</v>
      </c>
      <c r="J26" s="188">
        <v>23.671532314933994</v>
      </c>
      <c r="K26" s="188">
        <v>19.605797942974593</v>
      </c>
      <c r="L26" s="187">
        <v>15.478099602590135</v>
      </c>
      <c r="M26" s="188"/>
      <c r="N26" s="188">
        <v>53.746268099141446</v>
      </c>
      <c r="O26" s="188">
        <v>54.747357223203004</v>
      </c>
      <c r="P26" s="188">
        <v>45.725423451587815</v>
      </c>
      <c r="Q26" s="188">
        <v>37.871678839648609</v>
      </c>
      <c r="R26" s="187">
        <v>29.898337658509362</v>
      </c>
      <c r="S26" s="188"/>
      <c r="T26" s="188">
        <v>0</v>
      </c>
      <c r="U26" s="188">
        <v>0</v>
      </c>
      <c r="V26" s="188">
        <v>0</v>
      </c>
      <c r="W26" s="188">
        <v>0</v>
      </c>
      <c r="X26" s="187">
        <v>0</v>
      </c>
      <c r="Y26" s="90" t="str">
        <f>$A$12</f>
        <v>35-39</v>
      </c>
      <c r="Z26" s="188">
        <v>172.87314170144836</v>
      </c>
      <c r="AA26" s="188">
        <v>151.81746175182639</v>
      </c>
      <c r="AB26" s="188">
        <v>156.19921187888309</v>
      </c>
      <c r="AC26" s="188">
        <v>170.06847351368867</v>
      </c>
      <c r="AD26" s="187">
        <v>183.91916269923121</v>
      </c>
      <c r="AE26" s="188"/>
      <c r="AF26" s="188">
        <v>162.99555148006215</v>
      </c>
      <c r="AG26" s="188">
        <v>143.14291162441359</v>
      </c>
      <c r="AH26" s="188">
        <v>147.27436031165053</v>
      </c>
      <c r="AI26" s="188">
        <v>160.35109660117249</v>
      </c>
      <c r="AJ26" s="187">
        <v>173.41038032330772</v>
      </c>
      <c r="AK26" s="188"/>
      <c r="AL26" s="188">
        <v>9.8775902213862175</v>
      </c>
      <c r="AM26" s="188">
        <v>8.6745501274128145</v>
      </c>
      <c r="AN26" s="188">
        <v>8.9248515672325688</v>
      </c>
      <c r="AO26" s="188">
        <v>9.7173769125161513</v>
      </c>
      <c r="AP26" s="187">
        <v>10.508782375923495</v>
      </c>
      <c r="AQ26" s="90" t="str">
        <f t="shared" si="32"/>
        <v>35-39</v>
      </c>
      <c r="AR26" s="188">
        <v>130.84375071776253</v>
      </c>
      <c r="AS26" s="188">
        <v>143.10303166130547</v>
      </c>
      <c r="AT26" s="188">
        <v>145.7508323545951</v>
      </c>
      <c r="AU26" s="188">
        <v>161.80904970368815</v>
      </c>
      <c r="AV26" s="187">
        <v>178.15540003966933</v>
      </c>
      <c r="AW26" s="188"/>
      <c r="AX26" s="188">
        <v>127.60652595957404</v>
      </c>
      <c r="AY26" s="188">
        <v>139.56251449676819</v>
      </c>
      <c r="AZ26" s="188">
        <v>142.14475173688641</v>
      </c>
      <c r="BA26" s="188">
        <v>157.80566912987618</v>
      </c>
      <c r="BB26" s="187">
        <v>173.74761952873018</v>
      </c>
      <c r="BC26" s="188"/>
      <c r="BD26" s="188">
        <v>3.237224758188491</v>
      </c>
      <c r="BE26" s="188">
        <v>3.5405171645372788</v>
      </c>
      <c r="BF26" s="188">
        <v>3.6060806177086793</v>
      </c>
      <c r="BG26" s="188">
        <v>4.003380573811949</v>
      </c>
      <c r="BH26" s="187">
        <v>4.4077805109391317</v>
      </c>
    </row>
    <row r="27" spans="1:60" x14ac:dyDescent="0.3">
      <c r="A27" s="90" t="str">
        <f>$A$13</f>
        <v>40-44</v>
      </c>
      <c r="B27" s="188">
        <v>109.36258023994721</v>
      </c>
      <c r="C27" s="188">
        <v>100.65735353635027</v>
      </c>
      <c r="D27" s="188">
        <v>79.894996074335893</v>
      </c>
      <c r="E27" s="188">
        <v>58.266248681924139</v>
      </c>
      <c r="F27" s="187">
        <v>44.943691641188508</v>
      </c>
      <c r="G27" s="188"/>
      <c r="H27" s="188">
        <v>37.497201603751407</v>
      </c>
      <c r="I27" s="188">
        <v>34.512468517177361</v>
      </c>
      <c r="J27" s="188">
        <v>27.393678246007219</v>
      </c>
      <c r="K27" s="188">
        <v>19.977808097422283</v>
      </c>
      <c r="L27" s="187">
        <v>15.409876741628949</v>
      </c>
      <c r="M27" s="188"/>
      <c r="N27" s="188">
        <v>71.8653786361958</v>
      </c>
      <c r="O27" s="188">
        <v>66.144885019172918</v>
      </c>
      <c r="P27" s="188">
        <v>52.501317828328666</v>
      </c>
      <c r="Q27" s="188">
        <v>38.288440584501856</v>
      </c>
      <c r="R27" s="187">
        <v>29.533814899559559</v>
      </c>
      <c r="S27" s="188"/>
      <c r="T27" s="188">
        <v>0</v>
      </c>
      <c r="U27" s="188">
        <v>0</v>
      </c>
      <c r="V27" s="188">
        <v>0</v>
      </c>
      <c r="W27" s="188">
        <v>0</v>
      </c>
      <c r="X27" s="187">
        <v>0</v>
      </c>
      <c r="Y27" s="90" t="str">
        <f>$A$13</f>
        <v>40-44</v>
      </c>
      <c r="Z27" s="188">
        <v>173.78731454334542</v>
      </c>
      <c r="AA27" s="188">
        <v>163.77527356450886</v>
      </c>
      <c r="AB27" s="188">
        <v>162.60647900072252</v>
      </c>
      <c r="AC27" s="188">
        <v>166.47427183086532</v>
      </c>
      <c r="AD27" s="187">
        <v>181.69643068872716</v>
      </c>
      <c r="AE27" s="188"/>
      <c r="AF27" s="188">
        <v>165.32689297611799</v>
      </c>
      <c r="AG27" s="188">
        <v>155.80222756557217</v>
      </c>
      <c r="AH27" s="188">
        <v>154.69035923872957</v>
      </c>
      <c r="AI27" s="188">
        <v>158.36986274844344</v>
      </c>
      <c r="AJ27" s="187">
        <v>172.85093659793318</v>
      </c>
      <c r="AK27" s="188"/>
      <c r="AL27" s="188">
        <v>8.4604215672274528</v>
      </c>
      <c r="AM27" s="188">
        <v>7.9730459989366764</v>
      </c>
      <c r="AN27" s="188">
        <v>7.9161197619929249</v>
      </c>
      <c r="AO27" s="188">
        <v>8.1044090824218635</v>
      </c>
      <c r="AP27" s="187">
        <v>8.8454940907939719</v>
      </c>
      <c r="AQ27" s="90" t="str">
        <f t="shared" si="32"/>
        <v>40-44</v>
      </c>
      <c r="AR27" s="188">
        <v>128.62610521670734</v>
      </c>
      <c r="AS27" s="188">
        <v>136.39037289914091</v>
      </c>
      <c r="AT27" s="188">
        <v>148.07052492494154</v>
      </c>
      <c r="AU27" s="188">
        <v>154.31647948721056</v>
      </c>
      <c r="AV27" s="187">
        <v>171.30987767008435</v>
      </c>
      <c r="AW27" s="188"/>
      <c r="AX27" s="188">
        <v>125.76772964125814</v>
      </c>
      <c r="AY27" s="188">
        <v>133.35947800784845</v>
      </c>
      <c r="AZ27" s="188">
        <v>144.78005921667193</v>
      </c>
      <c r="BA27" s="188">
        <v>150.88727091047099</v>
      </c>
      <c r="BB27" s="187">
        <v>167.50296624498654</v>
      </c>
      <c r="BC27" s="188"/>
      <c r="BD27" s="188">
        <v>2.8583755754492008</v>
      </c>
      <c r="BE27" s="188">
        <v>3.030894891292423</v>
      </c>
      <c r="BF27" s="188">
        <v>3.2904657082695943</v>
      </c>
      <c r="BG27" s="188">
        <v>3.4292085767395757</v>
      </c>
      <c r="BH27" s="187">
        <v>3.8069114250978413</v>
      </c>
    </row>
    <row r="28" spans="1:60" x14ac:dyDescent="0.3">
      <c r="A28" s="90" t="str">
        <f>$A$14</f>
        <v>45-49</v>
      </c>
      <c r="B28" s="188">
        <v>133.05883203982552</v>
      </c>
      <c r="C28" s="188">
        <v>130.62922404585686</v>
      </c>
      <c r="D28" s="188">
        <v>99.593963362259984</v>
      </c>
      <c r="E28" s="188">
        <v>77.436632042573009</v>
      </c>
      <c r="F28" s="187">
        <v>59.492715137111858</v>
      </c>
      <c r="G28" s="188"/>
      <c r="H28" s="188">
        <v>45.027200591392536</v>
      </c>
      <c r="I28" s="188">
        <v>44.204981813015024</v>
      </c>
      <c r="J28" s="188">
        <v>33.702642640591492</v>
      </c>
      <c r="K28" s="188">
        <v>26.204594261379921</v>
      </c>
      <c r="L28" s="187">
        <v>20.132393786098973</v>
      </c>
      <c r="M28" s="188"/>
      <c r="N28" s="188">
        <v>88.031631448432989</v>
      </c>
      <c r="O28" s="188">
        <v>86.424242232841848</v>
      </c>
      <c r="P28" s="188">
        <v>65.891320721668478</v>
      </c>
      <c r="Q28" s="188">
        <v>51.232037781193085</v>
      </c>
      <c r="R28" s="187">
        <v>39.360321351012892</v>
      </c>
      <c r="S28" s="188"/>
      <c r="T28" s="188">
        <v>0</v>
      </c>
      <c r="U28" s="188">
        <v>0</v>
      </c>
      <c r="V28" s="188">
        <v>0</v>
      </c>
      <c r="W28" s="188">
        <v>0</v>
      </c>
      <c r="X28" s="187">
        <v>0</v>
      </c>
      <c r="Y28" s="90" t="str">
        <f>$A$14</f>
        <v>45-49</v>
      </c>
      <c r="Z28" s="188">
        <v>147.70040930140374</v>
      </c>
      <c r="AA28" s="188">
        <v>150.78309476094216</v>
      </c>
      <c r="AB28" s="188">
        <v>165.92406107867228</v>
      </c>
      <c r="AC28" s="188">
        <v>170.02775905499576</v>
      </c>
      <c r="AD28" s="187">
        <v>173.29143493241449</v>
      </c>
      <c r="AE28" s="188"/>
      <c r="AF28" s="188">
        <v>141.54694322175274</v>
      </c>
      <c r="AG28" s="188">
        <v>144.50116492117996</v>
      </c>
      <c r="AH28" s="188">
        <v>159.01136074679223</v>
      </c>
      <c r="AI28" s="188">
        <v>162.94414401206637</v>
      </c>
      <c r="AJ28" s="187">
        <v>166.07180166684751</v>
      </c>
      <c r="AK28" s="188"/>
      <c r="AL28" s="188">
        <v>6.1534660796509844</v>
      </c>
      <c r="AM28" s="188">
        <v>6.2819298397621735</v>
      </c>
      <c r="AN28" s="188">
        <v>6.9127003318800542</v>
      </c>
      <c r="AO28" s="188">
        <v>7.0836150429293721</v>
      </c>
      <c r="AP28" s="187">
        <v>7.2196332655670084</v>
      </c>
      <c r="AQ28" s="90" t="str">
        <f t="shared" si="32"/>
        <v>45-49</v>
      </c>
      <c r="AR28" s="188">
        <v>123.31275865877076</v>
      </c>
      <c r="AS28" s="188">
        <v>132.41368119320103</v>
      </c>
      <c r="AT28" s="188">
        <v>140.53797555906777</v>
      </c>
      <c r="AU28" s="188">
        <v>145.28260890243126</v>
      </c>
      <c r="AV28" s="187">
        <v>149.41884993047367</v>
      </c>
      <c r="AW28" s="188"/>
      <c r="AX28" s="188">
        <v>120.05066515719325</v>
      </c>
      <c r="AY28" s="188">
        <v>128.91090449693274</v>
      </c>
      <c r="AZ28" s="188">
        <v>136.82028565996129</v>
      </c>
      <c r="BA28" s="188">
        <v>141.4394248982336</v>
      </c>
      <c r="BB28" s="187">
        <v>145.46618310656098</v>
      </c>
      <c r="BC28" s="188"/>
      <c r="BD28" s="188">
        <v>3.2620935015775157</v>
      </c>
      <c r="BE28" s="188">
        <v>3.5027766962682798</v>
      </c>
      <c r="BF28" s="188">
        <v>3.7176898991064919</v>
      </c>
      <c r="BG28" s="188">
        <v>3.8431840041976795</v>
      </c>
      <c r="BH28" s="187">
        <v>3.952666823912681</v>
      </c>
    </row>
    <row r="29" spans="1:60" x14ac:dyDescent="0.3">
      <c r="A29" s="90" t="str">
        <f>$A$15</f>
        <v>50-54</v>
      </c>
      <c r="B29" s="188">
        <v>142.62528866518252</v>
      </c>
      <c r="C29" s="188">
        <v>144.67879652164194</v>
      </c>
      <c r="D29" s="188">
        <v>129.89288976403338</v>
      </c>
      <c r="E29" s="188">
        <v>108.5906384249285</v>
      </c>
      <c r="F29" s="187">
        <v>88.797023806023716</v>
      </c>
      <c r="G29" s="188"/>
      <c r="H29" s="188">
        <v>58.809677206890292</v>
      </c>
      <c r="I29" s="188">
        <v>59.656444402939428</v>
      </c>
      <c r="J29" s="188">
        <v>53.559622114055813</v>
      </c>
      <c r="K29" s="188">
        <v>44.77589197427843</v>
      </c>
      <c r="L29" s="187">
        <v>36.614290916009523</v>
      </c>
      <c r="M29" s="188"/>
      <c r="N29" s="188">
        <v>83.815611458292224</v>
      </c>
      <c r="O29" s="188">
        <v>85.022352118702528</v>
      </c>
      <c r="P29" s="188">
        <v>76.333267649977572</v>
      </c>
      <c r="Q29" s="188">
        <v>63.814746450650077</v>
      </c>
      <c r="R29" s="187">
        <v>52.182732890014194</v>
      </c>
      <c r="S29" s="188"/>
      <c r="T29" s="188">
        <v>0</v>
      </c>
      <c r="U29" s="188">
        <v>0</v>
      </c>
      <c r="V29" s="188">
        <v>0</v>
      </c>
      <c r="W29" s="188">
        <v>0</v>
      </c>
      <c r="X29" s="187">
        <v>0</v>
      </c>
      <c r="Y29" s="90" t="str">
        <f>$A$15</f>
        <v>50-54</v>
      </c>
      <c r="Z29" s="188">
        <v>128.12433076039389</v>
      </c>
      <c r="AA29" s="188">
        <v>131.63132793945925</v>
      </c>
      <c r="AB29" s="188">
        <v>150.56527705284162</v>
      </c>
      <c r="AC29" s="188">
        <v>157.47681805010433</v>
      </c>
      <c r="AD29" s="187">
        <v>161.81424705237774</v>
      </c>
      <c r="AE29" s="188"/>
      <c r="AF29" s="188">
        <v>122.55278649675924</v>
      </c>
      <c r="AG29" s="188">
        <v>125.90722170135525</v>
      </c>
      <c r="AH29" s="188">
        <v>144.01786562915689</v>
      </c>
      <c r="AI29" s="188">
        <v>150.62881683229153</v>
      </c>
      <c r="AJ29" s="187">
        <v>154.77764225506792</v>
      </c>
      <c r="AK29" s="188"/>
      <c r="AL29" s="188">
        <v>5.5715442636346637</v>
      </c>
      <c r="AM29" s="188">
        <v>5.7241062381040022</v>
      </c>
      <c r="AN29" s="188">
        <v>6.5474114236847223</v>
      </c>
      <c r="AO29" s="188">
        <v>6.848001217812798</v>
      </c>
      <c r="AP29" s="187">
        <v>7.0366047973098143</v>
      </c>
      <c r="AQ29" s="90" t="str">
        <f t="shared" si="32"/>
        <v>50-54</v>
      </c>
      <c r="AR29" s="188">
        <v>99.533380574423589</v>
      </c>
      <c r="AS29" s="188">
        <v>107.85887553889877</v>
      </c>
      <c r="AT29" s="188">
        <v>131.66083318312499</v>
      </c>
      <c r="AU29" s="188">
        <v>136.99154352496717</v>
      </c>
      <c r="AV29" s="187">
        <v>140.23672914159854</v>
      </c>
      <c r="AW29" s="188"/>
      <c r="AX29" s="188">
        <v>96.536032850777929</v>
      </c>
      <c r="AY29" s="188">
        <v>104.61089167560138</v>
      </c>
      <c r="AZ29" s="188">
        <v>127.6960784524572</v>
      </c>
      <c r="BA29" s="188">
        <v>132.86627000855998</v>
      </c>
      <c r="BB29" s="187">
        <v>136.01369492085831</v>
      </c>
      <c r="BC29" s="188"/>
      <c r="BD29" s="188">
        <v>2.9973477236456505</v>
      </c>
      <c r="BE29" s="188">
        <v>3.2479838632974087</v>
      </c>
      <c r="BF29" s="188">
        <v>3.9647547306677895</v>
      </c>
      <c r="BG29" s="188">
        <v>4.1252735164071801</v>
      </c>
      <c r="BH29" s="187">
        <v>4.2230342207402218</v>
      </c>
    </row>
    <row r="30" spans="1:60" x14ac:dyDescent="0.3">
      <c r="A30" s="90" t="str">
        <f>$A$16</f>
        <v>55-59</v>
      </c>
      <c r="B30" s="188">
        <v>142.02345355885194</v>
      </c>
      <c r="C30" s="188">
        <v>143.44952230302076</v>
      </c>
      <c r="D30" s="188">
        <v>139.14959212331905</v>
      </c>
      <c r="E30" s="188">
        <v>133.10606492478584</v>
      </c>
      <c r="F30" s="187">
        <v>109.14650779855604</v>
      </c>
      <c r="G30" s="188"/>
      <c r="H30" s="188">
        <v>65.471577847382605</v>
      </c>
      <c r="I30" s="188">
        <v>66.128938994656224</v>
      </c>
      <c r="J30" s="188">
        <v>64.146760401718026</v>
      </c>
      <c r="K30" s="188">
        <v>61.360743377948751</v>
      </c>
      <c r="L30" s="187">
        <v>50.315564885494574</v>
      </c>
      <c r="M30" s="188"/>
      <c r="N30" s="188">
        <v>76.551875711469307</v>
      </c>
      <c r="O30" s="188">
        <v>77.320583308364533</v>
      </c>
      <c r="P30" s="188">
        <v>75.002831721601012</v>
      </c>
      <c r="Q30" s="188">
        <v>71.74532154683709</v>
      </c>
      <c r="R30" s="187">
        <v>58.830942913061456</v>
      </c>
      <c r="S30" s="188"/>
      <c r="T30" s="188">
        <v>0</v>
      </c>
      <c r="U30" s="188">
        <v>0</v>
      </c>
      <c r="V30" s="188">
        <v>0</v>
      </c>
      <c r="W30" s="188">
        <v>0</v>
      </c>
      <c r="X30" s="187">
        <v>0</v>
      </c>
      <c r="Y30" s="90" t="str">
        <f>$A$16</f>
        <v>55-59</v>
      </c>
      <c r="Z30" s="188">
        <v>109.05588764571488</v>
      </c>
      <c r="AA30" s="188">
        <v>103.02668159053177</v>
      </c>
      <c r="AB30" s="188">
        <v>125.61808852626254</v>
      </c>
      <c r="AC30" s="188">
        <v>146.63086089061352</v>
      </c>
      <c r="AD30" s="187">
        <v>154.81770782548793</v>
      </c>
      <c r="AE30" s="188"/>
      <c r="AF30" s="188">
        <v>103.75944425598405</v>
      </c>
      <c r="AG30" s="188">
        <v>98.023014500202649</v>
      </c>
      <c r="AH30" s="188">
        <v>119.51727296970975</v>
      </c>
      <c r="AI30" s="188">
        <v>139.509472215926</v>
      </c>
      <c r="AJ30" s="187">
        <v>147.29874653579841</v>
      </c>
      <c r="AK30" s="188"/>
      <c r="AL30" s="188">
        <v>5.296443389730813</v>
      </c>
      <c r="AM30" s="188">
        <v>5.0036670903291043</v>
      </c>
      <c r="AN30" s="188">
        <v>6.1008155565527895</v>
      </c>
      <c r="AO30" s="188">
        <v>7.1213886746875295</v>
      </c>
      <c r="AP30" s="187">
        <v>7.5189612896894937</v>
      </c>
      <c r="AQ30" s="90" t="str">
        <f t="shared" si="32"/>
        <v>55-59</v>
      </c>
      <c r="AR30" s="188">
        <v>86.859658795433134</v>
      </c>
      <c r="AS30" s="188">
        <v>96.998796106447443</v>
      </c>
      <c r="AT30" s="188">
        <v>110.9803193504184</v>
      </c>
      <c r="AU30" s="188">
        <v>123.37107418460066</v>
      </c>
      <c r="AV30" s="187">
        <v>131.50178437595608</v>
      </c>
      <c r="AW30" s="188"/>
      <c r="AX30" s="188">
        <v>84.146035314499002</v>
      </c>
      <c r="AY30" s="188">
        <v>93.968368312463639</v>
      </c>
      <c r="AZ30" s="188">
        <v>107.5131451192468</v>
      </c>
      <c r="BA30" s="188">
        <v>119.51673817354288</v>
      </c>
      <c r="BB30" s="187">
        <v>127.3934508351265</v>
      </c>
      <c r="BC30" s="188"/>
      <c r="BD30" s="188">
        <v>2.7136234809341366</v>
      </c>
      <c r="BE30" s="188">
        <v>3.030427793983804</v>
      </c>
      <c r="BF30" s="188">
        <v>3.4671742311715938</v>
      </c>
      <c r="BG30" s="188">
        <v>3.8543360110577858</v>
      </c>
      <c r="BH30" s="187">
        <v>4.1083335408295882</v>
      </c>
    </row>
    <row r="31" spans="1:60" x14ac:dyDescent="0.3">
      <c r="A31" s="90" t="str">
        <f>$A$17</f>
        <v>60-64</v>
      </c>
      <c r="B31" s="188">
        <v>135.20871159850742</v>
      </c>
      <c r="C31" s="188">
        <v>139.14227803640441</v>
      </c>
      <c r="D31" s="188">
        <v>130.14619876262617</v>
      </c>
      <c r="E31" s="188">
        <v>116.92965912610188</v>
      </c>
      <c r="F31" s="187">
        <v>97.821165625616288</v>
      </c>
      <c r="G31" s="188"/>
      <c r="H31" s="188">
        <v>70.289274754240722</v>
      </c>
      <c r="I31" s="188">
        <v>72.334142210216811</v>
      </c>
      <c r="J31" s="188">
        <v>67.657493952962056</v>
      </c>
      <c r="K31" s="188">
        <v>60.786778379352796</v>
      </c>
      <c r="L31" s="187">
        <v>50.853075153050249</v>
      </c>
      <c r="M31" s="188"/>
      <c r="N31" s="188">
        <v>64.919436844266713</v>
      </c>
      <c r="O31" s="188">
        <v>66.808135826187581</v>
      </c>
      <c r="P31" s="188">
        <v>62.488704809664121</v>
      </c>
      <c r="Q31" s="188">
        <v>56.142880746749078</v>
      </c>
      <c r="R31" s="187">
        <v>46.968090472566033</v>
      </c>
      <c r="S31" s="188"/>
      <c r="T31" s="188">
        <v>0</v>
      </c>
      <c r="U31" s="188">
        <v>0</v>
      </c>
      <c r="V31" s="188">
        <v>0</v>
      </c>
      <c r="W31" s="188">
        <v>0</v>
      </c>
      <c r="X31" s="187">
        <v>0</v>
      </c>
      <c r="Y31" s="90" t="str">
        <f>$A$17</f>
        <v>60-64</v>
      </c>
      <c r="Z31" s="188">
        <v>86.312916170074814</v>
      </c>
      <c r="AA31" s="188">
        <v>87.978682675397692</v>
      </c>
      <c r="AB31" s="188">
        <v>102.45961005200583</v>
      </c>
      <c r="AC31" s="188">
        <v>124.91232684164649</v>
      </c>
      <c r="AD31" s="187">
        <v>146.90533839921289</v>
      </c>
      <c r="AE31" s="188"/>
      <c r="AF31" s="188">
        <v>82.494145323393639</v>
      </c>
      <c r="AG31" s="188">
        <v>84.086253978523061</v>
      </c>
      <c r="AH31" s="188">
        <v>97.926456664959204</v>
      </c>
      <c r="AI31" s="188">
        <v>119.38584315305835</v>
      </c>
      <c r="AJ31" s="187">
        <v>140.40583035374158</v>
      </c>
      <c r="AK31" s="188"/>
      <c r="AL31" s="188">
        <v>3.8187708466811769</v>
      </c>
      <c r="AM31" s="188">
        <v>3.8924286968746324</v>
      </c>
      <c r="AN31" s="188">
        <v>4.533153387046621</v>
      </c>
      <c r="AO31" s="188">
        <v>5.5264836885881472</v>
      </c>
      <c r="AP31" s="187">
        <v>6.4995080454712904</v>
      </c>
      <c r="AQ31" s="90" t="str">
        <f t="shared" si="32"/>
        <v>60-64</v>
      </c>
      <c r="AR31" s="188">
        <v>67.855372231417789</v>
      </c>
      <c r="AS31" s="188">
        <v>83.945039288197918</v>
      </c>
      <c r="AT31" s="188">
        <v>95.468191185367971</v>
      </c>
      <c r="AU31" s="188">
        <v>119.10401403225165</v>
      </c>
      <c r="AV31" s="187">
        <v>144.11749597517081</v>
      </c>
      <c r="AW31" s="188"/>
      <c r="AX31" s="188">
        <v>65.304426563134072</v>
      </c>
      <c r="AY31" s="188">
        <v>80.789147061586561</v>
      </c>
      <c r="AZ31" s="188">
        <v>91.879108865414764</v>
      </c>
      <c r="BA31" s="188">
        <v>114.62635921396409</v>
      </c>
      <c r="BB31" s="187">
        <v>138.69950783520864</v>
      </c>
      <c r="BC31" s="188"/>
      <c r="BD31" s="188">
        <v>2.5509456682837173</v>
      </c>
      <c r="BE31" s="188">
        <v>3.1558922266113782</v>
      </c>
      <c r="BF31" s="188">
        <v>3.5890823199532207</v>
      </c>
      <c r="BG31" s="188">
        <v>4.4776548182875615</v>
      </c>
      <c r="BH31" s="187">
        <v>5.4179881399621461</v>
      </c>
    </row>
    <row r="32" spans="1:60" x14ac:dyDescent="0.3">
      <c r="A32" s="90" t="str">
        <f>$A$18</f>
        <v>65+</v>
      </c>
      <c r="B32" s="188">
        <v>413.27348346987924</v>
      </c>
      <c r="C32" s="188">
        <v>413.22199816727857</v>
      </c>
      <c r="D32" s="188">
        <v>382.42661647142006</v>
      </c>
      <c r="E32" s="188">
        <v>344.26916975565996</v>
      </c>
      <c r="F32" s="187">
        <v>299.66486973953153</v>
      </c>
      <c r="G32" s="188"/>
      <c r="H32" s="188">
        <v>280.86103102264485</v>
      </c>
      <c r="I32" s="188">
        <v>280.82599650665259</v>
      </c>
      <c r="J32" s="188">
        <v>259.89747790143747</v>
      </c>
      <c r="K32" s="188">
        <v>233.96563126418033</v>
      </c>
      <c r="L32" s="187">
        <v>203.65250932991842</v>
      </c>
      <c r="M32" s="188"/>
      <c r="N32" s="188">
        <v>132.41245244723444</v>
      </c>
      <c r="O32" s="188">
        <v>132.39600166062604</v>
      </c>
      <c r="P32" s="188">
        <v>122.52913856998256</v>
      </c>
      <c r="Q32" s="188">
        <v>110.30353849147959</v>
      </c>
      <c r="R32" s="187">
        <v>96.012360409613152</v>
      </c>
      <c r="S32" s="188"/>
      <c r="T32" s="188">
        <v>0</v>
      </c>
      <c r="U32" s="188">
        <v>0</v>
      </c>
      <c r="V32" s="188">
        <v>0</v>
      </c>
      <c r="W32" s="188">
        <v>0</v>
      </c>
      <c r="X32" s="187">
        <v>0</v>
      </c>
      <c r="Y32" s="90" t="str">
        <f>$A$18</f>
        <v>65+</v>
      </c>
      <c r="Z32" s="188">
        <v>183.28798651698779</v>
      </c>
      <c r="AA32" s="188">
        <v>198.84833199585475</v>
      </c>
      <c r="AB32" s="188">
        <v>264.78812722486305</v>
      </c>
      <c r="AC32" s="188">
        <v>324.20846857729254</v>
      </c>
      <c r="AD32" s="187">
        <v>390.52526772257721</v>
      </c>
      <c r="AE32" s="188"/>
      <c r="AF32" s="188">
        <v>175.04417159553057</v>
      </c>
      <c r="AG32" s="188">
        <v>189.90464961003784</v>
      </c>
      <c r="AH32" s="188">
        <v>252.8787207130141</v>
      </c>
      <c r="AI32" s="188">
        <v>309.62643682093773</v>
      </c>
      <c r="AJ32" s="187">
        <v>372.96056409867555</v>
      </c>
      <c r="AK32" s="188"/>
      <c r="AL32" s="188">
        <v>8.243814921457215</v>
      </c>
      <c r="AM32" s="188">
        <v>8.9436823858169294</v>
      </c>
      <c r="AN32" s="188">
        <v>11.909406511848935</v>
      </c>
      <c r="AO32" s="188">
        <v>14.582031756354773</v>
      </c>
      <c r="AP32" s="187">
        <v>17.564703623901661</v>
      </c>
      <c r="AQ32" s="90" t="str">
        <f t="shared" si="32"/>
        <v>65+</v>
      </c>
      <c r="AR32" s="188">
        <v>164.37253001313297</v>
      </c>
      <c r="AS32" s="188">
        <v>172.14466983686671</v>
      </c>
      <c r="AT32" s="188">
        <v>232.36725630371686</v>
      </c>
      <c r="AU32" s="188">
        <v>309.43936166704759</v>
      </c>
      <c r="AV32" s="187">
        <v>407.37086253789136</v>
      </c>
      <c r="AW32" s="188"/>
      <c r="AX32" s="188">
        <v>157.65906224959758</v>
      </c>
      <c r="AY32" s="188">
        <v>165.11377610213441</v>
      </c>
      <c r="AZ32" s="188">
        <v>222.87664185404887</v>
      </c>
      <c r="BA32" s="188">
        <v>296.80092091622549</v>
      </c>
      <c r="BB32" s="187">
        <v>390.73259978076936</v>
      </c>
      <c r="BC32" s="188"/>
      <c r="BD32" s="188">
        <v>6.7134677635354318</v>
      </c>
      <c r="BE32" s="188">
        <v>7.0308937347323051</v>
      </c>
      <c r="BF32" s="188">
        <v>9.4906144496679747</v>
      </c>
      <c r="BG32" s="188">
        <v>12.63844075082217</v>
      </c>
      <c r="BH32" s="187">
        <v>16.638262757122035</v>
      </c>
    </row>
    <row r="33" spans="1:60" x14ac:dyDescent="0.3">
      <c r="B33" s="188"/>
      <c r="C33" s="188"/>
      <c r="D33" s="188"/>
      <c r="E33" s="188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93"/>
      <c r="U33" s="93"/>
      <c r="V33" s="93"/>
      <c r="W33" s="93"/>
      <c r="X33" s="93"/>
      <c r="Z33" s="188"/>
      <c r="AA33" s="188"/>
      <c r="AB33" s="188"/>
      <c r="AC33" s="188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R33" s="188"/>
      <c r="AS33" s="188"/>
      <c r="AT33" s="188"/>
      <c r="AU33" s="188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</row>
    <row r="34" spans="1:60" x14ac:dyDescent="0.3">
      <c r="A34" s="113" t="s">
        <v>99</v>
      </c>
      <c r="B34" s="188"/>
      <c r="C34" s="188"/>
      <c r="D34" s="188"/>
      <c r="E34" s="188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93"/>
      <c r="U34" s="93"/>
      <c r="V34" s="93"/>
      <c r="W34" s="93"/>
      <c r="X34" s="93"/>
      <c r="Y34" s="113" t="str">
        <f>A34</f>
        <v>Females</v>
      </c>
      <c r="Z34" s="93"/>
      <c r="AA34" s="93"/>
      <c r="AB34" s="93"/>
      <c r="AC34" s="93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13" t="str">
        <f>A34</f>
        <v>Females</v>
      </c>
      <c r="AR34" s="93"/>
      <c r="AS34" s="93"/>
      <c r="AT34" s="93"/>
      <c r="AU34" s="93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</row>
    <row r="35" spans="1:60" x14ac:dyDescent="0.3">
      <c r="A35" s="90" t="str">
        <f>$A$7</f>
        <v>15+</v>
      </c>
      <c r="B35" s="188">
        <f>SUM(B36:B46)</f>
        <v>1839.2166575000715</v>
      </c>
      <c r="C35" s="188">
        <f t="shared" ref="C35:F35" si="33">SUM(C36:C46)</f>
        <v>1786.0603742980511</v>
      </c>
      <c r="D35" s="188">
        <f t="shared" si="33"/>
        <v>1572.103997262989</v>
      </c>
      <c r="E35" s="188">
        <f t="shared" si="33"/>
        <v>1350.9626109662327</v>
      </c>
      <c r="F35" s="188">
        <f t="shared" si="33"/>
        <v>1143.3207917146487</v>
      </c>
      <c r="G35" s="187"/>
      <c r="H35" s="188">
        <f>SUM(H36:H46)</f>
        <v>963.2794859618532</v>
      </c>
      <c r="I35" s="188">
        <f t="shared" ref="I35:L35" si="34">SUM(I36:I46)</f>
        <v>932.67382880597597</v>
      </c>
      <c r="J35" s="188">
        <f t="shared" si="34"/>
        <v>822.41738994957336</v>
      </c>
      <c r="K35" s="188">
        <f t="shared" si="34"/>
        <v>699.51116772963974</v>
      </c>
      <c r="L35" s="188">
        <f t="shared" si="34"/>
        <v>576.46624793891874</v>
      </c>
      <c r="M35" s="187"/>
      <c r="N35" s="188">
        <f>SUM(N36:N46)</f>
        <v>875.93717153821831</v>
      </c>
      <c r="O35" s="188">
        <f t="shared" ref="O35:R35" si="35">SUM(O36:O46)</f>
        <v>853.38654549207513</v>
      </c>
      <c r="P35" s="188">
        <f t="shared" si="35"/>
        <v>749.68660731341538</v>
      </c>
      <c r="Q35" s="188">
        <f t="shared" si="35"/>
        <v>651.45144323659315</v>
      </c>
      <c r="R35" s="188">
        <f t="shared" si="35"/>
        <v>566.85454377573012</v>
      </c>
      <c r="S35" s="187"/>
      <c r="T35" s="188">
        <f>SUM(T36:T46)</f>
        <v>0</v>
      </c>
      <c r="U35" s="188">
        <f t="shared" ref="U35:X35" si="36">SUM(U36:U46)</f>
        <v>0</v>
      </c>
      <c r="V35" s="188">
        <f t="shared" si="36"/>
        <v>0</v>
      </c>
      <c r="W35" s="188">
        <f t="shared" si="36"/>
        <v>0</v>
      </c>
      <c r="X35" s="188">
        <f t="shared" si="36"/>
        <v>0</v>
      </c>
      <c r="Y35" s="90" t="str">
        <f>$A$7</f>
        <v>15+</v>
      </c>
      <c r="Z35" s="188">
        <f>SUM(Z36:Z46)</f>
        <v>1514.4894356563314</v>
      </c>
      <c r="AA35" s="188">
        <f t="shared" ref="AA35:AD35" si="37">SUM(AA36:AA46)</f>
        <v>1503.6765075089238</v>
      </c>
      <c r="AB35" s="188">
        <f t="shared" si="37"/>
        <v>1659.9026427502681</v>
      </c>
      <c r="AC35" s="188">
        <f t="shared" si="37"/>
        <v>1797.4464428451124</v>
      </c>
      <c r="AD35" s="188">
        <f t="shared" si="37"/>
        <v>1939.4301277122679</v>
      </c>
      <c r="AE35" s="188"/>
      <c r="AF35" s="188">
        <f>SUM(AF36:AF46)</f>
        <v>1427.6490102140683</v>
      </c>
      <c r="AG35" s="188">
        <f t="shared" ref="AG35:AJ35" si="38">SUM(AG36:AG46)</f>
        <v>1417.9494245743583</v>
      </c>
      <c r="AH35" s="188">
        <f t="shared" si="38"/>
        <v>1565.6898030959378</v>
      </c>
      <c r="AI35" s="188">
        <f t="shared" si="38"/>
        <v>1695.8037388732168</v>
      </c>
      <c r="AJ35" s="188">
        <f t="shared" si="38"/>
        <v>1830.7085872896366</v>
      </c>
      <c r="AK35" s="188"/>
      <c r="AL35" s="188">
        <f>SUM(AL36:AL46)</f>
        <v>86.840425442262955</v>
      </c>
      <c r="AM35" s="188">
        <f t="shared" ref="AM35:AP35" si="39">SUM(AM36:AM46)</f>
        <v>85.727082934565459</v>
      </c>
      <c r="AN35" s="188">
        <f t="shared" si="39"/>
        <v>94.212839654330281</v>
      </c>
      <c r="AO35" s="188">
        <f t="shared" si="39"/>
        <v>101.64270397189549</v>
      </c>
      <c r="AP35" s="188">
        <f t="shared" si="39"/>
        <v>108.72154042263139</v>
      </c>
      <c r="AQ35" s="90" t="str">
        <f>$A$7</f>
        <v>15+</v>
      </c>
      <c r="AR35" s="188">
        <f>SUM(AR36:AR46)</f>
        <v>1208.4819068435977</v>
      </c>
      <c r="AS35" s="188">
        <f t="shared" ref="AS35:AV35" si="40">SUM(AS36:AS46)</f>
        <v>1342.1641181930254</v>
      </c>
      <c r="AT35" s="188">
        <f t="shared" si="40"/>
        <v>1576.2403599867432</v>
      </c>
      <c r="AU35" s="188">
        <f t="shared" si="40"/>
        <v>1829.5899461886547</v>
      </c>
      <c r="AV35" s="188">
        <f t="shared" si="40"/>
        <v>2104.1100805730839</v>
      </c>
      <c r="AW35" s="188"/>
      <c r="AX35" s="188">
        <f>SUM(AX36:AX46)</f>
        <v>1195.8231128172695</v>
      </c>
      <c r="AY35" s="188">
        <f t="shared" ref="AY35:BB35" si="41">SUM(AY36:AY46)</f>
        <v>1327.9996346900398</v>
      </c>
      <c r="AZ35" s="188">
        <f t="shared" si="41"/>
        <v>1559.651180973065</v>
      </c>
      <c r="BA35" s="188">
        <f t="shared" si="41"/>
        <v>1810.1453176220125</v>
      </c>
      <c r="BB35" s="188">
        <f t="shared" si="41"/>
        <v>2081.5851755357075</v>
      </c>
      <c r="BC35" s="188"/>
      <c r="BD35" s="188">
        <f>SUM(BD36:BD46)</f>
        <v>12.658794026328057</v>
      </c>
      <c r="BE35" s="188">
        <f t="shared" ref="BE35:BH35" si="42">SUM(BE36:BE46)</f>
        <v>14.164483502985499</v>
      </c>
      <c r="BF35" s="188">
        <f t="shared" si="42"/>
        <v>16.589179013678287</v>
      </c>
      <c r="BG35" s="188">
        <f t="shared" si="42"/>
        <v>19.444628566642407</v>
      </c>
      <c r="BH35" s="188">
        <f t="shared" si="42"/>
        <v>22.524905037375824</v>
      </c>
    </row>
    <row r="36" spans="1:60" x14ac:dyDescent="0.3">
      <c r="A36" s="90" t="str">
        <f>$A$8</f>
        <v>15-19</v>
      </c>
      <c r="B36" s="188">
        <v>235.75197725192589</v>
      </c>
      <c r="C36" s="188">
        <v>235.32459036047223</v>
      </c>
      <c r="D36" s="188">
        <v>224.52607187954138</v>
      </c>
      <c r="E36" s="188">
        <v>225.53877970723389</v>
      </c>
      <c r="F36" s="187">
        <v>243.72400964127928</v>
      </c>
      <c r="G36" s="187"/>
      <c r="H36" s="188">
        <v>48.983534945390808</v>
      </c>
      <c r="I36" s="188">
        <v>48.894690177294805</v>
      </c>
      <c r="J36" s="188">
        <v>46.651003976088816</v>
      </c>
      <c r="K36" s="188">
        <v>46.861405382749254</v>
      </c>
      <c r="L36" s="187">
        <v>50.639873799695991</v>
      </c>
      <c r="M36" s="187"/>
      <c r="N36" s="188">
        <v>186.76844230653509</v>
      </c>
      <c r="O36" s="188">
        <v>186.42990018317741</v>
      </c>
      <c r="P36" s="188">
        <v>177.87506790345256</v>
      </c>
      <c r="Q36" s="188">
        <v>178.67737432448465</v>
      </c>
      <c r="R36" s="187">
        <v>193.08413584158328</v>
      </c>
      <c r="S36" s="187"/>
      <c r="T36" s="188">
        <v>0</v>
      </c>
      <c r="U36" s="188">
        <v>0</v>
      </c>
      <c r="V36" s="188">
        <v>0</v>
      </c>
      <c r="W36" s="188">
        <v>0</v>
      </c>
      <c r="X36" s="187">
        <v>0</v>
      </c>
      <c r="Y36" s="90" t="str">
        <f>$A$8</f>
        <v>15-19</v>
      </c>
      <c r="Z36" s="188">
        <v>83.569879527684336</v>
      </c>
      <c r="AA36" s="188">
        <v>82.526656420969161</v>
      </c>
      <c r="AB36" s="188">
        <v>84.494484512367791</v>
      </c>
      <c r="AC36" s="188">
        <v>90.946079800349651</v>
      </c>
      <c r="AD36" s="187">
        <v>105.28765306859901</v>
      </c>
      <c r="AE36" s="187"/>
      <c r="AF36" s="188">
        <v>82.46118212650282</v>
      </c>
      <c r="AG36" s="188">
        <v>81.431768542600082</v>
      </c>
      <c r="AH36" s="188">
        <v>83.373443742554031</v>
      </c>
      <c r="AI36" s="188">
        <v>89.739476773593154</v>
      </c>
      <c r="AJ36" s="187">
        <v>103.89079794445267</v>
      </c>
      <c r="AK36" s="187"/>
      <c r="AL36" s="188">
        <v>1.1086974011815047</v>
      </c>
      <c r="AM36" s="188">
        <v>1.0948878783690683</v>
      </c>
      <c r="AN36" s="188">
        <v>1.1210407698137705</v>
      </c>
      <c r="AO36" s="188">
        <v>1.2066030267565</v>
      </c>
      <c r="AP36" s="187">
        <v>1.3968551241463449</v>
      </c>
      <c r="AQ36" s="90" t="str">
        <f>$A$8</f>
        <v>15-19</v>
      </c>
      <c r="AR36" s="188">
        <v>0.12314322038975159</v>
      </c>
      <c r="AS36" s="188">
        <v>0.59775321855860108</v>
      </c>
      <c r="AT36" s="188">
        <v>1.4364436080908414</v>
      </c>
      <c r="AU36" s="188">
        <v>1.4711404924164426</v>
      </c>
      <c r="AV36" s="187">
        <v>1.6223372901217372</v>
      </c>
      <c r="AW36" s="187"/>
      <c r="AX36" s="188">
        <v>0.12314322038975159</v>
      </c>
      <c r="AY36" s="188">
        <v>0.59775321855860108</v>
      </c>
      <c r="AZ36" s="188">
        <v>1.4364436080908414</v>
      </c>
      <c r="BA36" s="188">
        <v>1.4711404924164426</v>
      </c>
      <c r="BB36" s="187">
        <v>1.6223372901217372</v>
      </c>
      <c r="BC36" s="187"/>
      <c r="BD36" s="188">
        <v>0</v>
      </c>
      <c r="BE36" s="188">
        <v>0</v>
      </c>
      <c r="BF36" s="188">
        <v>0</v>
      </c>
      <c r="BG36" s="188">
        <v>0</v>
      </c>
      <c r="BH36" s="187">
        <v>0</v>
      </c>
    </row>
    <row r="37" spans="1:60" x14ac:dyDescent="0.3">
      <c r="A37" s="90" t="str">
        <f>$A$9</f>
        <v>20-24</v>
      </c>
      <c r="B37" s="188">
        <v>51.28667688291447</v>
      </c>
      <c r="C37" s="188">
        <v>50.325615142463022</v>
      </c>
      <c r="D37" s="188">
        <v>41.617556806647421</v>
      </c>
      <c r="E37" s="188">
        <v>36.381749805465141</v>
      </c>
      <c r="F37" s="187">
        <v>33.131944227953063</v>
      </c>
      <c r="G37" s="187"/>
      <c r="H37" s="188">
        <v>18.958252611047016</v>
      </c>
      <c r="I37" s="188">
        <v>18.60303815545123</v>
      </c>
      <c r="J37" s="188">
        <v>15.38403685205089</v>
      </c>
      <c r="K37" s="188">
        <v>13.448615257113641</v>
      </c>
      <c r="L37" s="187">
        <v>12.247310379881396</v>
      </c>
      <c r="M37" s="187"/>
      <c r="N37" s="188">
        <v>32.328424271867455</v>
      </c>
      <c r="O37" s="188">
        <v>31.722576987011788</v>
      </c>
      <c r="P37" s="188">
        <v>26.233519954596538</v>
      </c>
      <c r="Q37" s="188">
        <v>22.9331345483515</v>
      </c>
      <c r="R37" s="187">
        <v>20.884633848071665</v>
      </c>
      <c r="S37" s="187"/>
      <c r="T37" s="188">
        <v>0</v>
      </c>
      <c r="U37" s="188">
        <v>0</v>
      </c>
      <c r="V37" s="188">
        <v>0</v>
      </c>
      <c r="W37" s="188">
        <v>0</v>
      </c>
      <c r="X37" s="187">
        <v>0</v>
      </c>
      <c r="Y37" s="90" t="str">
        <f>$A$9</f>
        <v>20-24</v>
      </c>
      <c r="Z37" s="188">
        <v>179.47599670013653</v>
      </c>
      <c r="AA37" s="188">
        <v>187.56758244877105</v>
      </c>
      <c r="AB37" s="188">
        <v>195.70388276755187</v>
      </c>
      <c r="AC37" s="188">
        <v>186.34405047249078</v>
      </c>
      <c r="AD37" s="187">
        <v>185.01228504909878</v>
      </c>
      <c r="AE37" s="187"/>
      <c r="AF37" s="188">
        <v>169.79137146665974</v>
      </c>
      <c r="AG37" s="188">
        <v>177.44629400726811</v>
      </c>
      <c r="AH37" s="188">
        <v>185.14356605643363</v>
      </c>
      <c r="AI37" s="188">
        <v>176.28878253096943</v>
      </c>
      <c r="AJ37" s="187">
        <v>175.02885632439069</v>
      </c>
      <c r="AK37" s="187"/>
      <c r="AL37" s="188">
        <v>9.6846252334768117</v>
      </c>
      <c r="AM37" s="188">
        <v>10.121288441502955</v>
      </c>
      <c r="AN37" s="188">
        <v>10.560316711118229</v>
      </c>
      <c r="AO37" s="188">
        <v>10.055267941521366</v>
      </c>
      <c r="AP37" s="187">
        <v>9.9834287247081175</v>
      </c>
      <c r="AQ37" s="90" t="str">
        <f>$A$9</f>
        <v>20-24</v>
      </c>
      <c r="AR37" s="188">
        <v>88.329326416949002</v>
      </c>
      <c r="AS37" s="188">
        <v>91.282802408765903</v>
      </c>
      <c r="AT37" s="188">
        <v>110.63256042580073</v>
      </c>
      <c r="AU37" s="188">
        <v>118.86519972204405</v>
      </c>
      <c r="AV37" s="187">
        <v>132.58977072294817</v>
      </c>
      <c r="AW37" s="187"/>
      <c r="AX37" s="188">
        <v>88.165028914454396</v>
      </c>
      <c r="AY37" s="188">
        <v>91.112930485790656</v>
      </c>
      <c r="AZ37" s="188">
        <v>110.42669182995489</v>
      </c>
      <c r="BA37" s="188">
        <v>118.644032109338</v>
      </c>
      <c r="BB37" s="187">
        <v>132.3431042203359</v>
      </c>
      <c r="BC37" s="187"/>
      <c r="BD37" s="188">
        <v>0.16429750249460409</v>
      </c>
      <c r="BE37" s="188">
        <v>0.16987192297524076</v>
      </c>
      <c r="BF37" s="188">
        <v>0.2058685958458471</v>
      </c>
      <c r="BG37" s="188">
        <v>0.2211676127060439</v>
      </c>
      <c r="BH37" s="187">
        <v>0.2466665026122716</v>
      </c>
    </row>
    <row r="38" spans="1:60" x14ac:dyDescent="0.3">
      <c r="A38" s="90" t="str">
        <f>$A$10</f>
        <v>25-29</v>
      </c>
      <c r="B38" s="188">
        <v>48.980336910061595</v>
      </c>
      <c r="C38" s="188">
        <v>58.029393144137778</v>
      </c>
      <c r="D38" s="188">
        <v>51.776100367683391</v>
      </c>
      <c r="E38" s="188">
        <v>49.053973946460331</v>
      </c>
      <c r="F38" s="187">
        <v>43.531243964596278</v>
      </c>
      <c r="G38" s="187"/>
      <c r="H38" s="188">
        <v>18.23204899869749</v>
      </c>
      <c r="I38" s="188">
        <v>21.600341017225613</v>
      </c>
      <c r="J38" s="188">
        <v>19.272660294510747</v>
      </c>
      <c r="K38" s="188">
        <v>18.259465614997644</v>
      </c>
      <c r="L38" s="187">
        <v>16.203686177787539</v>
      </c>
      <c r="M38" s="187"/>
      <c r="N38" s="188">
        <v>30.748287911364105</v>
      </c>
      <c r="O38" s="188">
        <v>36.429052126912168</v>
      </c>
      <c r="P38" s="188">
        <v>32.503440073172648</v>
      </c>
      <c r="Q38" s="188">
        <v>30.794508331462694</v>
      </c>
      <c r="R38" s="187">
        <v>27.32755778680874</v>
      </c>
      <c r="S38" s="187"/>
      <c r="T38" s="188">
        <v>0</v>
      </c>
      <c r="U38" s="188">
        <v>0</v>
      </c>
      <c r="V38" s="188">
        <v>0</v>
      </c>
      <c r="W38" s="188">
        <v>0</v>
      </c>
      <c r="X38" s="187">
        <v>0</v>
      </c>
      <c r="Y38" s="90" t="str">
        <f>$A$10</f>
        <v>25-29</v>
      </c>
      <c r="Z38" s="188">
        <v>127.78718872779281</v>
      </c>
      <c r="AA38" s="188">
        <v>119.37410820126239</v>
      </c>
      <c r="AB38" s="188">
        <v>118.02109899531821</v>
      </c>
      <c r="AC38" s="188">
        <v>118.58410734575391</v>
      </c>
      <c r="AD38" s="187">
        <v>111.69989644356696</v>
      </c>
      <c r="AE38" s="187"/>
      <c r="AF38" s="188">
        <v>117.06434284916277</v>
      </c>
      <c r="AG38" s="188">
        <v>109.35717668619014</v>
      </c>
      <c r="AH38" s="188">
        <v>108.11773722560081</v>
      </c>
      <c r="AI38" s="188">
        <v>108.63342670868553</v>
      </c>
      <c r="AJ38" s="187">
        <v>102.3269079217695</v>
      </c>
      <c r="AK38" s="187"/>
      <c r="AL38" s="188">
        <v>10.722845878630038</v>
      </c>
      <c r="AM38" s="188">
        <v>10.01693151507223</v>
      </c>
      <c r="AN38" s="188">
        <v>9.9033617697174048</v>
      </c>
      <c r="AO38" s="188">
        <v>9.9506806370683663</v>
      </c>
      <c r="AP38" s="187">
        <v>9.3729885217974456</v>
      </c>
      <c r="AQ38" s="90" t="str">
        <f>$A$10</f>
        <v>25-29</v>
      </c>
      <c r="AR38" s="188">
        <v>165.48947436214561</v>
      </c>
      <c r="AS38" s="188">
        <v>169.04449865459986</v>
      </c>
      <c r="AT38" s="188">
        <v>192.77780063699839</v>
      </c>
      <c r="AU38" s="188">
        <v>214.16091870778578</v>
      </c>
      <c r="AV38" s="187">
        <v>222.34985959183678</v>
      </c>
      <c r="AW38" s="187"/>
      <c r="AX38" s="188">
        <v>163.99516578961072</v>
      </c>
      <c r="AY38" s="188">
        <v>167.51816718569009</v>
      </c>
      <c r="AZ38" s="188">
        <v>191.03715957991898</v>
      </c>
      <c r="BA38" s="188">
        <v>212.22723208261212</v>
      </c>
      <c r="BB38" s="187">
        <v>220.34220948065195</v>
      </c>
      <c r="BC38" s="187"/>
      <c r="BD38" s="188">
        <v>1.4943085725348841</v>
      </c>
      <c r="BE38" s="188">
        <v>1.526331468909754</v>
      </c>
      <c r="BF38" s="188">
        <v>1.740641057079428</v>
      </c>
      <c r="BG38" s="188">
        <v>1.9336866251736855</v>
      </c>
      <c r="BH38" s="187">
        <v>2.0076501111848128</v>
      </c>
    </row>
    <row r="39" spans="1:60" x14ac:dyDescent="0.3">
      <c r="A39" s="90" t="str">
        <f>$A$11</f>
        <v>30-34</v>
      </c>
      <c r="B39" s="188">
        <v>48.351616200732686</v>
      </c>
      <c r="C39" s="188">
        <v>54.81450484456311</v>
      </c>
      <c r="D39" s="188">
        <v>52.150998553698685</v>
      </c>
      <c r="E39" s="188">
        <v>48.164476439532713</v>
      </c>
      <c r="F39" s="187">
        <v>40.226027639053598</v>
      </c>
      <c r="G39" s="187"/>
      <c r="H39" s="188">
        <v>20.247488689226163</v>
      </c>
      <c r="I39" s="188">
        <v>22.95380254002168</v>
      </c>
      <c r="J39" s="188">
        <v>21.838502656747391</v>
      </c>
      <c r="K39" s="188">
        <v>20.169083304063328</v>
      </c>
      <c r="L39" s="187">
        <v>16.844826452036404</v>
      </c>
      <c r="M39" s="187"/>
      <c r="N39" s="188">
        <v>28.104127511506523</v>
      </c>
      <c r="O39" s="188">
        <v>31.86070230454143</v>
      </c>
      <c r="P39" s="188">
        <v>30.312495896951297</v>
      </c>
      <c r="Q39" s="188">
        <v>27.995393135469385</v>
      </c>
      <c r="R39" s="187">
        <v>23.381201187017187</v>
      </c>
      <c r="S39" s="187"/>
      <c r="T39" s="188">
        <v>0</v>
      </c>
      <c r="U39" s="188">
        <v>0</v>
      </c>
      <c r="V39" s="188">
        <v>0</v>
      </c>
      <c r="W39" s="188">
        <v>0</v>
      </c>
      <c r="X39" s="187">
        <v>0</v>
      </c>
      <c r="Y39" s="90" t="str">
        <f>$A$11</f>
        <v>30-34</v>
      </c>
      <c r="Z39" s="188">
        <v>126.59052603481021</v>
      </c>
      <c r="AA39" s="188">
        <v>118.76404254564063</v>
      </c>
      <c r="AB39" s="188">
        <v>124.03995863874285</v>
      </c>
      <c r="AC39" s="188">
        <v>123.84674741528471</v>
      </c>
      <c r="AD39" s="187">
        <v>125.93134426917472</v>
      </c>
      <c r="AE39" s="187"/>
      <c r="AF39" s="188">
        <v>116.68034085440465</v>
      </c>
      <c r="AG39" s="188">
        <v>109.46652247600598</v>
      </c>
      <c r="AH39" s="188">
        <v>114.32946398888731</v>
      </c>
      <c r="AI39" s="188">
        <v>114.15134413116714</v>
      </c>
      <c r="AJ39" s="187">
        <v>116.0727553396063</v>
      </c>
      <c r="AK39" s="187"/>
      <c r="AL39" s="188">
        <v>9.9101851804055663</v>
      </c>
      <c r="AM39" s="188">
        <v>9.2975200696346505</v>
      </c>
      <c r="AN39" s="188">
        <v>9.7104946498555318</v>
      </c>
      <c r="AO39" s="188">
        <v>9.6954032841175852</v>
      </c>
      <c r="AP39" s="187">
        <v>9.8585889295684215</v>
      </c>
      <c r="AQ39" s="90" t="str">
        <f>$A$11</f>
        <v>30-34</v>
      </c>
      <c r="AR39" s="188">
        <v>165.33285776445709</v>
      </c>
      <c r="AS39" s="188">
        <v>173.27745260979628</v>
      </c>
      <c r="AT39" s="188">
        <v>193.84104280755847</v>
      </c>
      <c r="AU39" s="188">
        <v>212.88877614518256</v>
      </c>
      <c r="AV39" s="187">
        <v>239.55062809177167</v>
      </c>
      <c r="AW39" s="187"/>
      <c r="AX39" s="188">
        <v>163.54698646509576</v>
      </c>
      <c r="AY39" s="188">
        <v>171.40581210762247</v>
      </c>
      <c r="AZ39" s="188">
        <v>191.74726433199922</v>
      </c>
      <c r="BA39" s="188">
        <v>210.58921239342598</v>
      </c>
      <c r="BB39" s="187">
        <v>236.96312770820174</v>
      </c>
      <c r="BC39" s="187"/>
      <c r="BD39" s="188">
        <v>1.785871299361329</v>
      </c>
      <c r="BE39" s="188">
        <v>1.8716405021737883</v>
      </c>
      <c r="BF39" s="188">
        <v>2.0937784755592417</v>
      </c>
      <c r="BG39" s="188">
        <v>2.2995637517565553</v>
      </c>
      <c r="BH39" s="187">
        <v>2.587500383569969</v>
      </c>
    </row>
    <row r="40" spans="1:60" x14ac:dyDescent="0.3">
      <c r="A40" s="90" t="str">
        <f>$A$12</f>
        <v>35-39</v>
      </c>
      <c r="B40" s="188">
        <v>72.542037614782771</v>
      </c>
      <c r="C40" s="188">
        <v>65.06766726540738</v>
      </c>
      <c r="D40" s="188">
        <v>54.766784806672291</v>
      </c>
      <c r="E40" s="188">
        <v>45.523587094052431</v>
      </c>
      <c r="F40" s="187">
        <v>34.291330085724873</v>
      </c>
      <c r="G40" s="187"/>
      <c r="H40" s="188">
        <v>28.179422220811407</v>
      </c>
      <c r="I40" s="188">
        <v>25.275934699382731</v>
      </c>
      <c r="J40" s="188">
        <v>21.27450416950764</v>
      </c>
      <c r="K40" s="188">
        <v>17.683894029231208</v>
      </c>
      <c r="L40" s="187">
        <v>13.320662566860962</v>
      </c>
      <c r="M40" s="187"/>
      <c r="N40" s="188">
        <v>44.362615393971375</v>
      </c>
      <c r="O40" s="188">
        <v>39.791732566024642</v>
      </c>
      <c r="P40" s="188">
        <v>33.492280637164654</v>
      </c>
      <c r="Q40" s="188">
        <v>27.839693064821223</v>
      </c>
      <c r="R40" s="187">
        <v>20.97066751886392</v>
      </c>
      <c r="S40" s="187"/>
      <c r="T40" s="188">
        <v>0</v>
      </c>
      <c r="U40" s="188">
        <v>0</v>
      </c>
      <c r="V40" s="188">
        <v>0</v>
      </c>
      <c r="W40" s="188">
        <v>0</v>
      </c>
      <c r="X40" s="187">
        <v>0</v>
      </c>
      <c r="Y40" s="90" t="str">
        <f>$A$12</f>
        <v>35-39</v>
      </c>
      <c r="Z40" s="188">
        <v>150.0126567417164</v>
      </c>
      <c r="AA40" s="188">
        <v>135.68236231505094</v>
      </c>
      <c r="AB40" s="188">
        <v>124.7291826751361</v>
      </c>
      <c r="AC40" s="188">
        <v>129.47197272823703</v>
      </c>
      <c r="AD40" s="187">
        <v>133.15322905166937</v>
      </c>
      <c r="AE40" s="187"/>
      <c r="AF40" s="188">
        <v>140.37576984147361</v>
      </c>
      <c r="AG40" s="188">
        <v>126.96602473402704</v>
      </c>
      <c r="AH40" s="188">
        <v>116.71649206662644</v>
      </c>
      <c r="AI40" s="188">
        <v>121.15460882835858</v>
      </c>
      <c r="AJ40" s="187">
        <v>124.59942116921782</v>
      </c>
      <c r="AK40" s="187"/>
      <c r="AL40" s="188">
        <v>9.6368869002428053</v>
      </c>
      <c r="AM40" s="188">
        <v>8.7163375810238843</v>
      </c>
      <c r="AN40" s="188">
        <v>8.0126906085096579</v>
      </c>
      <c r="AO40" s="188">
        <v>8.3173638998784618</v>
      </c>
      <c r="AP40" s="187">
        <v>8.5538078824515384</v>
      </c>
      <c r="AQ40" s="90" t="str">
        <f>$A$12</f>
        <v>35-39</v>
      </c>
      <c r="AR40" s="188">
        <v>154.06830564350082</v>
      </c>
      <c r="AS40" s="188">
        <v>168.96597041954166</v>
      </c>
      <c r="AT40" s="188">
        <v>183.46103251819156</v>
      </c>
      <c r="AU40" s="188">
        <v>208.70844017771051</v>
      </c>
      <c r="AV40" s="187">
        <v>232.21144086260571</v>
      </c>
      <c r="AW40" s="187"/>
      <c r="AX40" s="188">
        <v>152.29837009196677</v>
      </c>
      <c r="AY40" s="188">
        <v>167.02491938857551</v>
      </c>
      <c r="AZ40" s="188">
        <v>181.35346640367695</v>
      </c>
      <c r="BA40" s="188">
        <v>206.31083395767615</v>
      </c>
      <c r="BB40" s="187">
        <v>229.54383629553598</v>
      </c>
      <c r="BC40" s="187"/>
      <c r="BD40" s="188">
        <v>1.7699355515340602</v>
      </c>
      <c r="BE40" s="188">
        <v>1.9410510309661682</v>
      </c>
      <c r="BF40" s="188">
        <v>2.1075661145145714</v>
      </c>
      <c r="BG40" s="188">
        <v>2.3976062200343793</v>
      </c>
      <c r="BH40" s="187">
        <v>2.6676045670697208</v>
      </c>
    </row>
    <row r="41" spans="1:60" x14ac:dyDescent="0.3">
      <c r="A41" s="90" t="str">
        <f>$A$13</f>
        <v>40-44</v>
      </c>
      <c r="B41" s="188">
        <v>95.592148824351668</v>
      </c>
      <c r="C41" s="188">
        <v>82.616320455715311</v>
      </c>
      <c r="D41" s="188">
        <v>65.715939292358911</v>
      </c>
      <c r="E41" s="188">
        <v>45.625343125830476</v>
      </c>
      <c r="F41" s="187">
        <v>32.319365015981639</v>
      </c>
      <c r="G41" s="187"/>
      <c r="H41" s="188">
        <v>37.546766551729547</v>
      </c>
      <c r="I41" s="188">
        <v>32.450059589071273</v>
      </c>
      <c r="J41" s="188">
        <v>25.811957711373253</v>
      </c>
      <c r="K41" s="188">
        <v>17.920731648709907</v>
      </c>
      <c r="L41" s="187">
        <v>12.694407857730498</v>
      </c>
      <c r="M41" s="187"/>
      <c r="N41" s="188">
        <v>58.045382272622113</v>
      </c>
      <c r="O41" s="188">
        <v>50.166260866644031</v>
      </c>
      <c r="P41" s="188">
        <v>39.903981580985658</v>
      </c>
      <c r="Q41" s="188">
        <v>27.704611477120565</v>
      </c>
      <c r="R41" s="187">
        <v>19.624957158251146</v>
      </c>
      <c r="S41" s="187"/>
      <c r="T41" s="188">
        <v>0</v>
      </c>
      <c r="U41" s="188">
        <v>0</v>
      </c>
      <c r="V41" s="188">
        <v>0</v>
      </c>
      <c r="W41" s="188">
        <v>0</v>
      </c>
      <c r="X41" s="187">
        <v>0</v>
      </c>
      <c r="Y41" s="90" t="str">
        <f>$A$13</f>
        <v>40-44</v>
      </c>
      <c r="Z41" s="188">
        <v>162.09391868766315</v>
      </c>
      <c r="AA41" s="188">
        <v>149.15249146976197</v>
      </c>
      <c r="AB41" s="188">
        <v>139.74715456529819</v>
      </c>
      <c r="AC41" s="188">
        <v>140.1664801116975</v>
      </c>
      <c r="AD41" s="187">
        <v>150.93061003653065</v>
      </c>
      <c r="AE41" s="187"/>
      <c r="AF41" s="188">
        <v>153.25080642376565</v>
      </c>
      <c r="AG41" s="188">
        <v>141.01546291821501</v>
      </c>
      <c r="AH41" s="188">
        <v>132.12323273689802</v>
      </c>
      <c r="AI41" s="188">
        <v>132.51964992616811</v>
      </c>
      <c r="AJ41" s="187">
        <v>142.69650407013222</v>
      </c>
      <c r="AK41" s="187"/>
      <c r="AL41" s="188">
        <v>8.8431122638974973</v>
      </c>
      <c r="AM41" s="188">
        <v>8.1370285515469902</v>
      </c>
      <c r="AN41" s="188">
        <v>7.6239218284001815</v>
      </c>
      <c r="AO41" s="188">
        <v>7.6468301855293674</v>
      </c>
      <c r="AP41" s="187">
        <v>8.2341059663984471</v>
      </c>
      <c r="AQ41" s="90" t="str">
        <f>$A$13</f>
        <v>40-44</v>
      </c>
      <c r="AR41" s="188">
        <v>142.30393248798518</v>
      </c>
      <c r="AS41" s="188">
        <v>157.16218807452273</v>
      </c>
      <c r="AT41" s="188">
        <v>174.12990614234292</v>
      </c>
      <c r="AU41" s="188">
        <v>185.34617676247206</v>
      </c>
      <c r="AV41" s="187">
        <v>209.35902494748774</v>
      </c>
      <c r="AW41" s="187"/>
      <c r="AX41" s="188">
        <v>140.61932188279332</v>
      </c>
      <c r="AY41" s="188">
        <v>155.30162565099377</v>
      </c>
      <c r="AZ41" s="188">
        <v>172.06854465783039</v>
      </c>
      <c r="BA41" s="188">
        <v>183.15203689418161</v>
      </c>
      <c r="BB41" s="187">
        <v>206.8805346793352</v>
      </c>
      <c r="BC41" s="187"/>
      <c r="BD41" s="188">
        <v>1.6846106051918688</v>
      </c>
      <c r="BE41" s="188">
        <v>1.8605624235289417</v>
      </c>
      <c r="BF41" s="188">
        <v>2.061361484512561</v>
      </c>
      <c r="BG41" s="188">
        <v>2.1941398682904496</v>
      </c>
      <c r="BH41" s="187">
        <v>2.4784902681525449</v>
      </c>
    </row>
    <row r="42" spans="1:60" x14ac:dyDescent="0.3">
      <c r="A42" s="90" t="str">
        <f>$A$14</f>
        <v>45-49</v>
      </c>
      <c r="B42" s="188">
        <v>121.60001747416324</v>
      </c>
      <c r="C42" s="188">
        <v>119.25515350242472</v>
      </c>
      <c r="D42" s="188">
        <v>78.884619183002073</v>
      </c>
      <c r="E42" s="188">
        <v>54.824500970236151</v>
      </c>
      <c r="F42" s="187">
        <v>37.259131610277123</v>
      </c>
      <c r="G42" s="187"/>
      <c r="H42" s="188">
        <v>52.054388742127969</v>
      </c>
      <c r="I42" s="188">
        <v>51.050559464587302</v>
      </c>
      <c r="J42" s="188">
        <v>33.768780739827292</v>
      </c>
      <c r="K42" s="188">
        <v>23.469200966687755</v>
      </c>
      <c r="L42" s="187">
        <v>15.949827829172355</v>
      </c>
      <c r="M42" s="187"/>
      <c r="N42" s="188">
        <v>69.545628732035269</v>
      </c>
      <c r="O42" s="188">
        <v>68.20459403783741</v>
      </c>
      <c r="P42" s="188">
        <v>45.115838443174781</v>
      </c>
      <c r="Q42" s="188">
        <v>31.355300003548397</v>
      </c>
      <c r="R42" s="187">
        <v>21.309303781104767</v>
      </c>
      <c r="S42" s="187"/>
      <c r="T42" s="188">
        <v>0</v>
      </c>
      <c r="U42" s="188">
        <v>0</v>
      </c>
      <c r="V42" s="188">
        <v>0</v>
      </c>
      <c r="W42" s="188">
        <v>0</v>
      </c>
      <c r="X42" s="187">
        <v>0</v>
      </c>
      <c r="Y42" s="90" t="str">
        <f>$A$14</f>
        <v>45-49</v>
      </c>
      <c r="Z42" s="188">
        <v>149.19037176042775</v>
      </c>
      <c r="AA42" s="188">
        <v>147.02780307619315</v>
      </c>
      <c r="AB42" s="188">
        <v>157.07832682690201</v>
      </c>
      <c r="AC42" s="188">
        <v>161.18355055313589</v>
      </c>
      <c r="AD42" s="187">
        <v>163.5645829534713</v>
      </c>
      <c r="AE42" s="187"/>
      <c r="AF42" s="188">
        <v>141.73208428692129</v>
      </c>
      <c r="AG42" s="188">
        <v>139.67761552454377</v>
      </c>
      <c r="AH42" s="188">
        <v>149.22576147745451</v>
      </c>
      <c r="AI42" s="188">
        <v>153.12567731056208</v>
      </c>
      <c r="AJ42" s="187">
        <v>155.38774863532086</v>
      </c>
      <c r="AK42" s="187"/>
      <c r="AL42" s="188">
        <v>7.4582874735064566</v>
      </c>
      <c r="AM42" s="188">
        <v>7.350187551649368</v>
      </c>
      <c r="AN42" s="188">
        <v>7.852565349447544</v>
      </c>
      <c r="AO42" s="188">
        <v>8.0578732425738266</v>
      </c>
      <c r="AP42" s="187">
        <v>8.1768343181504513</v>
      </c>
      <c r="AQ42" s="90" t="str">
        <f>$A$14</f>
        <v>45-49</v>
      </c>
      <c r="AR42" s="188">
        <v>127.15261076540904</v>
      </c>
      <c r="AS42" s="188">
        <v>139.95804342138214</v>
      </c>
      <c r="AT42" s="188">
        <v>158.0250539900959</v>
      </c>
      <c r="AU42" s="188">
        <v>167.70994847662797</v>
      </c>
      <c r="AV42" s="187">
        <v>175.15628543625161</v>
      </c>
      <c r="AW42" s="187"/>
      <c r="AX42" s="188">
        <v>125.59964483820595</v>
      </c>
      <c r="AY42" s="188">
        <v>138.24869825890119</v>
      </c>
      <c r="AZ42" s="188">
        <v>156.09507742676459</v>
      </c>
      <c r="BA42" s="188">
        <v>165.66165535163051</v>
      </c>
      <c r="BB42" s="187">
        <v>173.01706017357083</v>
      </c>
      <c r="BC42" s="187"/>
      <c r="BD42" s="188">
        <v>1.5529659272030856</v>
      </c>
      <c r="BE42" s="188">
        <v>1.7093451624809444</v>
      </c>
      <c r="BF42" s="188">
        <v>1.9299765633313342</v>
      </c>
      <c r="BG42" s="188">
        <v>2.0482931249974619</v>
      </c>
      <c r="BH42" s="187">
        <v>2.1392252626807844</v>
      </c>
    </row>
    <row r="43" spans="1:60" x14ac:dyDescent="0.3">
      <c r="A43" s="90" t="str">
        <f>$A$15</f>
        <v>50-54</v>
      </c>
      <c r="B43" s="188">
        <v>151.76046321416865</v>
      </c>
      <c r="C43" s="188">
        <v>142.31942173288223</v>
      </c>
      <c r="D43" s="188">
        <v>119.93293116047923</v>
      </c>
      <c r="E43" s="188">
        <v>88.171156371964599</v>
      </c>
      <c r="F43" s="187">
        <v>63.180524219714144</v>
      </c>
      <c r="G43" s="187"/>
      <c r="H43" s="188">
        <v>72.199699301024509</v>
      </c>
      <c r="I43" s="188">
        <v>67.708117557824508</v>
      </c>
      <c r="J43" s="188">
        <v>57.057834143300127</v>
      </c>
      <c r="K43" s="188">
        <v>41.9472270479773</v>
      </c>
      <c r="L43" s="187">
        <v>30.058003326770649</v>
      </c>
      <c r="M43" s="187"/>
      <c r="N43" s="188">
        <v>79.560763913144157</v>
      </c>
      <c r="O43" s="188">
        <v>74.611304175057768</v>
      </c>
      <c r="P43" s="188">
        <v>62.875097017179108</v>
      </c>
      <c r="Q43" s="188">
        <v>46.223929323987292</v>
      </c>
      <c r="R43" s="187">
        <v>33.122520892943498</v>
      </c>
      <c r="S43" s="187"/>
      <c r="T43" s="188">
        <v>0</v>
      </c>
      <c r="U43" s="188">
        <v>0</v>
      </c>
      <c r="V43" s="188">
        <v>0</v>
      </c>
      <c r="W43" s="188">
        <v>0</v>
      </c>
      <c r="X43" s="187">
        <v>0</v>
      </c>
      <c r="Y43" s="90" t="str">
        <f>$A$15</f>
        <v>50-54</v>
      </c>
      <c r="Z43" s="188">
        <v>124.24614829379526</v>
      </c>
      <c r="AA43" s="188">
        <v>130.25908800461309</v>
      </c>
      <c r="AB43" s="188">
        <v>149.14503167899258</v>
      </c>
      <c r="AC43" s="188">
        <v>157.9913676435533</v>
      </c>
      <c r="AD43" s="187">
        <v>164.67380902817911</v>
      </c>
      <c r="AE43" s="187"/>
      <c r="AF43" s="188">
        <v>117.87817168097233</v>
      </c>
      <c r="AG43" s="188">
        <v>123.5828772613132</v>
      </c>
      <c r="AH43" s="188">
        <v>141.50083699823233</v>
      </c>
      <c r="AI43" s="188">
        <v>149.89384905562815</v>
      </c>
      <c r="AJ43" s="187">
        <v>156.23374286788874</v>
      </c>
      <c r="AK43" s="187"/>
      <c r="AL43" s="188">
        <v>6.3679766128229192</v>
      </c>
      <c r="AM43" s="188">
        <v>6.6762107432998921</v>
      </c>
      <c r="AN43" s="188">
        <v>7.6441946807602736</v>
      </c>
      <c r="AO43" s="188">
        <v>8.0975185879251441</v>
      </c>
      <c r="AP43" s="187">
        <v>8.4400661602903408</v>
      </c>
      <c r="AQ43" s="90" t="str">
        <f>$A$15</f>
        <v>50-54</v>
      </c>
      <c r="AR43" s="188">
        <v>92.988388492036123</v>
      </c>
      <c r="AS43" s="188">
        <v>110.77949026250468</v>
      </c>
      <c r="AT43" s="188">
        <v>137.77303716052822</v>
      </c>
      <c r="AU43" s="188">
        <v>148.29147598448213</v>
      </c>
      <c r="AV43" s="187">
        <v>157.07466675210676</v>
      </c>
      <c r="AW43" s="187"/>
      <c r="AX43" s="188">
        <v>92.202593366663635</v>
      </c>
      <c r="AY43" s="188">
        <v>109.84331382664183</v>
      </c>
      <c r="AZ43" s="188">
        <v>136.60872759410435</v>
      </c>
      <c r="BA43" s="188">
        <v>147.03823447333156</v>
      </c>
      <c r="BB43" s="187">
        <v>155.74724028806634</v>
      </c>
      <c r="BC43" s="187"/>
      <c r="BD43" s="188">
        <v>0.78579512537246932</v>
      </c>
      <c r="BE43" s="188">
        <v>0.93617643586283261</v>
      </c>
      <c r="BF43" s="188">
        <v>1.1643095664238496</v>
      </c>
      <c r="BG43" s="188">
        <v>1.2532415111505675</v>
      </c>
      <c r="BH43" s="187">
        <v>1.3274264640404241</v>
      </c>
    </row>
    <row r="44" spans="1:60" x14ac:dyDescent="0.3">
      <c r="A44" s="90" t="str">
        <f>$A$16</f>
        <v>55-59</v>
      </c>
      <c r="B44" s="188">
        <v>164.06581424258854</v>
      </c>
      <c r="C44" s="188">
        <v>150.69890471648134</v>
      </c>
      <c r="D44" s="188">
        <v>139.62009278798115</v>
      </c>
      <c r="E44" s="188">
        <v>115.66738771483223</v>
      </c>
      <c r="F44" s="187">
        <v>84.578879253283077</v>
      </c>
      <c r="G44" s="187"/>
      <c r="H44" s="188">
        <v>83.472280270866776</v>
      </c>
      <c r="I44" s="188">
        <v>76.671543299949803</v>
      </c>
      <c r="J44" s="188">
        <v>71.034930306068375</v>
      </c>
      <c r="K44" s="188">
        <v>58.848447605981825</v>
      </c>
      <c r="L44" s="187">
        <v>43.031510173276651</v>
      </c>
      <c r="M44" s="187"/>
      <c r="N44" s="188">
        <v>80.593533971721769</v>
      </c>
      <c r="O44" s="188">
        <v>74.027361416531534</v>
      </c>
      <c r="P44" s="188">
        <v>68.585162481912789</v>
      </c>
      <c r="Q44" s="188">
        <v>56.818940108850398</v>
      </c>
      <c r="R44" s="187">
        <v>41.547369080006419</v>
      </c>
      <c r="S44" s="187"/>
      <c r="T44" s="188">
        <v>0</v>
      </c>
      <c r="U44" s="188">
        <v>0</v>
      </c>
      <c r="V44" s="188">
        <v>0</v>
      </c>
      <c r="W44" s="188">
        <v>0</v>
      </c>
      <c r="X44" s="187">
        <v>0</v>
      </c>
      <c r="Y44" s="90" t="str">
        <f>$A$16</f>
        <v>55-59</v>
      </c>
      <c r="Z44" s="188">
        <v>103.85146408829428</v>
      </c>
      <c r="AA44" s="188">
        <v>105.31706169001831</v>
      </c>
      <c r="AB44" s="188">
        <v>133.62564527254057</v>
      </c>
      <c r="AC44" s="188">
        <v>158.51241512029338</v>
      </c>
      <c r="AD44" s="187">
        <v>167.67684572688086</v>
      </c>
      <c r="AE44" s="187"/>
      <c r="AF44" s="188">
        <v>97.635306286684369</v>
      </c>
      <c r="AG44" s="188">
        <v>99.013227711577329</v>
      </c>
      <c r="AH44" s="188">
        <v>125.62736470938835</v>
      </c>
      <c r="AI44" s="188">
        <v>149.02451048118331</v>
      </c>
      <c r="AJ44" s="187">
        <v>157.64040037339234</v>
      </c>
      <c r="AK44" s="187"/>
      <c r="AL44" s="188">
        <v>6.2161578016099055</v>
      </c>
      <c r="AM44" s="188">
        <v>6.3038339784409745</v>
      </c>
      <c r="AN44" s="188">
        <v>7.9982805631522167</v>
      </c>
      <c r="AO44" s="188">
        <v>9.4879046391100914</v>
      </c>
      <c r="AP44" s="187">
        <v>10.036445353488508</v>
      </c>
      <c r="AQ44" s="90" t="str">
        <f>$A$16</f>
        <v>55-59</v>
      </c>
      <c r="AR44" s="188">
        <v>71.118721669117207</v>
      </c>
      <c r="AS44" s="188">
        <v>89.960033593500384</v>
      </c>
      <c r="AT44" s="188">
        <v>106.67026193947827</v>
      </c>
      <c r="AU44" s="188">
        <v>129.27319716487438</v>
      </c>
      <c r="AV44" s="187">
        <v>139.76427501983605</v>
      </c>
      <c r="AW44" s="187"/>
      <c r="AX44" s="188">
        <v>70.361656937121666</v>
      </c>
      <c r="AY44" s="188">
        <v>89.002383349993565</v>
      </c>
      <c r="AZ44" s="188">
        <v>105.53473797538304</v>
      </c>
      <c r="BA44" s="188">
        <v>127.89702319588957</v>
      </c>
      <c r="BB44" s="187">
        <v>138.27638669068557</v>
      </c>
      <c r="BC44" s="187"/>
      <c r="BD44" s="188">
        <v>0.75706473199554847</v>
      </c>
      <c r="BE44" s="188">
        <v>0.95765024350680805</v>
      </c>
      <c r="BF44" s="188">
        <v>1.1355239640952357</v>
      </c>
      <c r="BG44" s="188">
        <v>1.3761739689848116</v>
      </c>
      <c r="BH44" s="187">
        <v>1.4878883291504774</v>
      </c>
    </row>
    <row r="45" spans="1:60" x14ac:dyDescent="0.3">
      <c r="A45" s="90" t="str">
        <f>$A$17</f>
        <v>60-64</v>
      </c>
      <c r="B45" s="188">
        <v>165.06537455422799</v>
      </c>
      <c r="C45" s="188">
        <v>167.88674816060211</v>
      </c>
      <c r="D45" s="188">
        <v>145.42540941137864</v>
      </c>
      <c r="E45" s="188">
        <v>125.57390015162404</v>
      </c>
      <c r="F45" s="187">
        <v>98.802245415285199</v>
      </c>
      <c r="G45" s="187"/>
      <c r="H45" s="188">
        <v>93.553123450841682</v>
      </c>
      <c r="I45" s="188">
        <v>95.15219797521867</v>
      </c>
      <c r="J45" s="188">
        <v>82.421896218232547</v>
      </c>
      <c r="K45" s="188">
        <v>71.170799052200323</v>
      </c>
      <c r="L45" s="187">
        <v>55.997543894228997</v>
      </c>
      <c r="M45" s="187"/>
      <c r="N45" s="188">
        <v>71.512251103386319</v>
      </c>
      <c r="O45" s="188">
        <v>72.734550185383426</v>
      </c>
      <c r="P45" s="188">
        <v>63.003513193146112</v>
      </c>
      <c r="Q45" s="188">
        <v>54.403101099423715</v>
      </c>
      <c r="R45" s="187">
        <v>42.804701521056209</v>
      </c>
      <c r="S45" s="187"/>
      <c r="T45" s="188">
        <v>0</v>
      </c>
      <c r="U45" s="188">
        <v>0</v>
      </c>
      <c r="V45" s="188">
        <v>0</v>
      </c>
      <c r="W45" s="188">
        <v>0</v>
      </c>
      <c r="X45" s="187">
        <v>0</v>
      </c>
      <c r="Y45" s="90" t="str">
        <f>$A$17</f>
        <v>60-64</v>
      </c>
      <c r="Z45" s="188">
        <v>78.364072036445037</v>
      </c>
      <c r="AA45" s="188">
        <v>85.048861618755822</v>
      </c>
      <c r="AB45" s="188">
        <v>109.18459242485633</v>
      </c>
      <c r="AC45" s="188">
        <v>137.4151283547578</v>
      </c>
      <c r="AD45" s="187">
        <v>160.29275934647907</v>
      </c>
      <c r="AE45" s="187"/>
      <c r="AF45" s="188">
        <v>73.870615721664365</v>
      </c>
      <c r="AG45" s="188">
        <v>80.172077906886543</v>
      </c>
      <c r="AH45" s="188">
        <v>102.92385352478725</v>
      </c>
      <c r="AI45" s="188">
        <v>129.53569602307752</v>
      </c>
      <c r="AJ45" s="187">
        <v>151.10146214371721</v>
      </c>
      <c r="AK45" s="187"/>
      <c r="AL45" s="188">
        <v>4.4934563147806799</v>
      </c>
      <c r="AM45" s="188">
        <v>4.8767837118692912</v>
      </c>
      <c r="AN45" s="188">
        <v>6.2607389000690823</v>
      </c>
      <c r="AO45" s="188">
        <v>7.8794323316802695</v>
      </c>
      <c r="AP45" s="187">
        <v>9.191297202761854</v>
      </c>
      <c r="AQ45" s="90" t="str">
        <f>$A$17</f>
        <v>60-64</v>
      </c>
      <c r="AR45" s="188">
        <v>56.310553409327007</v>
      </c>
      <c r="AS45" s="188">
        <v>67.870390220642065</v>
      </c>
      <c r="AT45" s="188">
        <v>84.024998163765019</v>
      </c>
      <c r="AU45" s="188">
        <v>110.21797149361819</v>
      </c>
      <c r="AV45" s="187">
        <v>138.11699523823569</v>
      </c>
      <c r="AW45" s="187"/>
      <c r="AX45" s="188">
        <v>55.169107221716523</v>
      </c>
      <c r="AY45" s="188">
        <v>66.494660625358861</v>
      </c>
      <c r="AZ45" s="188">
        <v>82.321847901242236</v>
      </c>
      <c r="BA45" s="188">
        <v>107.98385950823412</v>
      </c>
      <c r="BB45" s="187">
        <v>135.3173815226985</v>
      </c>
      <c r="BC45" s="187"/>
      <c r="BD45" s="188">
        <v>1.1414461876104915</v>
      </c>
      <c r="BE45" s="188">
        <v>1.375729595283202</v>
      </c>
      <c r="BF45" s="188">
        <v>1.7031502625227839</v>
      </c>
      <c r="BG45" s="188">
        <v>2.2341119853840721</v>
      </c>
      <c r="BH45" s="187">
        <v>2.7996137155371672</v>
      </c>
    </row>
    <row r="46" spans="1:60" x14ac:dyDescent="0.3">
      <c r="A46" s="90" t="str">
        <f>$A$18</f>
        <v>65+</v>
      </c>
      <c r="B46" s="188">
        <v>684.22019433015396</v>
      </c>
      <c r="C46" s="188">
        <v>659.7220549729019</v>
      </c>
      <c r="D46" s="188">
        <v>597.6874930135458</v>
      </c>
      <c r="E46" s="188">
        <v>516.4377556390009</v>
      </c>
      <c r="F46" s="187">
        <v>432.27609064150056</v>
      </c>
      <c r="G46" s="189"/>
      <c r="H46" s="188">
        <v>489.85248018008991</v>
      </c>
      <c r="I46" s="188">
        <v>472.31354432994846</v>
      </c>
      <c r="J46" s="188">
        <v>427.90128288186639</v>
      </c>
      <c r="K46" s="188">
        <v>369.73229781992757</v>
      </c>
      <c r="L46" s="187">
        <v>309.47859548147727</v>
      </c>
      <c r="M46" s="189"/>
      <c r="N46" s="188">
        <v>194.3677141500641</v>
      </c>
      <c r="O46" s="188">
        <v>187.40851064295344</v>
      </c>
      <c r="P46" s="188">
        <v>169.78621013167941</v>
      </c>
      <c r="Q46" s="188">
        <v>146.70545781907333</v>
      </c>
      <c r="R46" s="187">
        <v>122.79749516002329</v>
      </c>
      <c r="S46" s="189"/>
      <c r="T46" s="189">
        <v>0</v>
      </c>
      <c r="U46" s="189">
        <v>0</v>
      </c>
      <c r="V46" s="189">
        <v>0</v>
      </c>
      <c r="W46" s="189">
        <v>0</v>
      </c>
      <c r="X46" s="189">
        <v>0</v>
      </c>
      <c r="Y46" s="90" t="str">
        <f>$A$18</f>
        <v>65+</v>
      </c>
      <c r="Z46" s="188">
        <v>229.30721305756543</v>
      </c>
      <c r="AA46" s="188">
        <v>242.95644971788712</v>
      </c>
      <c r="AB46" s="188">
        <v>324.13328439256134</v>
      </c>
      <c r="AC46" s="188">
        <v>392.98454329955848</v>
      </c>
      <c r="AD46" s="187">
        <v>471.20711273861792</v>
      </c>
      <c r="AE46" s="189"/>
      <c r="AF46" s="188">
        <v>216.90901867585666</v>
      </c>
      <c r="AG46" s="188">
        <v>229.82037680573097</v>
      </c>
      <c r="AH46" s="188">
        <v>306.60805056907492</v>
      </c>
      <c r="AI46" s="188">
        <v>371.73671710382393</v>
      </c>
      <c r="AJ46" s="187">
        <v>445.72999049974806</v>
      </c>
      <c r="AK46" s="189"/>
      <c r="AL46" s="188">
        <v>12.398194381708771</v>
      </c>
      <c r="AM46" s="188">
        <v>13.136072912156155</v>
      </c>
      <c r="AN46" s="188">
        <v>17.525233823486392</v>
      </c>
      <c r="AO46" s="188">
        <v>21.247826195734497</v>
      </c>
      <c r="AP46" s="187">
        <v>25.477122238869928</v>
      </c>
      <c r="AQ46" s="90" t="str">
        <f>$A$18</f>
        <v>65+</v>
      </c>
      <c r="AR46" s="188">
        <v>145.26459261228058</v>
      </c>
      <c r="AS46" s="188">
        <v>173.26549530921105</v>
      </c>
      <c r="AT46" s="188">
        <v>233.46822259389299</v>
      </c>
      <c r="AU46" s="188">
        <v>332.65670106144069</v>
      </c>
      <c r="AV46" s="187">
        <v>456.31479661988146</v>
      </c>
      <c r="AW46" s="189"/>
      <c r="AX46" s="188">
        <v>143.74209408925086</v>
      </c>
      <c r="AY46" s="188">
        <v>171.44937059191324</v>
      </c>
      <c r="AZ46" s="188">
        <v>231.02121966409953</v>
      </c>
      <c r="BA46" s="188">
        <v>329.17005716327628</v>
      </c>
      <c r="BB46" s="187">
        <v>451.53195718650386</v>
      </c>
      <c r="BC46" s="189"/>
      <c r="BD46" s="188">
        <v>1.5224985230297139</v>
      </c>
      <c r="BE46" s="188">
        <v>1.8161247172978172</v>
      </c>
      <c r="BF46" s="188">
        <v>2.4470029297934355</v>
      </c>
      <c r="BG46" s="188">
        <v>3.4866438981643779</v>
      </c>
      <c r="BH46" s="187">
        <v>4.7828394333776503</v>
      </c>
    </row>
    <row r="47" spans="1:60" x14ac:dyDescent="0.3">
      <c r="A47" s="95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Y47" s="95"/>
      <c r="Z47" s="190"/>
      <c r="AA47" s="190"/>
      <c r="AB47" s="190"/>
      <c r="AC47" s="190"/>
      <c r="AD47" s="190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95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  <c r="BD47" s="190"/>
      <c r="BE47" s="190"/>
      <c r="BF47" s="190"/>
      <c r="BG47" s="190"/>
      <c r="BH47" s="190"/>
    </row>
    <row r="48" spans="1:60" x14ac:dyDescent="0.3">
      <c r="B48" s="93"/>
      <c r="C48" s="93"/>
      <c r="D48" s="93"/>
      <c r="E48" s="93"/>
      <c r="Z48" s="93"/>
      <c r="AA48" s="93"/>
      <c r="AB48" s="93"/>
      <c r="AC48" s="93"/>
      <c r="AR48" s="93"/>
      <c r="AS48" s="93"/>
      <c r="AT48" s="93"/>
      <c r="AU48" s="93"/>
    </row>
    <row r="49" spans="1:60" ht="15.45" x14ac:dyDescent="0.4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3">
      <c r="W50" s="383" t="s">
        <v>13</v>
      </c>
      <c r="X50" s="383"/>
      <c r="AP50" s="182" t="str">
        <f>AP2</f>
        <v>Levels (000s)</v>
      </c>
      <c r="BH50" s="182" t="str">
        <f>BH2</f>
        <v>Levels (000s)</v>
      </c>
    </row>
    <row r="51" spans="1:60" x14ac:dyDescent="0.3">
      <c r="A51" s="117" t="s">
        <v>102</v>
      </c>
      <c r="B51" s="183" t="str">
        <f>B3</f>
        <v>All Low qualifications</v>
      </c>
      <c r="C51" s="183"/>
      <c r="D51" s="184"/>
      <c r="E51" s="183"/>
      <c r="F51" s="183"/>
      <c r="G51" s="117"/>
      <c r="H51" s="183" t="str">
        <f>H3</f>
        <v>Pre-primary education</v>
      </c>
      <c r="I51" s="183"/>
      <c r="J51" s="183"/>
      <c r="K51" s="183"/>
      <c r="L51" s="183"/>
      <c r="M51" s="117"/>
      <c r="N51" s="183" t="str">
        <f>N3</f>
        <v>Primary education (1st stage basic)</v>
      </c>
      <c r="O51" s="183"/>
      <c r="P51" s="183"/>
      <c r="Q51" s="183"/>
      <c r="R51" s="183"/>
      <c r="S51" s="117"/>
      <c r="T51" s="388" t="str">
        <f>T3</f>
        <v>Lower secondary education (2nd stage basic)</v>
      </c>
      <c r="U51" s="388"/>
      <c r="V51" s="388"/>
      <c r="W51" s="388"/>
      <c r="X51" s="388"/>
      <c r="Y51" s="117" t="s">
        <v>102</v>
      </c>
      <c r="Z51" s="183" t="str">
        <f>Z3</f>
        <v>All Medium qualifications</v>
      </c>
      <c r="AA51" s="183"/>
      <c r="AB51" s="184"/>
      <c r="AC51" s="183"/>
      <c r="AD51" s="183"/>
      <c r="AE51" s="117"/>
      <c r="AF51" s="183" t="str">
        <f>AF3</f>
        <v>Upper secondary education</v>
      </c>
      <c r="AG51" s="183"/>
      <c r="AH51" s="183"/>
      <c r="AI51" s="183"/>
      <c r="AJ51" s="183"/>
      <c r="AK51" s="117"/>
      <c r="AL51" s="183" t="str">
        <f>AL3</f>
        <v>Post-secondary non-tertiary education</v>
      </c>
      <c r="AM51" s="183"/>
      <c r="AN51" s="183"/>
      <c r="AO51" s="183"/>
      <c r="AP51" s="183"/>
      <c r="AQ51" s="117" t="s">
        <v>102</v>
      </c>
      <c r="AR51" s="183" t="str">
        <f>AR3</f>
        <v>All High qualifications</v>
      </c>
      <c r="AS51" s="183"/>
      <c r="AT51" s="184"/>
      <c r="AU51" s="183"/>
      <c r="AV51" s="183"/>
      <c r="AW51" s="117"/>
      <c r="AX51" s="183" t="str">
        <f>AX3</f>
        <v>First stage of tertiary education</v>
      </c>
      <c r="AY51" s="183"/>
      <c r="AZ51" s="183"/>
      <c r="BA51" s="183"/>
      <c r="BB51" s="183"/>
      <c r="BC51" s="117"/>
      <c r="BD51" s="183" t="str">
        <f>BD3</f>
        <v>Second stage of tertiary education</v>
      </c>
      <c r="BE51" s="183"/>
      <c r="BF51" s="183"/>
      <c r="BG51" s="183"/>
      <c r="BH51" s="183"/>
    </row>
    <row r="52" spans="1:60" x14ac:dyDescent="0.3">
      <c r="A52" s="179" t="s">
        <v>104</v>
      </c>
      <c r="B52" s="185"/>
      <c r="C52" s="185"/>
      <c r="D52" s="185"/>
      <c r="E52" s="185"/>
      <c r="F52" s="185"/>
      <c r="G52" s="91"/>
      <c r="H52" s="185"/>
      <c r="I52" s="185"/>
      <c r="J52" s="185"/>
      <c r="K52" s="185"/>
      <c r="L52" s="185"/>
      <c r="M52" s="91"/>
      <c r="N52" s="185"/>
      <c r="O52" s="185"/>
      <c r="P52" s="185"/>
      <c r="Q52" s="185"/>
      <c r="R52" s="185"/>
      <c r="S52" s="91"/>
      <c r="T52" s="185"/>
      <c r="U52" s="185"/>
      <c r="V52" s="185"/>
      <c r="W52" s="185"/>
      <c r="X52" s="185"/>
      <c r="Y52" s="179" t="s">
        <v>104</v>
      </c>
      <c r="Z52" s="185"/>
      <c r="AA52" s="185"/>
      <c r="AB52" s="185"/>
      <c r="AC52" s="185"/>
      <c r="AD52" s="185"/>
      <c r="AE52" s="91"/>
      <c r="AF52" s="185"/>
      <c r="AG52" s="185"/>
      <c r="AH52" s="185"/>
      <c r="AI52" s="185"/>
      <c r="AJ52" s="185"/>
      <c r="AK52" s="91"/>
      <c r="AL52" s="185"/>
      <c r="AM52" s="185"/>
      <c r="AN52" s="185"/>
      <c r="AO52" s="185"/>
      <c r="AP52" s="185"/>
      <c r="AQ52" s="179" t="s">
        <v>104</v>
      </c>
      <c r="AR52" s="185"/>
      <c r="AS52" s="185"/>
      <c r="AT52" s="185"/>
      <c r="AU52" s="185"/>
      <c r="AV52" s="185"/>
      <c r="AW52" s="91"/>
      <c r="AX52" s="185"/>
      <c r="AY52" s="185"/>
      <c r="AZ52" s="185"/>
      <c r="BA52" s="185"/>
      <c r="BB52" s="185"/>
      <c r="BC52" s="91"/>
      <c r="BD52" s="185"/>
      <c r="BE52" s="185"/>
      <c r="BF52" s="185"/>
      <c r="BG52" s="185"/>
      <c r="BH52" s="185"/>
    </row>
    <row r="53" spans="1:60" x14ac:dyDescent="0.3">
      <c r="A53" s="178"/>
      <c r="B53" s="186">
        <v>2008</v>
      </c>
      <c r="C53" s="186">
        <v>2010</v>
      </c>
      <c r="D53" s="186">
        <v>2012</v>
      </c>
      <c r="E53" s="186">
        <v>2015</v>
      </c>
      <c r="F53" s="179">
        <v>2020</v>
      </c>
      <c r="G53" s="119"/>
      <c r="H53" s="119">
        <f>B53</f>
        <v>2008</v>
      </c>
      <c r="I53" s="119">
        <f>C53</f>
        <v>2010</v>
      </c>
      <c r="J53" s="119">
        <f>D53</f>
        <v>2012</v>
      </c>
      <c r="K53" s="119">
        <f>E53</f>
        <v>2015</v>
      </c>
      <c r="L53" s="119">
        <f>F53</f>
        <v>2020</v>
      </c>
      <c r="M53" s="119"/>
      <c r="N53" s="119">
        <f>B53</f>
        <v>2008</v>
      </c>
      <c r="O53" s="119">
        <f>C53</f>
        <v>2010</v>
      </c>
      <c r="P53" s="119">
        <f>D53</f>
        <v>2012</v>
      </c>
      <c r="Q53" s="119">
        <f>E53</f>
        <v>2015</v>
      </c>
      <c r="R53" s="119">
        <f>F53</f>
        <v>2020</v>
      </c>
      <c r="S53" s="119"/>
      <c r="T53" s="119">
        <f>B53</f>
        <v>2008</v>
      </c>
      <c r="U53" s="119">
        <f>C53</f>
        <v>2010</v>
      </c>
      <c r="V53" s="119">
        <f>D53</f>
        <v>2012</v>
      </c>
      <c r="W53" s="119">
        <f>E53</f>
        <v>2015</v>
      </c>
      <c r="X53" s="119">
        <f>F53</f>
        <v>2020</v>
      </c>
      <c r="Y53" s="178"/>
      <c r="Z53" s="186">
        <v>2008</v>
      </c>
      <c r="AA53" s="186">
        <v>2010</v>
      </c>
      <c r="AB53" s="186">
        <v>2012</v>
      </c>
      <c r="AC53" s="186">
        <v>2015</v>
      </c>
      <c r="AD53" s="179">
        <v>2020</v>
      </c>
      <c r="AE53" s="119"/>
      <c r="AF53" s="119">
        <f>Z53</f>
        <v>2008</v>
      </c>
      <c r="AG53" s="119">
        <f>AA53</f>
        <v>2010</v>
      </c>
      <c r="AH53" s="119">
        <f>AB53</f>
        <v>2012</v>
      </c>
      <c r="AI53" s="119">
        <f>AC53</f>
        <v>2015</v>
      </c>
      <c r="AJ53" s="119">
        <f>AD53</f>
        <v>2020</v>
      </c>
      <c r="AK53" s="119"/>
      <c r="AL53" s="119">
        <f>Z53</f>
        <v>2008</v>
      </c>
      <c r="AM53" s="119">
        <f>AA53</f>
        <v>2010</v>
      </c>
      <c r="AN53" s="119">
        <f>AB53</f>
        <v>2012</v>
      </c>
      <c r="AO53" s="119">
        <f>AC53</f>
        <v>2015</v>
      </c>
      <c r="AP53" s="119">
        <f>AD53</f>
        <v>2020</v>
      </c>
      <c r="AQ53" s="178"/>
      <c r="AR53" s="186">
        <v>2008</v>
      </c>
      <c r="AS53" s="186">
        <v>2010</v>
      </c>
      <c r="AT53" s="186">
        <v>2012</v>
      </c>
      <c r="AU53" s="186">
        <v>2015</v>
      </c>
      <c r="AV53" s="179">
        <v>2020</v>
      </c>
      <c r="AW53" s="119"/>
      <c r="AX53" s="119">
        <f>AR53</f>
        <v>2008</v>
      </c>
      <c r="AY53" s="119">
        <f>AS53</f>
        <v>2010</v>
      </c>
      <c r="AZ53" s="119">
        <f>AT53</f>
        <v>2012</v>
      </c>
      <c r="BA53" s="119">
        <f>AU53</f>
        <v>2015</v>
      </c>
      <c r="BB53" s="119">
        <f>AV53</f>
        <v>2020</v>
      </c>
      <c r="BC53" s="119"/>
      <c r="BD53" s="119">
        <f>AR53</f>
        <v>2008</v>
      </c>
      <c r="BE53" s="119">
        <f>AS53</f>
        <v>2010</v>
      </c>
      <c r="BF53" s="119">
        <f>AT53</f>
        <v>2012</v>
      </c>
      <c r="BG53" s="119">
        <f>AU53</f>
        <v>2015</v>
      </c>
      <c r="BH53" s="119">
        <f>AV53</f>
        <v>2020</v>
      </c>
    </row>
    <row r="54" spans="1:60" x14ac:dyDescent="0.3">
      <c r="A54" s="113" t="str">
        <f>A6</f>
        <v>Males and females</v>
      </c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Y54" s="113" t="str">
        <f>Y6</f>
        <v>Males and females</v>
      </c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13" t="str">
        <f>AQ6</f>
        <v>Males and females</v>
      </c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</row>
    <row r="55" spans="1:60" x14ac:dyDescent="0.3">
      <c r="A55" s="90" t="str">
        <f>A7</f>
        <v>15+</v>
      </c>
      <c r="B55" s="188">
        <f>SUM(B69,B83)</f>
        <v>1091.4118992738524</v>
      </c>
      <c r="C55" s="188">
        <f t="shared" ref="C55:F55" si="43">SUM(C69,C83)</f>
        <v>1100.0037861102892</v>
      </c>
      <c r="D55" s="188">
        <f t="shared" si="43"/>
        <v>916.42301941602898</v>
      </c>
      <c r="E55" s="188">
        <f t="shared" si="43"/>
        <v>787.47393586094222</v>
      </c>
      <c r="F55" s="188">
        <f t="shared" si="43"/>
        <v>647.93759918436888</v>
      </c>
      <c r="G55" s="187"/>
      <c r="H55" s="188">
        <f>SUM(H69,H83)</f>
        <v>362.47383711398129</v>
      </c>
      <c r="I55" s="188">
        <f t="shared" ref="I55:L55" si="44">SUM(I69,I83)</f>
        <v>367.09230695546</v>
      </c>
      <c r="J55" s="188">
        <f t="shared" si="44"/>
        <v>309.04252665358638</v>
      </c>
      <c r="K55" s="188">
        <f t="shared" si="44"/>
        <v>265.71661758383789</v>
      </c>
      <c r="L55" s="188">
        <f t="shared" si="44"/>
        <v>217.36047114432725</v>
      </c>
      <c r="M55" s="187"/>
      <c r="N55" s="188">
        <f>SUM(N69,N83)</f>
        <v>728.93806215987115</v>
      </c>
      <c r="O55" s="188">
        <f t="shared" ref="O55:R55" si="45">SUM(O69,O83)</f>
        <v>732.91147915482918</v>
      </c>
      <c r="P55" s="188">
        <f t="shared" si="45"/>
        <v>607.3804927624426</v>
      </c>
      <c r="Q55" s="188">
        <f t="shared" si="45"/>
        <v>521.75731827710433</v>
      </c>
      <c r="R55" s="188">
        <f t="shared" si="45"/>
        <v>430.57712804004166</v>
      </c>
      <c r="S55" s="187"/>
      <c r="T55" s="188">
        <f>SUM(T69,T83)</f>
        <v>0</v>
      </c>
      <c r="U55" s="188">
        <f t="shared" ref="U55:X55" si="46">SUM(U69,U83)</f>
        <v>0</v>
      </c>
      <c r="V55" s="188">
        <f t="shared" si="46"/>
        <v>0</v>
      </c>
      <c r="W55" s="188">
        <f t="shared" si="46"/>
        <v>0</v>
      </c>
      <c r="X55" s="188">
        <f t="shared" si="46"/>
        <v>0</v>
      </c>
      <c r="Y55" s="90" t="str">
        <f>Y7</f>
        <v>15+</v>
      </c>
      <c r="Z55" s="188">
        <f>SUM(Z69,Z83)</f>
        <v>1946.6117047650587</v>
      </c>
      <c r="AA55" s="188">
        <f t="shared" ref="AA55:AD55" si="47">SUM(AA69,AA83)</f>
        <v>1898.9657890695435</v>
      </c>
      <c r="AB55" s="188">
        <f t="shared" si="47"/>
        <v>1962.8308563745852</v>
      </c>
      <c r="AC55" s="188">
        <f t="shared" si="47"/>
        <v>2069.7042275623553</v>
      </c>
      <c r="AD55" s="188">
        <f t="shared" si="47"/>
        <v>2170.6375884387007</v>
      </c>
      <c r="AE55" s="187"/>
      <c r="AF55" s="188">
        <f>SUM(AF69,AF83)</f>
        <v>1824.1912882451829</v>
      </c>
      <c r="AG55" s="188">
        <f t="shared" ref="AG55:AJ55" si="48">SUM(AG69,AG83)</f>
        <v>1779.7966268394514</v>
      </c>
      <c r="AH55" s="188">
        <f t="shared" si="48"/>
        <v>1839.9843516955048</v>
      </c>
      <c r="AI55" s="188">
        <f t="shared" si="48"/>
        <v>1940.4817534613794</v>
      </c>
      <c r="AJ55" s="188">
        <f t="shared" si="48"/>
        <v>2035.5057599780253</v>
      </c>
      <c r="AK55" s="187"/>
      <c r="AL55" s="188">
        <f>SUM(AL69,AL83)</f>
        <v>122.42041651987563</v>
      </c>
      <c r="AM55" s="188">
        <f t="shared" ref="AM55:AP55" si="49">SUM(AM69,AM83)</f>
        <v>119.16916223009233</v>
      </c>
      <c r="AN55" s="188">
        <f t="shared" si="49"/>
        <v>122.84650467908108</v>
      </c>
      <c r="AO55" s="188">
        <f t="shared" si="49"/>
        <v>129.22247410097572</v>
      </c>
      <c r="AP55" s="188">
        <f t="shared" si="49"/>
        <v>135.13182846067508</v>
      </c>
      <c r="AQ55" s="90" t="str">
        <f>AQ7</f>
        <v>15+</v>
      </c>
      <c r="AR55" s="188">
        <f>SUM(AR69,AR83)</f>
        <v>1748.2863959610891</v>
      </c>
      <c r="AS55" s="188">
        <f t="shared" ref="AS55:AV55" si="50">SUM(AS69,AS83)</f>
        <v>1906.3674248201669</v>
      </c>
      <c r="AT55" s="188">
        <f t="shared" si="50"/>
        <v>2115.1681242093855</v>
      </c>
      <c r="AU55" s="188">
        <f t="shared" si="50"/>
        <v>2318.0908365767018</v>
      </c>
      <c r="AV55" s="188">
        <f t="shared" si="50"/>
        <v>2521.4978123769306</v>
      </c>
      <c r="AW55" s="187"/>
      <c r="AX55" s="188">
        <f>SUM(AX69,AX83)</f>
        <v>1717.00572023467</v>
      </c>
      <c r="AY55" s="188">
        <f t="shared" ref="AY55:BB55" si="51">SUM(AY69,AY83)</f>
        <v>1871.5654118320501</v>
      </c>
      <c r="AZ55" s="188">
        <f t="shared" si="51"/>
        <v>2075.3669628743173</v>
      </c>
      <c r="BA55" s="188">
        <f t="shared" si="51"/>
        <v>2274.1381911334825</v>
      </c>
      <c r="BB55" s="188">
        <f t="shared" si="51"/>
        <v>2472.9509757013893</v>
      </c>
      <c r="BC55" s="187"/>
      <c r="BD55" s="188">
        <f>SUM(BD69,BD83)</f>
        <v>31.280675726418963</v>
      </c>
      <c r="BE55" s="188">
        <f t="shared" ref="BE55:BH55" si="52">SUM(BE69,BE83)</f>
        <v>34.676945501519299</v>
      </c>
      <c r="BF55" s="188">
        <f t="shared" si="52"/>
        <v>39.483123423895734</v>
      </c>
      <c r="BG55" s="188">
        <f t="shared" si="52"/>
        <v>43.95264544321995</v>
      </c>
      <c r="BH55" s="188">
        <f t="shared" si="52"/>
        <v>48.546836675541741</v>
      </c>
    </row>
    <row r="56" spans="1:60" x14ac:dyDescent="0.3">
      <c r="A56" s="90" t="str">
        <f t="shared" ref="A56:A66" si="53">A8</f>
        <v>15-19</v>
      </c>
      <c r="B56" s="188">
        <f t="shared" ref="B56:F66" si="54">SUM(B70,B84)</f>
        <v>33.922484918096792</v>
      </c>
      <c r="C56" s="188">
        <f t="shared" si="54"/>
        <v>33.428963380218356</v>
      </c>
      <c r="D56" s="188">
        <f t="shared" si="54"/>
        <v>25.618579168305843</v>
      </c>
      <c r="E56" s="188">
        <f t="shared" si="54"/>
        <v>27.576564899958772</v>
      </c>
      <c r="F56" s="188">
        <f t="shared" si="54"/>
        <v>31.444379921686618</v>
      </c>
      <c r="G56" s="187"/>
      <c r="H56" s="188">
        <f t="shared" ref="H56:L66" si="55">SUM(H70,H84)</f>
        <v>7.8573198535721822</v>
      </c>
      <c r="I56" s="188">
        <f t="shared" si="55"/>
        <v>7.5672034937247652</v>
      </c>
      <c r="J56" s="188">
        <f t="shared" si="55"/>
        <v>5.7747610908860949</v>
      </c>
      <c r="K56" s="188">
        <f t="shared" si="55"/>
        <v>6.3040880162625772</v>
      </c>
      <c r="L56" s="188">
        <f t="shared" si="55"/>
        <v>7.2506410354839996</v>
      </c>
      <c r="M56" s="187"/>
      <c r="N56" s="188">
        <f t="shared" ref="N56:R66" si="56">SUM(N70,N84)</f>
        <v>26.065165064524606</v>
      </c>
      <c r="O56" s="188">
        <f t="shared" si="56"/>
        <v>25.861759886493594</v>
      </c>
      <c r="P56" s="188">
        <f t="shared" si="56"/>
        <v>19.843818077419751</v>
      </c>
      <c r="Q56" s="188">
        <f t="shared" si="56"/>
        <v>21.272476883696193</v>
      </c>
      <c r="R56" s="188">
        <f t="shared" si="56"/>
        <v>24.193738886202624</v>
      </c>
      <c r="S56" s="187"/>
      <c r="T56" s="188">
        <f t="shared" ref="T56:X66" si="57">SUM(T70,T84)</f>
        <v>0</v>
      </c>
      <c r="U56" s="188">
        <f t="shared" si="57"/>
        <v>0</v>
      </c>
      <c r="V56" s="188">
        <f t="shared" si="57"/>
        <v>0</v>
      </c>
      <c r="W56" s="188">
        <f t="shared" si="57"/>
        <v>0</v>
      </c>
      <c r="X56" s="188">
        <f t="shared" si="57"/>
        <v>0</v>
      </c>
      <c r="Y56" s="90" t="str">
        <f t="shared" ref="Y56:Y66" si="58">Y8</f>
        <v>15-19</v>
      </c>
      <c r="Z56" s="188">
        <f t="shared" ref="Z56:AD66" si="59">SUM(Z70,Z84)</f>
        <v>28.669275921467221</v>
      </c>
      <c r="AA56" s="188">
        <f t="shared" si="59"/>
        <v>24.94017830051537</v>
      </c>
      <c r="AB56" s="188">
        <f t="shared" si="59"/>
        <v>22.096171672766943</v>
      </c>
      <c r="AC56" s="188">
        <f t="shared" si="59"/>
        <v>24.369923731987864</v>
      </c>
      <c r="AD56" s="188">
        <f t="shared" si="59"/>
        <v>28.847750118738247</v>
      </c>
      <c r="AE56" s="187"/>
      <c r="AF56" s="188">
        <f t="shared" ref="AF56:AJ66" si="60">SUM(AF70,AF84)</f>
        <v>27.131107622890386</v>
      </c>
      <c r="AG56" s="188">
        <f t="shared" si="60"/>
        <v>23.604856528669352</v>
      </c>
      <c r="AH56" s="188">
        <f t="shared" si="60"/>
        <v>20.910693259755835</v>
      </c>
      <c r="AI56" s="188">
        <f t="shared" si="60"/>
        <v>23.061501302502187</v>
      </c>
      <c r="AJ56" s="188">
        <f t="shared" si="60"/>
        <v>27.298051224460476</v>
      </c>
      <c r="AK56" s="187"/>
      <c r="AL56" s="188">
        <f t="shared" ref="AL56:AP66" si="61">SUM(AL70,AL84)</f>
        <v>1.538168298576831</v>
      </c>
      <c r="AM56" s="188">
        <f t="shared" si="61"/>
        <v>1.3353217718460186</v>
      </c>
      <c r="AN56" s="188">
        <f t="shared" si="61"/>
        <v>1.185478413011108</v>
      </c>
      <c r="AO56" s="188">
        <f t="shared" si="61"/>
        <v>1.3084224294856792</v>
      </c>
      <c r="AP56" s="188">
        <f t="shared" si="61"/>
        <v>1.5496988942777667</v>
      </c>
      <c r="AQ56" s="90" t="str">
        <f t="shared" ref="AQ56:AQ66" si="62">AQ8</f>
        <v>15-19</v>
      </c>
      <c r="AR56" s="188">
        <f t="shared" ref="AR56:AV66" si="63">SUM(AR70,AR84)</f>
        <v>0.22323916043599393</v>
      </c>
      <c r="AS56" s="188">
        <f t="shared" si="63"/>
        <v>0.23185831926626108</v>
      </c>
      <c r="AT56" s="188">
        <f t="shared" si="63"/>
        <v>0.31924915892721956</v>
      </c>
      <c r="AU56" s="188">
        <f t="shared" si="63"/>
        <v>0.32851136805335357</v>
      </c>
      <c r="AV56" s="188">
        <f t="shared" si="63"/>
        <v>0.36386995957513524</v>
      </c>
      <c r="AW56" s="187"/>
      <c r="AX56" s="188">
        <f t="shared" ref="AX56:BB66" si="64">SUM(AX70,AX84)</f>
        <v>0.18942213461700935</v>
      </c>
      <c r="AY56" s="188">
        <f t="shared" si="64"/>
        <v>7.0679138418197798E-2</v>
      </c>
      <c r="AZ56" s="188">
        <f t="shared" si="64"/>
        <v>8.014133599071727E-4</v>
      </c>
      <c r="BA56" s="188">
        <f t="shared" si="64"/>
        <v>0.32647088949339453</v>
      </c>
      <c r="BB56" s="188">
        <f t="shared" si="64"/>
        <v>0.3602016521563422</v>
      </c>
      <c r="BC56" s="187"/>
      <c r="BD56" s="188">
        <f t="shared" ref="BD56:BH66" si="65">SUM(BD70,BD84)</f>
        <v>3.3817025818984561E-2</v>
      </c>
      <c r="BE56" s="188">
        <f t="shared" si="65"/>
        <v>3.6111694250642229E-2</v>
      </c>
      <c r="BF56" s="188">
        <f t="shared" si="65"/>
        <v>4.0983439475890718E-4</v>
      </c>
      <c r="BG56" s="188">
        <f t="shared" si="65"/>
        <v>2.0404785599590159E-3</v>
      </c>
      <c r="BH56" s="188">
        <f t="shared" si="65"/>
        <v>3.6683074187930289E-3</v>
      </c>
    </row>
    <row r="57" spans="1:60" x14ac:dyDescent="0.3">
      <c r="A57" s="90" t="str">
        <f t="shared" si="53"/>
        <v>20-24</v>
      </c>
      <c r="B57" s="188">
        <f t="shared" si="54"/>
        <v>69.997446885450401</v>
      </c>
      <c r="C57" s="188">
        <f t="shared" si="54"/>
        <v>73.885251785075525</v>
      </c>
      <c r="D57" s="188">
        <f t="shared" si="54"/>
        <v>60.82748778551305</v>
      </c>
      <c r="E57" s="188">
        <f t="shared" si="54"/>
        <v>52.336025748722321</v>
      </c>
      <c r="F57" s="188">
        <f t="shared" si="54"/>
        <v>47.838308330484821</v>
      </c>
      <c r="G57" s="187"/>
      <c r="H57" s="188">
        <f t="shared" si="55"/>
        <v>17.50666245872462</v>
      </c>
      <c r="I57" s="188">
        <f t="shared" si="55"/>
        <v>18.316843567871658</v>
      </c>
      <c r="J57" s="188">
        <f t="shared" si="55"/>
        <v>14.976024192054551</v>
      </c>
      <c r="K57" s="188">
        <f t="shared" si="55"/>
        <v>12.905149968073884</v>
      </c>
      <c r="L57" s="188">
        <f t="shared" si="55"/>
        <v>11.781306690276619</v>
      </c>
      <c r="M57" s="187"/>
      <c r="N57" s="188">
        <f t="shared" si="56"/>
        <v>52.490784426725781</v>
      </c>
      <c r="O57" s="188">
        <f t="shared" si="56"/>
        <v>55.568408217203867</v>
      </c>
      <c r="P57" s="188">
        <f t="shared" si="56"/>
        <v>45.851463593458497</v>
      </c>
      <c r="Q57" s="188">
        <f t="shared" si="56"/>
        <v>39.430875780648435</v>
      </c>
      <c r="R57" s="188">
        <f t="shared" si="56"/>
        <v>36.057001640208199</v>
      </c>
      <c r="S57" s="187"/>
      <c r="T57" s="188">
        <f t="shared" si="57"/>
        <v>0</v>
      </c>
      <c r="U57" s="188">
        <f t="shared" si="57"/>
        <v>0</v>
      </c>
      <c r="V57" s="188">
        <f t="shared" si="57"/>
        <v>0</v>
      </c>
      <c r="W57" s="188">
        <f t="shared" si="57"/>
        <v>0</v>
      </c>
      <c r="X57" s="188">
        <f t="shared" si="57"/>
        <v>0</v>
      </c>
      <c r="Y57" s="90" t="str">
        <f t="shared" si="58"/>
        <v>20-24</v>
      </c>
      <c r="Z57" s="188">
        <f t="shared" si="59"/>
        <v>200.63056393547677</v>
      </c>
      <c r="AA57" s="188">
        <f t="shared" si="59"/>
        <v>200.10878986052779</v>
      </c>
      <c r="AB57" s="188">
        <f t="shared" si="59"/>
        <v>192.82988811096317</v>
      </c>
      <c r="AC57" s="188">
        <f t="shared" si="59"/>
        <v>182.24243827723632</v>
      </c>
      <c r="AD57" s="188">
        <f t="shared" si="59"/>
        <v>183.10832552939812</v>
      </c>
      <c r="AE57" s="187"/>
      <c r="AF57" s="188">
        <f t="shared" si="60"/>
        <v>184.4013377657671</v>
      </c>
      <c r="AG57" s="188">
        <f t="shared" si="60"/>
        <v>183.88709709012173</v>
      </c>
      <c r="AH57" s="188">
        <f t="shared" si="60"/>
        <v>177.34938200988924</v>
      </c>
      <c r="AI57" s="188">
        <f t="shared" si="60"/>
        <v>167.58221623961009</v>
      </c>
      <c r="AJ57" s="188">
        <f t="shared" si="60"/>
        <v>168.42784713146324</v>
      </c>
      <c r="AK57" s="187"/>
      <c r="AL57" s="188">
        <f t="shared" si="61"/>
        <v>16.229226169709651</v>
      </c>
      <c r="AM57" s="188">
        <f t="shared" si="61"/>
        <v>16.221692770406051</v>
      </c>
      <c r="AN57" s="188">
        <f t="shared" si="61"/>
        <v>15.480506101073939</v>
      </c>
      <c r="AO57" s="188">
        <f t="shared" si="61"/>
        <v>14.660222037626259</v>
      </c>
      <c r="AP57" s="188">
        <f t="shared" si="61"/>
        <v>14.680478397934866</v>
      </c>
      <c r="AQ57" s="90" t="str">
        <f t="shared" si="62"/>
        <v>20-24</v>
      </c>
      <c r="AR57" s="188">
        <f t="shared" si="63"/>
        <v>100.04998917907284</v>
      </c>
      <c r="AS57" s="188">
        <f t="shared" si="63"/>
        <v>94.987958354396682</v>
      </c>
      <c r="AT57" s="188">
        <f t="shared" si="63"/>
        <v>103.98462410352381</v>
      </c>
      <c r="AU57" s="188">
        <f t="shared" si="63"/>
        <v>110.10453597404138</v>
      </c>
      <c r="AV57" s="188">
        <f t="shared" si="63"/>
        <v>122.21236614011708</v>
      </c>
      <c r="AW57" s="187"/>
      <c r="AX57" s="188">
        <f t="shared" si="64"/>
        <v>99.830703255982527</v>
      </c>
      <c r="AY57" s="188">
        <f t="shared" si="64"/>
        <v>94.78083623451991</v>
      </c>
      <c r="AZ57" s="188">
        <f t="shared" si="64"/>
        <v>103.75807484517797</v>
      </c>
      <c r="BA57" s="188">
        <f t="shared" si="64"/>
        <v>109.86373714713562</v>
      </c>
      <c r="BB57" s="188">
        <f t="shared" si="64"/>
        <v>121.94555113721529</v>
      </c>
      <c r="BC57" s="187"/>
      <c r="BD57" s="188">
        <f t="shared" si="65"/>
        <v>0.21928592309030701</v>
      </c>
      <c r="BE57" s="188">
        <f t="shared" si="65"/>
        <v>0.20712211987677406</v>
      </c>
      <c r="BF57" s="188">
        <f t="shared" si="65"/>
        <v>0.2265492583458453</v>
      </c>
      <c r="BG57" s="188">
        <f t="shared" si="65"/>
        <v>0.24079882690576235</v>
      </c>
      <c r="BH57" s="188">
        <f t="shared" si="65"/>
        <v>0.26681500290179178</v>
      </c>
    </row>
    <row r="58" spans="1:60" x14ac:dyDescent="0.3">
      <c r="A58" s="90" t="str">
        <f t="shared" si="53"/>
        <v>25-29</v>
      </c>
      <c r="B58" s="188">
        <f t="shared" si="54"/>
        <v>83.10566032859262</v>
      </c>
      <c r="C58" s="188">
        <f t="shared" si="54"/>
        <v>92.922114197332945</v>
      </c>
      <c r="D58" s="188">
        <f t="shared" si="54"/>
        <v>81.756122550300972</v>
      </c>
      <c r="E58" s="188">
        <f t="shared" si="54"/>
        <v>81.088950586198422</v>
      </c>
      <c r="F58" s="188">
        <f t="shared" si="54"/>
        <v>71.085865926883031</v>
      </c>
      <c r="G58" s="187"/>
      <c r="H58" s="188">
        <f t="shared" si="55"/>
        <v>23.608107087454297</v>
      </c>
      <c r="I58" s="188">
        <f t="shared" si="55"/>
        <v>26.378552793035944</v>
      </c>
      <c r="J58" s="188">
        <f t="shared" si="55"/>
        <v>23.222779194804581</v>
      </c>
      <c r="K58" s="188">
        <f t="shared" si="55"/>
        <v>23.044303745971408</v>
      </c>
      <c r="L58" s="188">
        <f t="shared" si="55"/>
        <v>20.194793417876976</v>
      </c>
      <c r="M58" s="187"/>
      <c r="N58" s="188">
        <f t="shared" si="56"/>
        <v>59.49755324113832</v>
      </c>
      <c r="O58" s="188">
        <f t="shared" si="56"/>
        <v>66.543561404296995</v>
      </c>
      <c r="P58" s="188">
        <f t="shared" si="56"/>
        <v>58.533343355496399</v>
      </c>
      <c r="Q58" s="188">
        <f t="shared" si="56"/>
        <v>58.04464684022701</v>
      </c>
      <c r="R58" s="188">
        <f t="shared" si="56"/>
        <v>50.891072509006051</v>
      </c>
      <c r="S58" s="187"/>
      <c r="T58" s="188">
        <f t="shared" si="57"/>
        <v>0</v>
      </c>
      <c r="U58" s="188">
        <f t="shared" si="57"/>
        <v>0</v>
      </c>
      <c r="V58" s="188">
        <f t="shared" si="57"/>
        <v>0</v>
      </c>
      <c r="W58" s="188">
        <f t="shared" si="57"/>
        <v>0</v>
      </c>
      <c r="X58" s="188">
        <f t="shared" si="57"/>
        <v>0</v>
      </c>
      <c r="Y58" s="90" t="str">
        <f t="shared" si="58"/>
        <v>25-29</v>
      </c>
      <c r="Z58" s="188">
        <f t="shared" si="59"/>
        <v>253.52682972521137</v>
      </c>
      <c r="AA58" s="188">
        <f t="shared" si="59"/>
        <v>234.83645593614608</v>
      </c>
      <c r="AB58" s="188">
        <f t="shared" si="59"/>
        <v>239.38100582652388</v>
      </c>
      <c r="AC58" s="188">
        <f t="shared" si="59"/>
        <v>250.47379611646011</v>
      </c>
      <c r="AD58" s="188">
        <f t="shared" si="59"/>
        <v>242.75774055369266</v>
      </c>
      <c r="AE58" s="187"/>
      <c r="AF58" s="188">
        <f t="shared" si="60"/>
        <v>233.96361796129568</v>
      </c>
      <c r="AG58" s="188">
        <f t="shared" si="60"/>
        <v>216.69951214512702</v>
      </c>
      <c r="AH58" s="188">
        <f t="shared" si="60"/>
        <v>220.99938766367791</v>
      </c>
      <c r="AI58" s="188">
        <f t="shared" si="60"/>
        <v>231.32962388195671</v>
      </c>
      <c r="AJ58" s="188">
        <f t="shared" si="60"/>
        <v>224.27741219211396</v>
      </c>
      <c r="AK58" s="187"/>
      <c r="AL58" s="188">
        <f t="shared" si="61"/>
        <v>19.563211763915717</v>
      </c>
      <c r="AM58" s="188">
        <f t="shared" si="61"/>
        <v>18.13694379101905</v>
      </c>
      <c r="AN58" s="188">
        <f t="shared" si="61"/>
        <v>18.381618162845992</v>
      </c>
      <c r="AO58" s="188">
        <f t="shared" si="61"/>
        <v>19.144172234503415</v>
      </c>
      <c r="AP58" s="188">
        <f t="shared" si="61"/>
        <v>18.480328361578685</v>
      </c>
      <c r="AQ58" s="90" t="str">
        <f t="shared" si="62"/>
        <v>25-29</v>
      </c>
      <c r="AR58" s="188">
        <f t="shared" si="63"/>
        <v>268.657509946196</v>
      </c>
      <c r="AS58" s="188">
        <f t="shared" si="63"/>
        <v>278.23442986652105</v>
      </c>
      <c r="AT58" s="188">
        <f t="shared" si="63"/>
        <v>292.29787162317513</v>
      </c>
      <c r="AU58" s="188">
        <f t="shared" si="63"/>
        <v>322.87025329734149</v>
      </c>
      <c r="AV58" s="188">
        <f t="shared" si="63"/>
        <v>330.34739351942437</v>
      </c>
      <c r="AW58" s="187"/>
      <c r="AX58" s="188">
        <f t="shared" si="64"/>
        <v>266.3288913677211</v>
      </c>
      <c r="AY58" s="188">
        <f t="shared" si="64"/>
        <v>275.82018573820613</v>
      </c>
      <c r="AZ58" s="188">
        <f t="shared" si="64"/>
        <v>289.76922026464791</v>
      </c>
      <c r="BA58" s="188">
        <f t="shared" si="64"/>
        <v>320.08257546262871</v>
      </c>
      <c r="BB58" s="188">
        <f t="shared" si="64"/>
        <v>327.50130630655138</v>
      </c>
      <c r="BC58" s="187"/>
      <c r="BD58" s="188">
        <f t="shared" si="65"/>
        <v>2.3286185784749271</v>
      </c>
      <c r="BE58" s="188">
        <f t="shared" si="65"/>
        <v>2.414244128314877</v>
      </c>
      <c r="BF58" s="188">
        <f t="shared" si="65"/>
        <v>2.5286513585272092</v>
      </c>
      <c r="BG58" s="188">
        <f t="shared" si="65"/>
        <v>2.7876778347128019</v>
      </c>
      <c r="BH58" s="188">
        <f t="shared" si="65"/>
        <v>2.8460872128729875</v>
      </c>
    </row>
    <row r="59" spans="1:60" x14ac:dyDescent="0.3">
      <c r="A59" s="90" t="str">
        <f t="shared" si="53"/>
        <v>30-34</v>
      </c>
      <c r="B59" s="188">
        <f t="shared" si="54"/>
        <v>88.294623576316411</v>
      </c>
      <c r="C59" s="188">
        <f t="shared" si="54"/>
        <v>89.184182813705448</v>
      </c>
      <c r="D59" s="188">
        <f t="shared" si="54"/>
        <v>78.82086492460455</v>
      </c>
      <c r="E59" s="188">
        <f t="shared" si="54"/>
        <v>73.409248466261431</v>
      </c>
      <c r="F59" s="188">
        <f t="shared" si="54"/>
        <v>62.433211012240555</v>
      </c>
      <c r="G59" s="187"/>
      <c r="H59" s="188">
        <f t="shared" si="55"/>
        <v>28.30985950772898</v>
      </c>
      <c r="I59" s="188">
        <f t="shared" si="55"/>
        <v>28.523912034677551</v>
      </c>
      <c r="J59" s="188">
        <f t="shared" si="55"/>
        <v>25.261997348079788</v>
      </c>
      <c r="K59" s="188">
        <f t="shared" si="55"/>
        <v>23.527246978251746</v>
      </c>
      <c r="L59" s="188">
        <f t="shared" si="55"/>
        <v>20.017532858379102</v>
      </c>
      <c r="M59" s="187"/>
      <c r="N59" s="188">
        <f t="shared" si="56"/>
        <v>59.984764068587438</v>
      </c>
      <c r="O59" s="188">
        <f t="shared" si="56"/>
        <v>60.660270779027904</v>
      </c>
      <c r="P59" s="188">
        <f t="shared" si="56"/>
        <v>53.558867576524761</v>
      </c>
      <c r="Q59" s="188">
        <f t="shared" si="56"/>
        <v>49.882001488009664</v>
      </c>
      <c r="R59" s="188">
        <f t="shared" si="56"/>
        <v>42.41567815386145</v>
      </c>
      <c r="S59" s="187"/>
      <c r="T59" s="188">
        <f t="shared" si="57"/>
        <v>0</v>
      </c>
      <c r="U59" s="188">
        <f t="shared" si="57"/>
        <v>0</v>
      </c>
      <c r="V59" s="188">
        <f t="shared" si="57"/>
        <v>0</v>
      </c>
      <c r="W59" s="188">
        <f t="shared" si="57"/>
        <v>0</v>
      </c>
      <c r="X59" s="188">
        <f t="shared" si="57"/>
        <v>0</v>
      </c>
      <c r="Y59" s="90" t="str">
        <f t="shared" si="58"/>
        <v>30-34</v>
      </c>
      <c r="Z59" s="188">
        <f t="shared" si="59"/>
        <v>252.02853262692997</v>
      </c>
      <c r="AA59" s="188">
        <f t="shared" si="59"/>
        <v>241.95757229192009</v>
      </c>
      <c r="AB59" s="188">
        <f t="shared" si="59"/>
        <v>250.36416862690376</v>
      </c>
      <c r="AC59" s="188">
        <f t="shared" si="59"/>
        <v>260.01917178438288</v>
      </c>
      <c r="AD59" s="188">
        <f t="shared" si="59"/>
        <v>277.87154542964436</v>
      </c>
      <c r="AE59" s="187"/>
      <c r="AF59" s="188">
        <f t="shared" si="60"/>
        <v>233.37617479742303</v>
      </c>
      <c r="AG59" s="188">
        <f t="shared" si="60"/>
        <v>224.1436906659363</v>
      </c>
      <c r="AH59" s="188">
        <f t="shared" si="60"/>
        <v>231.98013090632361</v>
      </c>
      <c r="AI59" s="188">
        <f t="shared" si="60"/>
        <v>240.99879756210669</v>
      </c>
      <c r="AJ59" s="188">
        <f t="shared" si="60"/>
        <v>257.66322853004982</v>
      </c>
      <c r="AK59" s="187"/>
      <c r="AL59" s="188">
        <f t="shared" si="61"/>
        <v>18.65235782950694</v>
      </c>
      <c r="AM59" s="188">
        <f t="shared" si="61"/>
        <v>17.813881625983782</v>
      </c>
      <c r="AN59" s="188">
        <f t="shared" si="61"/>
        <v>18.384037720580174</v>
      </c>
      <c r="AO59" s="188">
        <f t="shared" si="61"/>
        <v>19.02037422227616</v>
      </c>
      <c r="AP59" s="188">
        <f t="shared" si="61"/>
        <v>20.208316899594564</v>
      </c>
      <c r="AQ59" s="90" t="str">
        <f t="shared" si="62"/>
        <v>30-34</v>
      </c>
      <c r="AR59" s="188">
        <f t="shared" si="63"/>
        <v>280.69384379675364</v>
      </c>
      <c r="AS59" s="188">
        <f t="shared" si="63"/>
        <v>298.74624489437451</v>
      </c>
      <c r="AT59" s="188">
        <f t="shared" si="63"/>
        <v>315.83096644849167</v>
      </c>
      <c r="AU59" s="188">
        <f t="shared" si="63"/>
        <v>342.31857974935576</v>
      </c>
      <c r="AV59" s="188">
        <f t="shared" si="63"/>
        <v>384.08524355811511</v>
      </c>
      <c r="AW59" s="187"/>
      <c r="AX59" s="188">
        <f t="shared" si="64"/>
        <v>275.62991148902091</v>
      </c>
      <c r="AY59" s="188">
        <f t="shared" si="64"/>
        <v>293.35345054546065</v>
      </c>
      <c r="AZ59" s="188">
        <f t="shared" si="64"/>
        <v>310.17909296528001</v>
      </c>
      <c r="BA59" s="188">
        <f t="shared" si="64"/>
        <v>336.2348278556392</v>
      </c>
      <c r="BB59" s="188">
        <f t="shared" si="64"/>
        <v>377.23616137901718</v>
      </c>
      <c r="BC59" s="187"/>
      <c r="BD59" s="188">
        <f t="shared" si="65"/>
        <v>5.063932307732685</v>
      </c>
      <c r="BE59" s="188">
        <f t="shared" si="65"/>
        <v>5.3927943489138421</v>
      </c>
      <c r="BF59" s="188">
        <f t="shared" si="65"/>
        <v>5.6518734832116824</v>
      </c>
      <c r="BG59" s="188">
        <f t="shared" si="65"/>
        <v>6.0837518937165616</v>
      </c>
      <c r="BH59" s="188">
        <f t="shared" si="65"/>
        <v>6.8490821790979144</v>
      </c>
    </row>
    <row r="60" spans="1:60" x14ac:dyDescent="0.3">
      <c r="A60" s="90" t="str">
        <f t="shared" si="53"/>
        <v>35-39</v>
      </c>
      <c r="B60" s="188">
        <f t="shared" si="54"/>
        <v>116.40573165092457</v>
      </c>
      <c r="C60" s="188">
        <f t="shared" si="54"/>
        <v>111.62087650319086</v>
      </c>
      <c r="D60" s="188">
        <f t="shared" si="54"/>
        <v>87.010674497835979</v>
      </c>
      <c r="E60" s="188">
        <f t="shared" si="54"/>
        <v>72.169455639072808</v>
      </c>
      <c r="F60" s="188">
        <f t="shared" si="54"/>
        <v>56.078787071994824</v>
      </c>
      <c r="G60" s="187"/>
      <c r="H60" s="188">
        <f t="shared" si="55"/>
        <v>35.263117567908004</v>
      </c>
      <c r="I60" s="188">
        <f t="shared" si="55"/>
        <v>33.826936328651151</v>
      </c>
      <c r="J60" s="188">
        <f t="shared" si="55"/>
        <v>26.372888660399127</v>
      </c>
      <c r="K60" s="188">
        <f t="shared" si="55"/>
        <v>21.873558995262968</v>
      </c>
      <c r="L60" s="188">
        <f t="shared" si="55"/>
        <v>16.999346797068803</v>
      </c>
      <c r="M60" s="187"/>
      <c r="N60" s="188">
        <f t="shared" si="56"/>
        <v>81.142614083016582</v>
      </c>
      <c r="O60" s="188">
        <f t="shared" si="56"/>
        <v>77.793940174539699</v>
      </c>
      <c r="P60" s="188">
        <f t="shared" si="56"/>
        <v>60.637785837436844</v>
      </c>
      <c r="Q60" s="188">
        <f t="shared" si="56"/>
        <v>50.29589664380984</v>
      </c>
      <c r="R60" s="188">
        <f t="shared" si="56"/>
        <v>39.079440274926021</v>
      </c>
      <c r="S60" s="187"/>
      <c r="T60" s="188">
        <f t="shared" si="57"/>
        <v>0</v>
      </c>
      <c r="U60" s="188">
        <f t="shared" si="57"/>
        <v>0</v>
      </c>
      <c r="V60" s="188">
        <f t="shared" si="57"/>
        <v>0</v>
      </c>
      <c r="W60" s="188">
        <f t="shared" si="57"/>
        <v>0</v>
      </c>
      <c r="X60" s="188">
        <f t="shared" si="57"/>
        <v>0</v>
      </c>
      <c r="Y60" s="90" t="str">
        <f t="shared" si="58"/>
        <v>35-39</v>
      </c>
      <c r="Z60" s="188">
        <f t="shared" si="59"/>
        <v>292.69516984616689</v>
      </c>
      <c r="AA60" s="188">
        <f t="shared" si="59"/>
        <v>264.43124011815416</v>
      </c>
      <c r="AB60" s="188">
        <f t="shared" si="59"/>
        <v>249.36383456629306</v>
      </c>
      <c r="AC60" s="188">
        <f t="shared" si="59"/>
        <v>265.62693121403328</v>
      </c>
      <c r="AD60" s="188">
        <f t="shared" si="59"/>
        <v>281.01300955525153</v>
      </c>
      <c r="AE60" s="187"/>
      <c r="AF60" s="188">
        <f t="shared" si="60"/>
        <v>274.90708265744615</v>
      </c>
      <c r="AG60" s="188">
        <f t="shared" si="60"/>
        <v>248.33674178769135</v>
      </c>
      <c r="AH60" s="188">
        <f t="shared" si="60"/>
        <v>234.22524163699583</v>
      </c>
      <c r="AI60" s="188">
        <f t="shared" si="60"/>
        <v>249.52613818829445</v>
      </c>
      <c r="AJ60" s="188">
        <f t="shared" si="60"/>
        <v>264.00561865600736</v>
      </c>
      <c r="AK60" s="187"/>
      <c r="AL60" s="188">
        <f t="shared" si="61"/>
        <v>17.788087188720716</v>
      </c>
      <c r="AM60" s="188">
        <f t="shared" si="61"/>
        <v>16.094498330462777</v>
      </c>
      <c r="AN60" s="188">
        <f t="shared" si="61"/>
        <v>15.138592929297266</v>
      </c>
      <c r="AO60" s="188">
        <f t="shared" si="61"/>
        <v>16.100793025738767</v>
      </c>
      <c r="AP60" s="188">
        <f t="shared" si="61"/>
        <v>17.007390899244211</v>
      </c>
      <c r="AQ60" s="90" t="str">
        <f t="shared" si="62"/>
        <v>35-39</v>
      </c>
      <c r="AR60" s="188">
        <f t="shared" si="63"/>
        <v>271.17009850290862</v>
      </c>
      <c r="AS60" s="188">
        <f t="shared" si="63"/>
        <v>299.350883378655</v>
      </c>
      <c r="AT60" s="188">
        <f t="shared" si="63"/>
        <v>309.54249093587089</v>
      </c>
      <c r="AU60" s="188">
        <f t="shared" si="63"/>
        <v>347.30661314689394</v>
      </c>
      <c r="AV60" s="188">
        <f t="shared" si="63"/>
        <v>383.85620337275361</v>
      </c>
      <c r="AW60" s="187"/>
      <c r="AX60" s="188">
        <f t="shared" si="64"/>
        <v>266.39031937491359</v>
      </c>
      <c r="AY60" s="188">
        <f t="shared" si="64"/>
        <v>294.09970734798696</v>
      </c>
      <c r="AZ60" s="188">
        <f t="shared" si="64"/>
        <v>304.18685308252333</v>
      </c>
      <c r="BA60" s="188">
        <f t="shared" si="64"/>
        <v>341.32613291295013</v>
      </c>
      <c r="BB60" s="188">
        <f t="shared" si="64"/>
        <v>377.26357305597628</v>
      </c>
      <c r="BC60" s="187"/>
      <c r="BD60" s="188">
        <f t="shared" si="65"/>
        <v>4.7797791279950284</v>
      </c>
      <c r="BE60" s="188">
        <f t="shared" si="65"/>
        <v>5.2511760306679776</v>
      </c>
      <c r="BF60" s="188">
        <f t="shared" si="65"/>
        <v>5.3556378533475719</v>
      </c>
      <c r="BG60" s="188">
        <f t="shared" si="65"/>
        <v>5.9804802339438368</v>
      </c>
      <c r="BH60" s="188">
        <f t="shared" si="65"/>
        <v>6.5926303167773872</v>
      </c>
    </row>
    <row r="61" spans="1:60" x14ac:dyDescent="0.3">
      <c r="A61" s="90" t="str">
        <f t="shared" si="53"/>
        <v>40-44</v>
      </c>
      <c r="B61" s="188">
        <f t="shared" si="54"/>
        <v>156.26741886428681</v>
      </c>
      <c r="C61" s="188">
        <f t="shared" si="54"/>
        <v>138.06633532257501</v>
      </c>
      <c r="D61" s="188">
        <f t="shared" si="54"/>
        <v>102.04230405027101</v>
      </c>
      <c r="E61" s="188">
        <f t="shared" si="54"/>
        <v>72.607670352464169</v>
      </c>
      <c r="F61" s="188">
        <f t="shared" si="54"/>
        <v>53.870397558877769</v>
      </c>
      <c r="G61" s="187"/>
      <c r="H61" s="188">
        <f t="shared" si="55"/>
        <v>49.7957894254127</v>
      </c>
      <c r="I61" s="188">
        <f t="shared" si="55"/>
        <v>43.898270250594351</v>
      </c>
      <c r="J61" s="188">
        <f t="shared" si="55"/>
        <v>32.409044993954737</v>
      </c>
      <c r="K61" s="188">
        <f t="shared" si="55"/>
        <v>23.036152368803652</v>
      </c>
      <c r="L61" s="188">
        <f t="shared" si="55"/>
        <v>17.053911147098564</v>
      </c>
      <c r="M61" s="187"/>
      <c r="N61" s="188">
        <f t="shared" si="56"/>
        <v>106.47162943887409</v>
      </c>
      <c r="O61" s="188">
        <f t="shared" si="56"/>
        <v>94.168065071980649</v>
      </c>
      <c r="P61" s="188">
        <f t="shared" si="56"/>
        <v>69.633259056316291</v>
      </c>
      <c r="Q61" s="188">
        <f t="shared" si="56"/>
        <v>49.571517983660513</v>
      </c>
      <c r="R61" s="188">
        <f t="shared" si="56"/>
        <v>36.816486411779202</v>
      </c>
      <c r="S61" s="187"/>
      <c r="T61" s="188">
        <f t="shared" si="57"/>
        <v>0</v>
      </c>
      <c r="U61" s="188">
        <f t="shared" si="57"/>
        <v>0</v>
      </c>
      <c r="V61" s="188">
        <f t="shared" si="57"/>
        <v>0</v>
      </c>
      <c r="W61" s="188">
        <f t="shared" si="57"/>
        <v>0</v>
      </c>
      <c r="X61" s="188">
        <f t="shared" si="57"/>
        <v>0</v>
      </c>
      <c r="Y61" s="90" t="str">
        <f t="shared" si="58"/>
        <v>40-44</v>
      </c>
      <c r="Z61" s="188">
        <f t="shared" si="59"/>
        <v>297.53049844792429</v>
      </c>
      <c r="AA61" s="188">
        <f t="shared" si="59"/>
        <v>279.21152782576593</v>
      </c>
      <c r="AB61" s="188">
        <f t="shared" si="59"/>
        <v>264.15997152705989</v>
      </c>
      <c r="AC61" s="188">
        <f t="shared" si="59"/>
        <v>265.769688987834</v>
      </c>
      <c r="AD61" s="188">
        <f t="shared" si="59"/>
        <v>285.38300501207038</v>
      </c>
      <c r="AE61" s="187"/>
      <c r="AF61" s="188">
        <f t="shared" si="60"/>
        <v>281.6051488677208</v>
      </c>
      <c r="AG61" s="188">
        <f t="shared" si="60"/>
        <v>264.27565335337636</v>
      </c>
      <c r="AH61" s="188">
        <f t="shared" si="60"/>
        <v>250.06064702096575</v>
      </c>
      <c r="AI61" s="188">
        <f t="shared" si="60"/>
        <v>251.59948400746447</v>
      </c>
      <c r="AJ61" s="188">
        <f t="shared" si="60"/>
        <v>270.1868670204085</v>
      </c>
      <c r="AK61" s="187"/>
      <c r="AL61" s="188">
        <f t="shared" si="61"/>
        <v>15.925349580203488</v>
      </c>
      <c r="AM61" s="188">
        <f t="shared" si="61"/>
        <v>14.935874472389486</v>
      </c>
      <c r="AN61" s="188">
        <f t="shared" si="61"/>
        <v>14.099324506094138</v>
      </c>
      <c r="AO61" s="188">
        <f t="shared" si="61"/>
        <v>14.170204980369528</v>
      </c>
      <c r="AP61" s="188">
        <f t="shared" si="61"/>
        <v>15.196137991661878</v>
      </c>
      <c r="AQ61" s="90" t="str">
        <f t="shared" si="62"/>
        <v>40-44</v>
      </c>
      <c r="AR61" s="188">
        <f t="shared" si="63"/>
        <v>254.53008268778893</v>
      </c>
      <c r="AS61" s="188">
        <f t="shared" si="63"/>
        <v>277.04113685165908</v>
      </c>
      <c r="AT61" s="188">
        <f t="shared" si="63"/>
        <v>302.03972442266905</v>
      </c>
      <c r="AU61" s="188">
        <f t="shared" si="63"/>
        <v>315.32964065970185</v>
      </c>
      <c r="AV61" s="188">
        <f t="shared" si="63"/>
        <v>349.0545974290518</v>
      </c>
      <c r="AW61" s="187"/>
      <c r="AX61" s="188">
        <f t="shared" si="64"/>
        <v>250.24828407721705</v>
      </c>
      <c r="AY61" s="188">
        <f t="shared" si="64"/>
        <v>272.4224484468516</v>
      </c>
      <c r="AZ61" s="188">
        <f t="shared" si="64"/>
        <v>297.01618494130969</v>
      </c>
      <c r="BA61" s="188">
        <f t="shared" si="64"/>
        <v>310.0976851562209</v>
      </c>
      <c r="BB61" s="188">
        <f t="shared" si="64"/>
        <v>343.26501484324086</v>
      </c>
      <c r="BC61" s="187"/>
      <c r="BD61" s="188">
        <f t="shared" si="65"/>
        <v>4.2817986105719035</v>
      </c>
      <c r="BE61" s="188">
        <f t="shared" si="65"/>
        <v>4.6186884048075676</v>
      </c>
      <c r="BF61" s="188">
        <f t="shared" si="65"/>
        <v>5.0235394813593235</v>
      </c>
      <c r="BG61" s="188">
        <f t="shared" si="65"/>
        <v>5.2319555034809255</v>
      </c>
      <c r="BH61" s="188">
        <f t="shared" si="65"/>
        <v>5.7895825858109662</v>
      </c>
    </row>
    <row r="62" spans="1:60" x14ac:dyDescent="0.3">
      <c r="A62" s="90" t="str">
        <f t="shared" si="53"/>
        <v>45-49</v>
      </c>
      <c r="B62" s="188">
        <f t="shared" si="54"/>
        <v>192.10532237663983</v>
      </c>
      <c r="C62" s="188">
        <f t="shared" si="54"/>
        <v>181.7014990686323</v>
      </c>
      <c r="D62" s="188">
        <f t="shared" si="54"/>
        <v>125.84366969436242</v>
      </c>
      <c r="E62" s="188">
        <f t="shared" si="54"/>
        <v>94.413771810554039</v>
      </c>
      <c r="F62" s="188">
        <f t="shared" si="54"/>
        <v>69.482068956144474</v>
      </c>
      <c r="G62" s="187"/>
      <c r="H62" s="188">
        <f t="shared" si="55"/>
        <v>63.114524104301118</v>
      </c>
      <c r="I62" s="188">
        <f t="shared" si="55"/>
        <v>59.680357878773279</v>
      </c>
      <c r="J62" s="188">
        <f t="shared" si="55"/>
        <v>41.135830568231285</v>
      </c>
      <c r="K62" s="188">
        <f t="shared" si="55"/>
        <v>30.734675124538327</v>
      </c>
      <c r="L62" s="188">
        <f t="shared" si="55"/>
        <v>22.525760365918362</v>
      </c>
      <c r="M62" s="187"/>
      <c r="N62" s="188">
        <f t="shared" si="56"/>
        <v>128.99079827233871</v>
      </c>
      <c r="O62" s="188">
        <f t="shared" si="56"/>
        <v>122.02114118985901</v>
      </c>
      <c r="P62" s="188">
        <f t="shared" si="56"/>
        <v>84.707839126131134</v>
      </c>
      <c r="Q62" s="188">
        <f t="shared" si="56"/>
        <v>63.679096686015725</v>
      </c>
      <c r="R62" s="188">
        <f t="shared" si="56"/>
        <v>46.956308590226101</v>
      </c>
      <c r="S62" s="187"/>
      <c r="T62" s="188">
        <f t="shared" si="57"/>
        <v>0</v>
      </c>
      <c r="U62" s="188">
        <f t="shared" si="57"/>
        <v>0</v>
      </c>
      <c r="V62" s="188">
        <f t="shared" si="57"/>
        <v>0</v>
      </c>
      <c r="W62" s="188">
        <f t="shared" si="57"/>
        <v>0</v>
      </c>
      <c r="X62" s="188">
        <f t="shared" si="57"/>
        <v>0</v>
      </c>
      <c r="Y62" s="90" t="str">
        <f t="shared" si="58"/>
        <v>45-49</v>
      </c>
      <c r="Z62" s="188">
        <f t="shared" si="59"/>
        <v>259.3931665564873</v>
      </c>
      <c r="AA62" s="188">
        <f t="shared" si="59"/>
        <v>259.85569110569543</v>
      </c>
      <c r="AB62" s="188">
        <f t="shared" si="59"/>
        <v>276.06033600610709</v>
      </c>
      <c r="AC62" s="188">
        <f t="shared" si="59"/>
        <v>283.54672387522641</v>
      </c>
      <c r="AD62" s="188">
        <f t="shared" si="59"/>
        <v>287.849736988811</v>
      </c>
      <c r="AE62" s="187"/>
      <c r="AF62" s="188">
        <f t="shared" si="60"/>
        <v>247.30603323034916</v>
      </c>
      <c r="AG62" s="188">
        <f t="shared" si="60"/>
        <v>247.7788871489098</v>
      </c>
      <c r="AH62" s="188">
        <f t="shared" si="60"/>
        <v>263.21646229283618</v>
      </c>
      <c r="AI62" s="188">
        <f t="shared" si="60"/>
        <v>270.34872282364341</v>
      </c>
      <c r="AJ62" s="188">
        <f t="shared" si="60"/>
        <v>274.44279780539426</v>
      </c>
      <c r="AK62" s="187"/>
      <c r="AL62" s="188">
        <f t="shared" si="61"/>
        <v>12.087133326138117</v>
      </c>
      <c r="AM62" s="188">
        <f t="shared" si="61"/>
        <v>12.076803956785602</v>
      </c>
      <c r="AN62" s="188">
        <f t="shared" si="61"/>
        <v>12.84387371327092</v>
      </c>
      <c r="AO62" s="188">
        <f t="shared" si="61"/>
        <v>13.198001051582985</v>
      </c>
      <c r="AP62" s="188">
        <f t="shared" si="61"/>
        <v>13.40693918341676</v>
      </c>
      <c r="AQ62" s="90" t="str">
        <f t="shared" si="62"/>
        <v>45-49</v>
      </c>
      <c r="AR62" s="188">
        <f t="shared" si="63"/>
        <v>233.19851106687287</v>
      </c>
      <c r="AS62" s="188">
        <f t="shared" si="63"/>
        <v>255.42780982567223</v>
      </c>
      <c r="AT62" s="188">
        <f t="shared" si="63"/>
        <v>278.84899429953055</v>
      </c>
      <c r="AU62" s="188">
        <f t="shared" si="63"/>
        <v>292.33350431421957</v>
      </c>
      <c r="AV62" s="188">
        <f t="shared" si="63"/>
        <v>302.44819405504461</v>
      </c>
      <c r="AW62" s="187"/>
      <c r="AX62" s="188">
        <f t="shared" si="64"/>
        <v>228.81453920689103</v>
      </c>
      <c r="AY62" s="188">
        <f t="shared" si="64"/>
        <v>250.65558136759938</v>
      </c>
      <c r="AZ62" s="188">
        <f t="shared" si="64"/>
        <v>273.711876568962</v>
      </c>
      <c r="BA62" s="188">
        <f t="shared" si="64"/>
        <v>286.97795838324782</v>
      </c>
      <c r="BB62" s="188">
        <f t="shared" si="64"/>
        <v>296.93591992657696</v>
      </c>
      <c r="BC62" s="187"/>
      <c r="BD62" s="188">
        <f t="shared" si="65"/>
        <v>4.3839718599818829</v>
      </c>
      <c r="BE62" s="188">
        <f t="shared" si="65"/>
        <v>4.7722284580728216</v>
      </c>
      <c r="BF62" s="188">
        <f t="shared" si="65"/>
        <v>5.1371177305685114</v>
      </c>
      <c r="BG62" s="188">
        <f t="shared" si="65"/>
        <v>5.3555459309717897</v>
      </c>
      <c r="BH62" s="188">
        <f t="shared" si="65"/>
        <v>5.5122741284676167</v>
      </c>
    </row>
    <row r="63" spans="1:60" x14ac:dyDescent="0.3">
      <c r="A63" s="90" t="str">
        <f t="shared" si="53"/>
        <v>50-54</v>
      </c>
      <c r="B63" s="188">
        <f t="shared" si="54"/>
        <v>185.40604857322711</v>
      </c>
      <c r="C63" s="188">
        <f t="shared" si="54"/>
        <v>192.72292557560411</v>
      </c>
      <c r="D63" s="188">
        <f t="shared" si="54"/>
        <v>162.16719193834749</v>
      </c>
      <c r="E63" s="188">
        <f t="shared" si="54"/>
        <v>133.41410305220273</v>
      </c>
      <c r="F63" s="188">
        <f t="shared" si="54"/>
        <v>106.3528116102037</v>
      </c>
      <c r="G63" s="187"/>
      <c r="H63" s="188">
        <f t="shared" si="55"/>
        <v>66.691082872087563</v>
      </c>
      <c r="I63" s="188">
        <f t="shared" si="55"/>
        <v>69.308339401755902</v>
      </c>
      <c r="J63" s="188">
        <f t="shared" si="55"/>
        <v>58.294203339386414</v>
      </c>
      <c r="K63" s="188">
        <f t="shared" si="55"/>
        <v>47.904759864066669</v>
      </c>
      <c r="L63" s="188">
        <f t="shared" si="55"/>
        <v>38.151642732729172</v>
      </c>
      <c r="M63" s="187"/>
      <c r="N63" s="188">
        <f t="shared" si="56"/>
        <v>118.71496570113956</v>
      </c>
      <c r="O63" s="188">
        <f t="shared" si="56"/>
        <v>123.41458617384822</v>
      </c>
      <c r="P63" s="188">
        <f t="shared" si="56"/>
        <v>103.87298859896106</v>
      </c>
      <c r="Q63" s="188">
        <f t="shared" si="56"/>
        <v>85.509343188136071</v>
      </c>
      <c r="R63" s="188">
        <f t="shared" si="56"/>
        <v>68.201168877474544</v>
      </c>
      <c r="S63" s="187"/>
      <c r="T63" s="188">
        <f t="shared" si="57"/>
        <v>0</v>
      </c>
      <c r="U63" s="188">
        <f t="shared" si="57"/>
        <v>0</v>
      </c>
      <c r="V63" s="188">
        <f t="shared" si="57"/>
        <v>0</v>
      </c>
      <c r="W63" s="188">
        <f t="shared" si="57"/>
        <v>0</v>
      </c>
      <c r="X63" s="188">
        <f t="shared" si="57"/>
        <v>0</v>
      </c>
      <c r="Y63" s="90" t="str">
        <f t="shared" si="58"/>
        <v>50-54</v>
      </c>
      <c r="Z63" s="188">
        <f t="shared" si="59"/>
        <v>200.15705088001573</v>
      </c>
      <c r="AA63" s="188">
        <f t="shared" si="59"/>
        <v>218.54573674510601</v>
      </c>
      <c r="AB63" s="188">
        <f t="shared" si="59"/>
        <v>239.21960647496348</v>
      </c>
      <c r="AC63" s="188">
        <f t="shared" si="59"/>
        <v>257.81605841504751</v>
      </c>
      <c r="AD63" s="188">
        <f t="shared" si="59"/>
        <v>271.65581059286012</v>
      </c>
      <c r="AE63" s="187"/>
      <c r="AF63" s="188">
        <f t="shared" si="60"/>
        <v>190.04078964826027</v>
      </c>
      <c r="AG63" s="188">
        <f t="shared" si="60"/>
        <v>207.46488432579588</v>
      </c>
      <c r="AH63" s="188">
        <f t="shared" si="60"/>
        <v>227.09664617165495</v>
      </c>
      <c r="AI63" s="188">
        <f t="shared" si="60"/>
        <v>244.71475666454</v>
      </c>
      <c r="AJ63" s="188">
        <f t="shared" si="60"/>
        <v>257.79476785525156</v>
      </c>
      <c r="AK63" s="187"/>
      <c r="AL63" s="188">
        <f t="shared" si="61"/>
        <v>10.116261231755457</v>
      </c>
      <c r="AM63" s="188">
        <f t="shared" si="61"/>
        <v>11.080852419310158</v>
      </c>
      <c r="AN63" s="188">
        <f t="shared" si="61"/>
        <v>12.122960303308531</v>
      </c>
      <c r="AO63" s="188">
        <f t="shared" si="61"/>
        <v>13.101301750507519</v>
      </c>
      <c r="AP63" s="188">
        <f t="shared" si="61"/>
        <v>13.861042737608585</v>
      </c>
      <c r="AQ63" s="90" t="str">
        <f t="shared" si="62"/>
        <v>50-54</v>
      </c>
      <c r="AR63" s="188">
        <f t="shared" si="63"/>
        <v>172.51190054675715</v>
      </c>
      <c r="AS63" s="188">
        <f t="shared" si="63"/>
        <v>201.44733767928977</v>
      </c>
      <c r="AT63" s="188">
        <f t="shared" si="63"/>
        <v>243.89220158668905</v>
      </c>
      <c r="AU63" s="188">
        <f t="shared" si="63"/>
        <v>263.09583853274978</v>
      </c>
      <c r="AV63" s="188">
        <f t="shared" si="63"/>
        <v>278.2843777969361</v>
      </c>
      <c r="AW63" s="187"/>
      <c r="AX63" s="188">
        <f t="shared" si="64"/>
        <v>168.88787751101148</v>
      </c>
      <c r="AY63" s="188">
        <f t="shared" si="64"/>
        <v>197.35794837642953</v>
      </c>
      <c r="AZ63" s="188">
        <f t="shared" si="64"/>
        <v>238.9340888070729</v>
      </c>
      <c r="BA63" s="188">
        <f t="shared" si="64"/>
        <v>257.81671276903228</v>
      </c>
      <c r="BB63" s="188">
        <f t="shared" si="64"/>
        <v>272.79729732120262</v>
      </c>
      <c r="BC63" s="187"/>
      <c r="BD63" s="188">
        <f t="shared" si="65"/>
        <v>3.6240230357456578</v>
      </c>
      <c r="BE63" s="188">
        <f t="shared" si="65"/>
        <v>4.0893893028602495</v>
      </c>
      <c r="BF63" s="188">
        <f t="shared" si="65"/>
        <v>4.958112779616183</v>
      </c>
      <c r="BG63" s="188">
        <f t="shared" si="65"/>
        <v>5.2791257637175608</v>
      </c>
      <c r="BH63" s="188">
        <f t="shared" si="65"/>
        <v>5.4870804757334763</v>
      </c>
    </row>
    <row r="64" spans="1:60" x14ac:dyDescent="0.3">
      <c r="A64" s="90" t="str">
        <f t="shared" si="53"/>
        <v>55-59</v>
      </c>
      <c r="B64" s="188">
        <f t="shared" si="54"/>
        <v>118.1352024705036</v>
      </c>
      <c r="C64" s="188">
        <f t="shared" si="54"/>
        <v>125.51688761373863</v>
      </c>
      <c r="D64" s="188">
        <f t="shared" si="54"/>
        <v>135.69347634171973</v>
      </c>
      <c r="E64" s="188">
        <f t="shared" si="54"/>
        <v>127.61999627132217</v>
      </c>
      <c r="F64" s="188">
        <f t="shared" si="54"/>
        <v>103.83680807778796</v>
      </c>
      <c r="G64" s="187"/>
      <c r="H64" s="188">
        <f t="shared" si="55"/>
        <v>47.020085047969616</v>
      </c>
      <c r="I64" s="188">
        <f t="shared" si="55"/>
        <v>49.942017947737568</v>
      </c>
      <c r="J64" s="188">
        <f t="shared" si="55"/>
        <v>53.996980542501134</v>
      </c>
      <c r="K64" s="188">
        <f t="shared" si="55"/>
        <v>50.765369807184982</v>
      </c>
      <c r="L64" s="188">
        <f t="shared" si="55"/>
        <v>41.29898124275995</v>
      </c>
      <c r="M64" s="187"/>
      <c r="N64" s="188">
        <f t="shared" si="56"/>
        <v>71.115117422534013</v>
      </c>
      <c r="O64" s="188">
        <f t="shared" si="56"/>
        <v>75.574869666001078</v>
      </c>
      <c r="P64" s="188">
        <f t="shared" si="56"/>
        <v>81.696495799218582</v>
      </c>
      <c r="Q64" s="188">
        <f t="shared" si="56"/>
        <v>76.854626464137169</v>
      </c>
      <c r="R64" s="188">
        <f t="shared" si="56"/>
        <v>62.537826835028014</v>
      </c>
      <c r="S64" s="187"/>
      <c r="T64" s="188">
        <f t="shared" si="57"/>
        <v>0</v>
      </c>
      <c r="U64" s="188">
        <f t="shared" si="57"/>
        <v>0</v>
      </c>
      <c r="V64" s="188">
        <f t="shared" si="57"/>
        <v>0</v>
      </c>
      <c r="W64" s="188">
        <f t="shared" si="57"/>
        <v>0</v>
      </c>
      <c r="X64" s="188">
        <f t="shared" si="57"/>
        <v>0</v>
      </c>
      <c r="Y64" s="90" t="str">
        <f t="shared" si="58"/>
        <v>55-59</v>
      </c>
      <c r="Z64" s="188">
        <f t="shared" si="59"/>
        <v>122.81319674265731</v>
      </c>
      <c r="AA64" s="188">
        <f t="shared" si="59"/>
        <v>127.76576484388534</v>
      </c>
      <c r="AB64" s="188">
        <f t="shared" si="59"/>
        <v>167.56934646025536</v>
      </c>
      <c r="AC64" s="188">
        <f t="shared" si="59"/>
        <v>201.55893986495374</v>
      </c>
      <c r="AD64" s="188">
        <f t="shared" si="59"/>
        <v>218.03560485524812</v>
      </c>
      <c r="AE64" s="187"/>
      <c r="AF64" s="188">
        <f t="shared" si="60"/>
        <v>115.33146461461402</v>
      </c>
      <c r="AG64" s="188">
        <f t="shared" si="60"/>
        <v>119.93869463814224</v>
      </c>
      <c r="AH64" s="188">
        <f t="shared" si="60"/>
        <v>157.20305952301629</v>
      </c>
      <c r="AI64" s="188">
        <f t="shared" si="60"/>
        <v>189.09467188304029</v>
      </c>
      <c r="AJ64" s="188">
        <f t="shared" si="60"/>
        <v>204.52603798057652</v>
      </c>
      <c r="AK64" s="187"/>
      <c r="AL64" s="188">
        <f t="shared" si="61"/>
        <v>7.4817321280432685</v>
      </c>
      <c r="AM64" s="188">
        <f t="shared" si="61"/>
        <v>7.8270702057431016</v>
      </c>
      <c r="AN64" s="188">
        <f t="shared" si="61"/>
        <v>10.366286937239055</v>
      </c>
      <c r="AO64" s="188">
        <f t="shared" si="61"/>
        <v>12.464267981913423</v>
      </c>
      <c r="AP64" s="188">
        <f t="shared" si="61"/>
        <v>13.509566874671609</v>
      </c>
      <c r="AQ64" s="90" t="str">
        <f t="shared" si="62"/>
        <v>55-59</v>
      </c>
      <c r="AR64" s="188">
        <f t="shared" si="63"/>
        <v>115.94160078683907</v>
      </c>
      <c r="AS64" s="188">
        <f t="shared" si="63"/>
        <v>135.51634754237602</v>
      </c>
      <c r="AT64" s="188">
        <f t="shared" si="63"/>
        <v>177.65217719802493</v>
      </c>
      <c r="AU64" s="188">
        <f t="shared" si="63"/>
        <v>208.31606386372408</v>
      </c>
      <c r="AV64" s="188">
        <f t="shared" si="63"/>
        <v>226.8625870669639</v>
      </c>
      <c r="AW64" s="187"/>
      <c r="AX64" s="188">
        <f t="shared" si="64"/>
        <v>112.73432150536409</v>
      </c>
      <c r="AY64" s="188">
        <f t="shared" si="64"/>
        <v>131.84828185573497</v>
      </c>
      <c r="AZ64" s="188">
        <f t="shared" si="64"/>
        <v>173.0031356627903</v>
      </c>
      <c r="BA64" s="188">
        <f t="shared" si="64"/>
        <v>202.93168009516813</v>
      </c>
      <c r="BB64" s="188">
        <f t="shared" si="64"/>
        <v>221.04132666504691</v>
      </c>
      <c r="BC64" s="187"/>
      <c r="BD64" s="188">
        <f t="shared" si="65"/>
        <v>3.2072792814749906</v>
      </c>
      <c r="BE64" s="188">
        <f t="shared" si="65"/>
        <v>3.6680656866410524</v>
      </c>
      <c r="BF64" s="188">
        <f t="shared" si="65"/>
        <v>4.6490415352346357</v>
      </c>
      <c r="BG64" s="188">
        <f t="shared" si="65"/>
        <v>5.3843837685559581</v>
      </c>
      <c r="BH64" s="188">
        <f t="shared" si="65"/>
        <v>5.8212604019169705</v>
      </c>
    </row>
    <row r="65" spans="1:60" x14ac:dyDescent="0.3">
      <c r="A65" s="90" t="str">
        <f t="shared" si="53"/>
        <v>60-64</v>
      </c>
      <c r="B65" s="188">
        <f t="shared" si="54"/>
        <v>35.823218463615042</v>
      </c>
      <c r="C65" s="188">
        <f t="shared" si="54"/>
        <v>44.494263253571226</v>
      </c>
      <c r="D65" s="188">
        <f t="shared" si="54"/>
        <v>41.613632960941956</v>
      </c>
      <c r="E65" s="188">
        <f t="shared" si="54"/>
        <v>40.934965671055551</v>
      </c>
      <c r="F65" s="188">
        <f t="shared" si="54"/>
        <v>35.667541570413341</v>
      </c>
      <c r="G65" s="187"/>
      <c r="H65" s="188">
        <f t="shared" si="55"/>
        <v>16.931856207862616</v>
      </c>
      <c r="I65" s="188">
        <f t="shared" si="55"/>
        <v>21.062717164219428</v>
      </c>
      <c r="J65" s="188">
        <f t="shared" si="55"/>
        <v>19.717624343517112</v>
      </c>
      <c r="K65" s="188">
        <f t="shared" si="55"/>
        <v>19.381394399502241</v>
      </c>
      <c r="L65" s="188">
        <f t="shared" si="55"/>
        <v>16.879614538550584</v>
      </c>
      <c r="M65" s="187"/>
      <c r="N65" s="188">
        <f t="shared" si="56"/>
        <v>18.891362255752426</v>
      </c>
      <c r="O65" s="188">
        <f t="shared" si="56"/>
        <v>23.431546089351805</v>
      </c>
      <c r="P65" s="188">
        <f t="shared" si="56"/>
        <v>21.89600861742484</v>
      </c>
      <c r="Q65" s="188">
        <f t="shared" si="56"/>
        <v>21.553571271553317</v>
      </c>
      <c r="R65" s="188">
        <f t="shared" si="56"/>
        <v>18.787927031862754</v>
      </c>
      <c r="S65" s="187"/>
      <c r="T65" s="188">
        <f t="shared" si="57"/>
        <v>0</v>
      </c>
      <c r="U65" s="188">
        <f t="shared" si="57"/>
        <v>0</v>
      </c>
      <c r="V65" s="188">
        <f t="shared" si="57"/>
        <v>0</v>
      </c>
      <c r="W65" s="188">
        <f t="shared" si="57"/>
        <v>0</v>
      </c>
      <c r="X65" s="188">
        <f t="shared" si="57"/>
        <v>0</v>
      </c>
      <c r="Y65" s="90" t="str">
        <f t="shared" si="58"/>
        <v>60-64</v>
      </c>
      <c r="Z65" s="188">
        <f t="shared" si="59"/>
        <v>31.343339667083313</v>
      </c>
      <c r="AA65" s="188">
        <f t="shared" si="59"/>
        <v>37.400907742954743</v>
      </c>
      <c r="AB65" s="188">
        <f t="shared" si="59"/>
        <v>50.777770478130293</v>
      </c>
      <c r="AC65" s="188">
        <f t="shared" si="59"/>
        <v>66.266094080470012</v>
      </c>
      <c r="AD65" s="188">
        <f t="shared" si="59"/>
        <v>80.260766484007178</v>
      </c>
      <c r="AE65" s="187"/>
      <c r="AF65" s="188">
        <f t="shared" si="60"/>
        <v>29.203027553951088</v>
      </c>
      <c r="AG65" s="188">
        <f t="shared" si="60"/>
        <v>34.871395449563813</v>
      </c>
      <c r="AH65" s="188">
        <f t="shared" si="60"/>
        <v>47.209555911882788</v>
      </c>
      <c r="AI65" s="188">
        <f t="shared" si="60"/>
        <v>61.600974211672487</v>
      </c>
      <c r="AJ65" s="188">
        <f t="shared" si="60"/>
        <v>74.607227360463867</v>
      </c>
      <c r="AK65" s="187"/>
      <c r="AL65" s="188">
        <f t="shared" si="61"/>
        <v>2.1403121131322234</v>
      </c>
      <c r="AM65" s="188">
        <f t="shared" si="61"/>
        <v>2.5295122933909324</v>
      </c>
      <c r="AN65" s="188">
        <f t="shared" si="61"/>
        <v>3.5682145662475118</v>
      </c>
      <c r="AO65" s="188">
        <f t="shared" si="61"/>
        <v>4.6651198687975111</v>
      </c>
      <c r="AP65" s="188">
        <f t="shared" si="61"/>
        <v>5.6535391235433075</v>
      </c>
      <c r="AQ65" s="90" t="str">
        <f t="shared" si="62"/>
        <v>60-64</v>
      </c>
      <c r="AR65" s="188">
        <f t="shared" si="63"/>
        <v>38.517441869301649</v>
      </c>
      <c r="AS65" s="188">
        <f t="shared" si="63"/>
        <v>53.191829003474027</v>
      </c>
      <c r="AT65" s="188">
        <f t="shared" si="63"/>
        <v>71.393596560927747</v>
      </c>
      <c r="AU65" s="188">
        <f t="shared" si="63"/>
        <v>92.303940248474447</v>
      </c>
      <c r="AV65" s="188">
        <f t="shared" si="63"/>
        <v>113.97169194557949</v>
      </c>
      <c r="AW65" s="187"/>
      <c r="AX65" s="188">
        <f t="shared" si="64"/>
        <v>35.940957081944205</v>
      </c>
      <c r="AY65" s="188">
        <f t="shared" si="64"/>
        <v>49.626732053099445</v>
      </c>
      <c r="AZ65" s="188">
        <f t="shared" si="64"/>
        <v>66.596362264723197</v>
      </c>
      <c r="BA65" s="188">
        <f t="shared" si="64"/>
        <v>86.098448390329622</v>
      </c>
      <c r="BB65" s="188">
        <f t="shared" si="64"/>
        <v>106.3052407990122</v>
      </c>
      <c r="BC65" s="187"/>
      <c r="BD65" s="188">
        <f t="shared" si="65"/>
        <v>2.5764847873574377</v>
      </c>
      <c r="BE65" s="188">
        <f t="shared" si="65"/>
        <v>3.5650969503745911</v>
      </c>
      <c r="BF65" s="188">
        <f t="shared" si="65"/>
        <v>4.7972342962045555</v>
      </c>
      <c r="BG65" s="188">
        <f t="shared" si="65"/>
        <v>6.2054918581448213</v>
      </c>
      <c r="BH65" s="188">
        <f t="shared" si="65"/>
        <v>7.6664511465673009</v>
      </c>
    </row>
    <row r="66" spans="1:60" x14ac:dyDescent="0.3">
      <c r="A66" s="90" t="str">
        <f t="shared" si="53"/>
        <v>65+</v>
      </c>
      <c r="B66" s="188">
        <f t="shared" si="54"/>
        <v>11.948741166199174</v>
      </c>
      <c r="C66" s="188">
        <f t="shared" si="54"/>
        <v>16.460486596644937</v>
      </c>
      <c r="D66" s="188">
        <f t="shared" si="54"/>
        <v>15.029015503825972</v>
      </c>
      <c r="E66" s="188">
        <f t="shared" si="54"/>
        <v>11.903183363129848</v>
      </c>
      <c r="F66" s="188">
        <f t="shared" si="54"/>
        <v>9.8474191476518342</v>
      </c>
      <c r="G66" s="187"/>
      <c r="H66" s="188">
        <f t="shared" si="55"/>
        <v>6.3754329809595625</v>
      </c>
      <c r="I66" s="188">
        <f t="shared" si="55"/>
        <v>8.5871560944185141</v>
      </c>
      <c r="J66" s="188">
        <f t="shared" si="55"/>
        <v>7.8803923797716067</v>
      </c>
      <c r="K66" s="188">
        <f t="shared" si="55"/>
        <v>6.2399183159193861</v>
      </c>
      <c r="L66" s="188">
        <f t="shared" si="55"/>
        <v>5.2069403181851044</v>
      </c>
      <c r="M66" s="187"/>
      <c r="N66" s="188">
        <f t="shared" si="56"/>
        <v>5.5733081852396102</v>
      </c>
      <c r="O66" s="188">
        <f t="shared" si="56"/>
        <v>7.8733305022264224</v>
      </c>
      <c r="P66" s="188">
        <f t="shared" si="56"/>
        <v>7.1486231240543656</v>
      </c>
      <c r="Q66" s="188">
        <f t="shared" si="56"/>
        <v>5.6632650472104613</v>
      </c>
      <c r="R66" s="188">
        <f t="shared" si="56"/>
        <v>4.6404788294667298</v>
      </c>
      <c r="S66" s="187"/>
      <c r="T66" s="188">
        <f t="shared" si="57"/>
        <v>0</v>
      </c>
      <c r="U66" s="188">
        <f t="shared" si="57"/>
        <v>0</v>
      </c>
      <c r="V66" s="188">
        <f t="shared" si="57"/>
        <v>0</v>
      </c>
      <c r="W66" s="188">
        <f t="shared" si="57"/>
        <v>0</v>
      </c>
      <c r="X66" s="188">
        <f t="shared" si="57"/>
        <v>0</v>
      </c>
      <c r="Y66" s="90" t="str">
        <f t="shared" si="58"/>
        <v>65+</v>
      </c>
      <c r="Z66" s="188">
        <f t="shared" si="59"/>
        <v>7.8240804156386137</v>
      </c>
      <c r="AA66" s="188">
        <f t="shared" si="59"/>
        <v>9.9119242988728669</v>
      </c>
      <c r="AB66" s="188">
        <f t="shared" si="59"/>
        <v>11.008756624618567</v>
      </c>
      <c r="AC66" s="188">
        <f t="shared" si="59"/>
        <v>12.01446121472337</v>
      </c>
      <c r="AD66" s="188">
        <f t="shared" si="59"/>
        <v>13.854293318978709</v>
      </c>
      <c r="AE66" s="187"/>
      <c r="AF66" s="188">
        <f t="shared" si="60"/>
        <v>6.9255035254653912</v>
      </c>
      <c r="AG66" s="188">
        <f t="shared" si="60"/>
        <v>8.7952137061175186</v>
      </c>
      <c r="AH66" s="188">
        <f t="shared" si="60"/>
        <v>9.7331452985061144</v>
      </c>
      <c r="AI66" s="188">
        <f t="shared" si="60"/>
        <v>10.624866696548906</v>
      </c>
      <c r="AJ66" s="188">
        <f t="shared" si="60"/>
        <v>12.275904221835862</v>
      </c>
      <c r="AK66" s="187"/>
      <c r="AL66" s="188">
        <f t="shared" si="61"/>
        <v>0.89857689017322329</v>
      </c>
      <c r="AM66" s="188">
        <f t="shared" si="61"/>
        <v>1.1167105927553487</v>
      </c>
      <c r="AN66" s="188">
        <f t="shared" si="61"/>
        <v>1.2756113261124509</v>
      </c>
      <c r="AO66" s="188">
        <f t="shared" si="61"/>
        <v>1.389594518174466</v>
      </c>
      <c r="AP66" s="188">
        <f t="shared" si="61"/>
        <v>1.5783890971428471</v>
      </c>
      <c r="AQ66" s="90" t="str">
        <f t="shared" si="62"/>
        <v>65+</v>
      </c>
      <c r="AR66" s="188">
        <f t="shared" si="63"/>
        <v>12.792178418162218</v>
      </c>
      <c r="AS66" s="188">
        <f t="shared" si="63"/>
        <v>12.19158910448219</v>
      </c>
      <c r="AT66" s="188">
        <f t="shared" si="63"/>
        <v>19.366227871555463</v>
      </c>
      <c r="AU66" s="188">
        <f t="shared" si="63"/>
        <v>23.78335542214678</v>
      </c>
      <c r="AV66" s="188">
        <f t="shared" si="63"/>
        <v>30.011287533369462</v>
      </c>
      <c r="AW66" s="187"/>
      <c r="AX66" s="188">
        <f t="shared" si="64"/>
        <v>12.010493229987055</v>
      </c>
      <c r="AY66" s="188">
        <f t="shared" si="64"/>
        <v>11.529560727743291</v>
      </c>
      <c r="AZ66" s="188">
        <f t="shared" si="64"/>
        <v>18.211272058470012</v>
      </c>
      <c r="BA66" s="188">
        <f t="shared" si="64"/>
        <v>22.381962071636803</v>
      </c>
      <c r="BB66" s="188">
        <f t="shared" si="64"/>
        <v>28.299382615392936</v>
      </c>
      <c r="BC66" s="187"/>
      <c r="BD66" s="188">
        <f t="shared" si="65"/>
        <v>0.78168518817516097</v>
      </c>
      <c r="BE66" s="188">
        <f t="shared" si="65"/>
        <v>0.66202837673890058</v>
      </c>
      <c r="BF66" s="188">
        <f t="shared" si="65"/>
        <v>1.1549558130854503</v>
      </c>
      <c r="BG66" s="188">
        <f t="shared" si="65"/>
        <v>1.4013933505099772</v>
      </c>
      <c r="BH66" s="188">
        <f t="shared" si="65"/>
        <v>1.7119049179765302</v>
      </c>
    </row>
    <row r="67" spans="1:60" x14ac:dyDescent="0.3">
      <c r="B67" s="188"/>
      <c r="C67" s="188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93"/>
      <c r="U67" s="93"/>
      <c r="V67" s="93"/>
      <c r="W67" s="93"/>
      <c r="X67" s="93"/>
      <c r="Z67" s="188"/>
      <c r="AA67" s="188"/>
      <c r="AB67" s="187"/>
      <c r="AC67" s="187"/>
      <c r="AD67" s="187"/>
      <c r="AE67" s="187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R67" s="188"/>
      <c r="AS67" s="188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</row>
    <row r="68" spans="1:60" x14ac:dyDescent="0.3">
      <c r="A68" s="113" t="str">
        <f>A20</f>
        <v>Males</v>
      </c>
      <c r="B68" s="93"/>
      <c r="C68" s="93"/>
      <c r="D68" s="93"/>
      <c r="E68" s="93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93"/>
      <c r="U68" s="93"/>
      <c r="V68" s="93"/>
      <c r="W68" s="93"/>
      <c r="X68" s="93"/>
      <c r="Y68" s="113" t="str">
        <f>Y20</f>
        <v>Males</v>
      </c>
      <c r="Z68" s="93"/>
      <c r="AA68" s="93"/>
      <c r="AB68" s="93"/>
      <c r="AC68" s="93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13" t="str">
        <f>AQ20</f>
        <v>Males</v>
      </c>
      <c r="AR68" s="93"/>
      <c r="AS68" s="93"/>
      <c r="AT68" s="93"/>
      <c r="AU68" s="93"/>
      <c r="AV68" s="188"/>
      <c r="AW68" s="188"/>
      <c r="AX68" s="188"/>
      <c r="AY68" s="188"/>
      <c r="AZ68" s="188"/>
      <c r="BA68" s="188"/>
      <c r="BB68" s="188"/>
      <c r="BC68" s="188"/>
      <c r="BD68" s="188"/>
      <c r="BE68" s="188"/>
      <c r="BF68" s="188"/>
      <c r="BG68" s="188"/>
      <c r="BH68" s="188"/>
    </row>
    <row r="69" spans="1:60" x14ac:dyDescent="0.3">
      <c r="A69" s="90" t="str">
        <f>A21</f>
        <v>15+</v>
      </c>
      <c r="B69" s="188">
        <f>SUM(B70:B80)</f>
        <v>668.34829787442732</v>
      </c>
      <c r="C69" s="188">
        <f t="shared" ref="C69:F69" si="66">SUM(C70:C80)</f>
        <v>679.97434318708918</v>
      </c>
      <c r="D69" s="188">
        <f t="shared" si="66"/>
        <v>576.0987188576471</v>
      </c>
      <c r="E69" s="188">
        <f t="shared" si="66"/>
        <v>506.60924483387572</v>
      </c>
      <c r="F69" s="188">
        <f t="shared" si="66"/>
        <v>424.17079532170612</v>
      </c>
      <c r="G69" s="188"/>
      <c r="H69" s="188">
        <f>SUM(H70:H80)</f>
        <v>216.57689663424574</v>
      </c>
      <c r="I69" s="188">
        <f t="shared" ref="I69:L69" si="67">SUM(I70:I80)</f>
        <v>222.01749682244036</v>
      </c>
      <c r="J69" s="188">
        <f t="shared" si="67"/>
        <v>189.97263257060061</v>
      </c>
      <c r="K69" s="188">
        <f t="shared" si="67"/>
        <v>168.03119397716577</v>
      </c>
      <c r="L69" s="188">
        <f t="shared" si="67"/>
        <v>140.23377379308036</v>
      </c>
      <c r="M69" s="188"/>
      <c r="N69" s="188">
        <f>SUM(N70:N80)</f>
        <v>451.77140124018155</v>
      </c>
      <c r="O69" s="188">
        <f t="shared" ref="O69:R69" si="68">SUM(O70:O80)</f>
        <v>457.95684636464887</v>
      </c>
      <c r="P69" s="188">
        <f t="shared" si="68"/>
        <v>386.12608628704652</v>
      </c>
      <c r="Q69" s="188">
        <f t="shared" si="68"/>
        <v>338.57805085670992</v>
      </c>
      <c r="R69" s="188">
        <f t="shared" si="68"/>
        <v>283.93702152862579</v>
      </c>
      <c r="S69" s="188"/>
      <c r="T69" s="188">
        <f>SUM(T70:T80)</f>
        <v>0</v>
      </c>
      <c r="U69" s="188">
        <f t="shared" ref="U69:X69" si="69">SUM(U70:U80)</f>
        <v>0</v>
      </c>
      <c r="V69" s="188">
        <f t="shared" si="69"/>
        <v>0</v>
      </c>
      <c r="W69" s="188">
        <f t="shared" si="69"/>
        <v>0</v>
      </c>
      <c r="X69" s="188">
        <f t="shared" si="69"/>
        <v>0</v>
      </c>
      <c r="Y69" s="90" t="str">
        <f>Y21</f>
        <v>15+</v>
      </c>
      <c r="Z69" s="188">
        <f>SUM(Z70:Z80)</f>
        <v>1110.8221091376672</v>
      </c>
      <c r="AA69" s="188">
        <f t="shared" ref="AA69:AD69" si="70">SUM(AA70:AA80)</f>
        <v>1081.2462760791657</v>
      </c>
      <c r="AB69" s="188">
        <f t="shared" si="70"/>
        <v>1129.3696341240161</v>
      </c>
      <c r="AC69" s="188">
        <f t="shared" si="70"/>
        <v>1196.947412591609</v>
      </c>
      <c r="AD69" s="188">
        <f t="shared" si="70"/>
        <v>1263.8735341848089</v>
      </c>
      <c r="AE69" s="188"/>
      <c r="AF69" s="188">
        <f>SUM(AF70:AF80)</f>
        <v>1048.6925402059803</v>
      </c>
      <c r="AG69" s="188">
        <f t="shared" ref="AG69:AJ69" si="71">SUM(AG70:AG80)</f>
        <v>1020.9879008290815</v>
      </c>
      <c r="AH69" s="188">
        <f t="shared" si="71"/>
        <v>1066.4680897558023</v>
      </c>
      <c r="AI69" s="188">
        <f t="shared" si="71"/>
        <v>1130.4132844970143</v>
      </c>
      <c r="AJ69" s="188">
        <f t="shared" si="71"/>
        <v>1193.6123831216405</v>
      </c>
      <c r="AK69" s="188"/>
      <c r="AL69" s="188">
        <f>SUM(AL70:AL80)</f>
        <v>62.12956893168694</v>
      </c>
      <c r="AM69" s="188">
        <f t="shared" ref="AM69:AP69" si="72">SUM(AM70:AM80)</f>
        <v>60.258375250084285</v>
      </c>
      <c r="AN69" s="188">
        <f t="shared" si="72"/>
        <v>62.90154436821414</v>
      </c>
      <c r="AO69" s="188">
        <f t="shared" si="72"/>
        <v>66.534128094594536</v>
      </c>
      <c r="AP69" s="188">
        <f t="shared" si="72"/>
        <v>70.261151063168086</v>
      </c>
      <c r="AQ69" s="90" t="str">
        <f>AQ21</f>
        <v>15+</v>
      </c>
      <c r="AR69" s="188">
        <f>SUM(AR70:AR80)</f>
        <v>858.87759298790547</v>
      </c>
      <c r="AS69" s="188">
        <f t="shared" ref="AS69:AV69" si="73">SUM(AS70:AS80)</f>
        <v>924.03238073374484</v>
      </c>
      <c r="AT69" s="188">
        <f t="shared" si="73"/>
        <v>1006.6636470183364</v>
      </c>
      <c r="AU69" s="188">
        <f t="shared" si="73"/>
        <v>1087.2593425745151</v>
      </c>
      <c r="AV69" s="188">
        <f t="shared" si="73"/>
        <v>1172.5296704934854</v>
      </c>
      <c r="AW69" s="188"/>
      <c r="AX69" s="188">
        <f>SUM(AX70:AX80)</f>
        <v>837.25747303433036</v>
      </c>
      <c r="AY69" s="188">
        <f t="shared" ref="AY69:BB69" si="74">SUM(AY70:AY80)</f>
        <v>900.46119959493876</v>
      </c>
      <c r="AZ69" s="188">
        <f t="shared" si="74"/>
        <v>980.19920817165428</v>
      </c>
      <c r="BA69" s="188">
        <f t="shared" si="74"/>
        <v>1058.1193206787443</v>
      </c>
      <c r="BB69" s="188">
        <f t="shared" si="74"/>
        <v>1140.618907885826</v>
      </c>
      <c r="BC69" s="188"/>
      <c r="BD69" s="188">
        <f>SUM(BD70:BD80)</f>
        <v>21.620119953575205</v>
      </c>
      <c r="BE69" s="188">
        <f t="shared" ref="BE69:BH69" si="75">SUM(BE70:BE80)</f>
        <v>23.571181138806118</v>
      </c>
      <c r="BF69" s="188">
        <f t="shared" si="75"/>
        <v>26.464438846682153</v>
      </c>
      <c r="BG69" s="188">
        <f t="shared" si="75"/>
        <v>29.140021895771127</v>
      </c>
      <c r="BH69" s="188">
        <f t="shared" si="75"/>
        <v>31.910762607659223</v>
      </c>
    </row>
    <row r="70" spans="1:60" x14ac:dyDescent="0.3">
      <c r="A70" s="90" t="str">
        <f t="shared" ref="A70:A80" si="76">A22</f>
        <v>15-19</v>
      </c>
      <c r="B70" s="188">
        <v>21.970306906103936</v>
      </c>
      <c r="C70" s="188">
        <v>20.026076119996116</v>
      </c>
      <c r="D70" s="188">
        <v>15.121179094017016</v>
      </c>
      <c r="E70" s="188">
        <v>17.089485140563891</v>
      </c>
      <c r="F70" s="187">
        <v>20.063648634933156</v>
      </c>
      <c r="G70" s="188"/>
      <c r="H70" s="188">
        <v>5.926181505924986</v>
      </c>
      <c r="I70" s="188">
        <v>5.4017609070647374</v>
      </c>
      <c r="J70" s="188">
        <v>4.0787280675207782</v>
      </c>
      <c r="K70" s="188">
        <v>4.6096697076419106</v>
      </c>
      <c r="L70" s="187">
        <v>5.4118921208641293</v>
      </c>
      <c r="M70" s="188"/>
      <c r="N70" s="188">
        <v>16.044125400178949</v>
      </c>
      <c r="O70" s="188">
        <v>14.624315212931378</v>
      </c>
      <c r="P70" s="188">
        <v>11.04245102649624</v>
      </c>
      <c r="Q70" s="188">
        <v>12.479815432921979</v>
      </c>
      <c r="R70" s="187">
        <v>14.651756514069028</v>
      </c>
      <c r="S70" s="188"/>
      <c r="T70" s="188">
        <v>0</v>
      </c>
      <c r="U70" s="188">
        <v>0</v>
      </c>
      <c r="V70" s="188">
        <v>0</v>
      </c>
      <c r="W70" s="188">
        <v>0</v>
      </c>
      <c r="X70" s="187">
        <v>0</v>
      </c>
      <c r="Y70" s="90" t="str">
        <f t="shared" ref="Y70:Y80" si="77">Y22</f>
        <v>15-19</v>
      </c>
      <c r="Z70" s="188">
        <v>17.840683082880268</v>
      </c>
      <c r="AA70" s="188">
        <v>14.680133047335039</v>
      </c>
      <c r="AB70" s="188">
        <v>13.72560965822832</v>
      </c>
      <c r="AC70" s="188">
        <v>15.436484788467865</v>
      </c>
      <c r="AD70" s="187">
        <v>18.541508530812692</v>
      </c>
      <c r="AE70" s="188"/>
      <c r="AF70" s="188">
        <v>16.8611671563519</v>
      </c>
      <c r="AG70" s="188">
        <v>13.874168165612016</v>
      </c>
      <c r="AH70" s="188">
        <v>12.972040867641711</v>
      </c>
      <c r="AI70" s="188">
        <v>14.588974970800006</v>
      </c>
      <c r="AJ70" s="187">
        <v>17.523528875034817</v>
      </c>
      <c r="AK70" s="188"/>
      <c r="AL70" s="188">
        <v>0.9795159265283645</v>
      </c>
      <c r="AM70" s="188">
        <v>0.80596488172302239</v>
      </c>
      <c r="AN70" s="188">
        <v>0.75356879058660964</v>
      </c>
      <c r="AO70" s="188">
        <v>0.84750981766786149</v>
      </c>
      <c r="AP70" s="187">
        <v>1.0179796557778724</v>
      </c>
      <c r="AQ70" s="90" t="str">
        <f t="shared" ref="AQ70:AQ80" si="78">AQ22</f>
        <v>15-19</v>
      </c>
      <c r="AR70" s="188">
        <v>0.10001001101580378</v>
      </c>
      <c r="AS70" s="188">
        <v>0.10679083266884004</v>
      </c>
      <c r="AT70" s="188">
        <v>1.2112477546660798E-3</v>
      </c>
      <c r="AU70" s="188">
        <v>6.0300709682370914E-3</v>
      </c>
      <c r="AV70" s="187">
        <v>1.0842834254153347E-2</v>
      </c>
      <c r="AW70" s="188"/>
      <c r="AX70" s="188">
        <v>6.6192985196819223E-2</v>
      </c>
      <c r="AY70" s="188">
        <v>7.0679138418197798E-2</v>
      </c>
      <c r="AZ70" s="188">
        <v>8.014133599071727E-4</v>
      </c>
      <c r="BA70" s="188">
        <v>3.9895924082780755E-3</v>
      </c>
      <c r="BB70" s="187">
        <v>7.1745268353603188E-3</v>
      </c>
      <c r="BC70" s="188"/>
      <c r="BD70" s="188">
        <v>3.3817025818984561E-2</v>
      </c>
      <c r="BE70" s="188">
        <v>3.6111694250642229E-2</v>
      </c>
      <c r="BF70" s="188">
        <v>4.0983439475890718E-4</v>
      </c>
      <c r="BG70" s="188">
        <v>2.0404785599590159E-3</v>
      </c>
      <c r="BH70" s="187">
        <v>3.6683074187930289E-3</v>
      </c>
    </row>
    <row r="71" spans="1:60" x14ac:dyDescent="0.3">
      <c r="A71" s="90" t="str">
        <f t="shared" si="76"/>
        <v>20-24</v>
      </c>
      <c r="B71" s="188">
        <v>42.835372944962316</v>
      </c>
      <c r="C71" s="188">
        <v>48.066292311616593</v>
      </c>
      <c r="D71" s="188">
        <v>41.397068793006476</v>
      </c>
      <c r="E71" s="188">
        <v>35.270255608267561</v>
      </c>
      <c r="F71" s="187">
        <v>32.498817128536295</v>
      </c>
      <c r="G71" s="188"/>
      <c r="H71" s="188">
        <v>9.7684866793085128</v>
      </c>
      <c r="I71" s="188">
        <v>10.961327650529908</v>
      </c>
      <c r="J71" s="188">
        <v>9.4404947503411645</v>
      </c>
      <c r="K71" s="188">
        <v>8.0432844087857056</v>
      </c>
      <c r="L71" s="187">
        <v>7.4112487352797149</v>
      </c>
      <c r="M71" s="188"/>
      <c r="N71" s="188">
        <v>33.0668862656538</v>
      </c>
      <c r="O71" s="188">
        <v>37.104964661086683</v>
      </c>
      <c r="P71" s="188">
        <v>31.956574042665309</v>
      </c>
      <c r="Q71" s="188">
        <v>27.226971199481849</v>
      </c>
      <c r="R71" s="187">
        <v>25.087568393256582</v>
      </c>
      <c r="S71" s="188"/>
      <c r="T71" s="188">
        <v>0</v>
      </c>
      <c r="U71" s="188">
        <v>0</v>
      </c>
      <c r="V71" s="188">
        <v>0</v>
      </c>
      <c r="W71" s="188">
        <v>0</v>
      </c>
      <c r="X71" s="187">
        <v>0</v>
      </c>
      <c r="Y71" s="90" t="str">
        <f t="shared" si="77"/>
        <v>20-24</v>
      </c>
      <c r="Z71" s="188">
        <v>117.60066097337621</v>
      </c>
      <c r="AA71" s="188">
        <v>116.00972577437592</v>
      </c>
      <c r="AB71" s="188">
        <v>117.37387172072432</v>
      </c>
      <c r="AC71" s="188">
        <v>109.8328571099937</v>
      </c>
      <c r="AD71" s="187">
        <v>112.18324785696579</v>
      </c>
      <c r="AE71" s="188"/>
      <c r="AF71" s="188">
        <v>109.40519835653062</v>
      </c>
      <c r="AG71" s="188">
        <v>107.92518380300695</v>
      </c>
      <c r="AH71" s="188">
        <v>109.19423291573709</v>
      </c>
      <c r="AI71" s="188">
        <v>102.17877037651678</v>
      </c>
      <c r="AJ71" s="187">
        <v>104.36530258032673</v>
      </c>
      <c r="AK71" s="188"/>
      <c r="AL71" s="188">
        <v>8.1954626168455889</v>
      </c>
      <c r="AM71" s="188">
        <v>8.0845419713689743</v>
      </c>
      <c r="AN71" s="188">
        <v>8.1796388049872402</v>
      </c>
      <c r="AO71" s="188">
        <v>7.6540867334769196</v>
      </c>
      <c r="AP71" s="187">
        <v>7.8179452766390698</v>
      </c>
      <c r="AQ71" s="90" t="str">
        <f t="shared" si="78"/>
        <v>20-24</v>
      </c>
      <c r="AR71" s="188">
        <v>35.953966081661484</v>
      </c>
      <c r="AS71" s="188">
        <v>35.412981914007489</v>
      </c>
      <c r="AT71" s="188">
        <v>39.05605948626922</v>
      </c>
      <c r="AU71" s="188">
        <v>40.227887281738759</v>
      </c>
      <c r="AV71" s="187">
        <v>45.244935014497926</v>
      </c>
      <c r="AW71" s="188"/>
      <c r="AX71" s="188">
        <v>35.894388197223741</v>
      </c>
      <c r="AY71" s="188">
        <v>35.354282498596831</v>
      </c>
      <c r="AZ71" s="188">
        <v>38.991316542918099</v>
      </c>
      <c r="BA71" s="188">
        <v>40.161217830179162</v>
      </c>
      <c r="BB71" s="187">
        <v>45.169897221289091</v>
      </c>
      <c r="BC71" s="188"/>
      <c r="BD71" s="188">
        <v>5.9577884437741695E-2</v>
      </c>
      <c r="BE71" s="188">
        <v>5.8699415410650713E-2</v>
      </c>
      <c r="BF71" s="188">
        <v>6.4742943351118576E-2</v>
      </c>
      <c r="BG71" s="188">
        <v>6.6669451559595388E-2</v>
      </c>
      <c r="BH71" s="187">
        <v>7.5037793208839618E-2</v>
      </c>
    </row>
    <row r="72" spans="1:60" x14ac:dyDescent="0.3">
      <c r="A72" s="90" t="str">
        <f t="shared" si="76"/>
        <v>25-29</v>
      </c>
      <c r="B72" s="188">
        <v>54.132987761997782</v>
      </c>
      <c r="C72" s="188">
        <v>59.30277365778997</v>
      </c>
      <c r="D72" s="188">
        <v>53.119400404129237</v>
      </c>
      <c r="E72" s="188">
        <v>53.434184420591016</v>
      </c>
      <c r="F72" s="187">
        <v>46.384829749714591</v>
      </c>
      <c r="G72" s="188"/>
      <c r="H72" s="188">
        <v>15.657402965414564</v>
      </c>
      <c r="I72" s="188">
        <v>17.15271266465906</v>
      </c>
      <c r="J72" s="188">
        <v>15.364227768456015</v>
      </c>
      <c r="K72" s="188">
        <v>15.455258797856304</v>
      </c>
      <c r="L72" s="187">
        <v>13.416311066916181</v>
      </c>
      <c r="M72" s="188"/>
      <c r="N72" s="188">
        <v>38.47558479658322</v>
      </c>
      <c r="O72" s="188">
        <v>42.150060993130907</v>
      </c>
      <c r="P72" s="188">
        <v>37.755172635673226</v>
      </c>
      <c r="Q72" s="188">
        <v>37.978925622734714</v>
      </c>
      <c r="R72" s="187">
        <v>32.968518682798404</v>
      </c>
      <c r="S72" s="188"/>
      <c r="T72" s="188">
        <v>0</v>
      </c>
      <c r="U72" s="188">
        <v>0</v>
      </c>
      <c r="V72" s="188">
        <v>0</v>
      </c>
      <c r="W72" s="188">
        <v>0</v>
      </c>
      <c r="X72" s="187">
        <v>0</v>
      </c>
      <c r="Y72" s="90" t="str">
        <f t="shared" si="77"/>
        <v>25-29</v>
      </c>
      <c r="Z72" s="188">
        <v>149.16941523155822</v>
      </c>
      <c r="AA72" s="188">
        <v>137.65111832560171</v>
      </c>
      <c r="AB72" s="188">
        <v>143.78119393240843</v>
      </c>
      <c r="AC72" s="188">
        <v>153.35525074005449</v>
      </c>
      <c r="AD72" s="187">
        <v>151.04532202229836</v>
      </c>
      <c r="AE72" s="188"/>
      <c r="AF72" s="188">
        <v>139.54207798178672</v>
      </c>
      <c r="AG72" s="188">
        <v>128.76718250907044</v>
      </c>
      <c r="AH72" s="188">
        <v>134.50166828917818</v>
      </c>
      <c r="AI72" s="188">
        <v>143.4577811169944</v>
      </c>
      <c r="AJ72" s="187">
        <v>141.29698663959073</v>
      </c>
      <c r="AK72" s="188"/>
      <c r="AL72" s="188">
        <v>9.6273372497715179</v>
      </c>
      <c r="AM72" s="188">
        <v>8.8839358165312774</v>
      </c>
      <c r="AN72" s="188">
        <v>9.2795256432302509</v>
      </c>
      <c r="AO72" s="188">
        <v>9.8974696230601076</v>
      </c>
      <c r="AP72" s="187">
        <v>9.7483353827076193</v>
      </c>
      <c r="AQ72" s="90" t="str">
        <f t="shared" si="78"/>
        <v>25-29</v>
      </c>
      <c r="AR72" s="188">
        <v>114.08059700644398</v>
      </c>
      <c r="AS72" s="188">
        <v>119.54710801660832</v>
      </c>
      <c r="AT72" s="188">
        <v>121.54440566346231</v>
      </c>
      <c r="AU72" s="188">
        <v>131.36556483935448</v>
      </c>
      <c r="AV72" s="187">
        <v>131.1628482279871</v>
      </c>
      <c r="AW72" s="188"/>
      <c r="AX72" s="188">
        <v>112.96810261144897</v>
      </c>
      <c r="AY72" s="188">
        <v>118.38128469844733</v>
      </c>
      <c r="AZ72" s="188">
        <v>120.35910614116368</v>
      </c>
      <c r="BA72" s="188">
        <v>130.08456385999412</v>
      </c>
      <c r="BB72" s="187">
        <v>129.88383705598</v>
      </c>
      <c r="BC72" s="188"/>
      <c r="BD72" s="188">
        <v>1.1124943949950061</v>
      </c>
      <c r="BE72" s="188">
        <v>1.1658233181609874</v>
      </c>
      <c r="BF72" s="188">
        <v>1.1852995222986344</v>
      </c>
      <c r="BG72" s="188">
        <v>1.2810009793603585</v>
      </c>
      <c r="BH72" s="187">
        <v>1.2790111720071109</v>
      </c>
    </row>
    <row r="73" spans="1:60" x14ac:dyDescent="0.3">
      <c r="A73" s="90" t="str">
        <f t="shared" si="76"/>
        <v>30-34</v>
      </c>
      <c r="B73" s="188">
        <v>59.746194470013975</v>
      </c>
      <c r="C73" s="188">
        <v>55.826048413105191</v>
      </c>
      <c r="D73" s="188">
        <v>52.687517039427384</v>
      </c>
      <c r="E73" s="188">
        <v>49.043992638223799</v>
      </c>
      <c r="F73" s="187">
        <v>42.215560181056873</v>
      </c>
      <c r="G73" s="188"/>
      <c r="H73" s="188">
        <v>19.460449413601172</v>
      </c>
      <c r="I73" s="188">
        <v>18.183578385321248</v>
      </c>
      <c r="J73" s="188">
        <v>17.161250414897957</v>
      </c>
      <c r="K73" s="188">
        <v>15.974514770585094</v>
      </c>
      <c r="L73" s="187">
        <v>13.750439228926275</v>
      </c>
      <c r="M73" s="188"/>
      <c r="N73" s="188">
        <v>40.285745056412807</v>
      </c>
      <c r="O73" s="188">
        <v>37.642470027783951</v>
      </c>
      <c r="P73" s="188">
        <v>35.526266624529427</v>
      </c>
      <c r="Q73" s="188">
        <v>33.069477867638696</v>
      </c>
      <c r="R73" s="187">
        <v>28.465120952130594</v>
      </c>
      <c r="S73" s="188"/>
      <c r="T73" s="188">
        <v>0</v>
      </c>
      <c r="U73" s="188">
        <v>0</v>
      </c>
      <c r="V73" s="188">
        <v>0</v>
      </c>
      <c r="W73" s="188">
        <v>0</v>
      </c>
      <c r="X73" s="187">
        <v>0</v>
      </c>
      <c r="Y73" s="90" t="str">
        <f t="shared" si="77"/>
        <v>30-34</v>
      </c>
      <c r="Z73" s="188">
        <v>143.97550755975615</v>
      </c>
      <c r="AA73" s="188">
        <v>143.04692062923695</v>
      </c>
      <c r="AB73" s="188">
        <v>150.54112992034914</v>
      </c>
      <c r="AC73" s="188">
        <v>160.10889854017847</v>
      </c>
      <c r="AD73" s="187">
        <v>177.21576862141688</v>
      </c>
      <c r="AE73" s="188"/>
      <c r="AF73" s="188">
        <v>134.51151244341474</v>
      </c>
      <c r="AG73" s="188">
        <v>133.6439199496856</v>
      </c>
      <c r="AH73" s="188">
        <v>140.64555798795368</v>
      </c>
      <c r="AI73" s="188">
        <v>149.58441151968711</v>
      </c>
      <c r="AJ73" s="187">
        <v>165.5667550636862</v>
      </c>
      <c r="AK73" s="188"/>
      <c r="AL73" s="188">
        <v>9.4639951163413958</v>
      </c>
      <c r="AM73" s="188">
        <v>9.4030006795513597</v>
      </c>
      <c r="AN73" s="188">
        <v>9.8955719323954607</v>
      </c>
      <c r="AO73" s="188">
        <v>10.524487020491364</v>
      </c>
      <c r="AP73" s="187">
        <v>11.649013557730687</v>
      </c>
      <c r="AQ73" s="90" t="str">
        <f t="shared" si="78"/>
        <v>30-34</v>
      </c>
      <c r="AR73" s="188">
        <v>126.29229797022987</v>
      </c>
      <c r="AS73" s="188">
        <v>134.62703095765789</v>
      </c>
      <c r="AT73" s="188">
        <v>139.10335304022348</v>
      </c>
      <c r="AU73" s="188">
        <v>148.01810882159774</v>
      </c>
      <c r="AV73" s="187">
        <v>167.58267119752625</v>
      </c>
      <c r="AW73" s="188"/>
      <c r="AX73" s="188">
        <v>122.95073277336256</v>
      </c>
      <c r="AY73" s="188">
        <v>131.06497700319039</v>
      </c>
      <c r="AZ73" s="188">
        <v>135.42281890028266</v>
      </c>
      <c r="BA73" s="188">
        <v>144.10171770063747</v>
      </c>
      <c r="BB73" s="187">
        <v>163.14861509949301</v>
      </c>
      <c r="BC73" s="188"/>
      <c r="BD73" s="188">
        <v>3.3415651968673079</v>
      </c>
      <c r="BE73" s="188">
        <v>3.5620539544675016</v>
      </c>
      <c r="BF73" s="188">
        <v>3.6805341399408</v>
      </c>
      <c r="BG73" s="188">
        <v>3.9163911209602649</v>
      </c>
      <c r="BH73" s="187">
        <v>4.434056098033226</v>
      </c>
    </row>
    <row r="74" spans="1:60" x14ac:dyDescent="0.3">
      <c r="A74" s="90" t="str">
        <f t="shared" si="76"/>
        <v>35-39</v>
      </c>
      <c r="B74" s="188">
        <v>72.389274390689224</v>
      </c>
      <c r="C74" s="188">
        <v>71.644104598988108</v>
      </c>
      <c r="D74" s="188">
        <v>56.546565915153813</v>
      </c>
      <c r="E74" s="188">
        <v>46.727112769454443</v>
      </c>
      <c r="F74" s="187">
        <v>36.765389039064232</v>
      </c>
      <c r="G74" s="188"/>
      <c r="H74" s="188">
        <v>22.092351099930109</v>
      </c>
      <c r="I74" s="188">
        <v>21.864916566985048</v>
      </c>
      <c r="J74" s="188">
        <v>17.257326348768249</v>
      </c>
      <c r="K74" s="188">
        <v>14.26057413503738</v>
      </c>
      <c r="L74" s="187">
        <v>11.220343143702051</v>
      </c>
      <c r="M74" s="188"/>
      <c r="N74" s="188">
        <v>50.296923290759125</v>
      </c>
      <c r="O74" s="188">
        <v>49.779188032003056</v>
      </c>
      <c r="P74" s="188">
        <v>39.289239566385561</v>
      </c>
      <c r="Q74" s="188">
        <v>32.466538634417063</v>
      </c>
      <c r="R74" s="187">
        <v>25.545045895362183</v>
      </c>
      <c r="S74" s="188"/>
      <c r="T74" s="188">
        <v>0</v>
      </c>
      <c r="U74" s="188">
        <v>0</v>
      </c>
      <c r="V74" s="188">
        <v>0</v>
      </c>
      <c r="W74" s="188">
        <v>0</v>
      </c>
      <c r="X74" s="187">
        <v>0</v>
      </c>
      <c r="Y74" s="90" t="str">
        <f t="shared" si="77"/>
        <v>35-39</v>
      </c>
      <c r="Z74" s="188">
        <v>168.36341500024318</v>
      </c>
      <c r="AA74" s="188">
        <v>149.22804572146893</v>
      </c>
      <c r="AB74" s="188">
        <v>145.3653492467291</v>
      </c>
      <c r="AC74" s="188">
        <v>157.84177384899948</v>
      </c>
      <c r="AD74" s="187">
        <v>170.08164787734725</v>
      </c>
      <c r="AE74" s="188"/>
      <c r="AF74" s="188">
        <v>158.73056855159768</v>
      </c>
      <c r="AG74" s="188">
        <v>140.68998106739087</v>
      </c>
      <c r="AH74" s="188">
        <v>137.0482794654304</v>
      </c>
      <c r="AI74" s="188">
        <v>148.81088905475639</v>
      </c>
      <c r="AJ74" s="187">
        <v>160.35047022072709</v>
      </c>
      <c r="AK74" s="188"/>
      <c r="AL74" s="188">
        <v>9.632846448645493</v>
      </c>
      <c r="AM74" s="188">
        <v>8.53806465407804</v>
      </c>
      <c r="AN74" s="188">
        <v>8.3170697812987289</v>
      </c>
      <c r="AO74" s="188">
        <v>9.0308847942430752</v>
      </c>
      <c r="AP74" s="187">
        <v>9.7311776566201527</v>
      </c>
      <c r="AQ74" s="90" t="str">
        <f t="shared" si="78"/>
        <v>35-39</v>
      </c>
      <c r="AR74" s="188">
        <v>130.00931060906763</v>
      </c>
      <c r="AS74" s="188">
        <v>141.63984967954292</v>
      </c>
      <c r="AT74" s="188">
        <v>140.96708483811705</v>
      </c>
      <c r="AU74" s="188">
        <v>156.05411338154607</v>
      </c>
      <c r="AV74" s="187">
        <v>171.1889630835885</v>
      </c>
      <c r="AW74" s="188"/>
      <c r="AX74" s="188">
        <v>126.80367098267918</v>
      </c>
      <c r="AY74" s="188">
        <v>138.14739398786907</v>
      </c>
      <c r="AZ74" s="188">
        <v>137.49128574990962</v>
      </c>
      <c r="BA74" s="188">
        <v>152.20632202622306</v>
      </c>
      <c r="BB74" s="187">
        <v>166.96792004521947</v>
      </c>
      <c r="BC74" s="188"/>
      <c r="BD74" s="188">
        <v>3.2056396263884279</v>
      </c>
      <c r="BE74" s="188">
        <v>3.4924556916738441</v>
      </c>
      <c r="BF74" s="188">
        <v>3.4757990882074257</v>
      </c>
      <c r="BG74" s="188">
        <v>3.8477913553230336</v>
      </c>
      <c r="BH74" s="187">
        <v>4.2210430383690394</v>
      </c>
    </row>
    <row r="75" spans="1:60" x14ac:dyDescent="0.3">
      <c r="A75" s="90" t="str">
        <f t="shared" si="76"/>
        <v>40-44</v>
      </c>
      <c r="B75" s="188">
        <v>93.704921018490225</v>
      </c>
      <c r="C75" s="188">
        <v>86.025081460274208</v>
      </c>
      <c r="D75" s="188">
        <v>64.749495706932109</v>
      </c>
      <c r="E75" s="188">
        <v>46.877352399091471</v>
      </c>
      <c r="F75" s="187">
        <v>36.022235674570041</v>
      </c>
      <c r="G75" s="188"/>
      <c r="H75" s="188">
        <v>28.726825295106707</v>
      </c>
      <c r="I75" s="188">
        <v>26.372500122799597</v>
      </c>
      <c r="J75" s="188">
        <v>19.850090685545279</v>
      </c>
      <c r="K75" s="188">
        <v>14.37105615293013</v>
      </c>
      <c r="L75" s="187">
        <v>11.043233820019529</v>
      </c>
      <c r="M75" s="188"/>
      <c r="N75" s="188">
        <v>64.978095723383518</v>
      </c>
      <c r="O75" s="188">
        <v>59.652581337474615</v>
      </c>
      <c r="P75" s="188">
        <v>44.899405021386841</v>
      </c>
      <c r="Q75" s="188">
        <v>32.506296246161341</v>
      </c>
      <c r="R75" s="187">
        <v>24.979001854550507</v>
      </c>
      <c r="S75" s="188"/>
      <c r="T75" s="188">
        <v>0</v>
      </c>
      <c r="U75" s="188">
        <v>0</v>
      </c>
      <c r="V75" s="188">
        <v>0</v>
      </c>
      <c r="W75" s="188">
        <v>0</v>
      </c>
      <c r="X75" s="187">
        <v>0</v>
      </c>
      <c r="Y75" s="90" t="str">
        <f t="shared" si="77"/>
        <v>40-44</v>
      </c>
      <c r="Z75" s="188">
        <v>164.09838718909504</v>
      </c>
      <c r="AA75" s="188">
        <v>154.9023270474899</v>
      </c>
      <c r="AB75" s="188">
        <v>149.73668224901951</v>
      </c>
      <c r="AC75" s="188">
        <v>152.17875641282711</v>
      </c>
      <c r="AD75" s="187">
        <v>165.42214209784782</v>
      </c>
      <c r="AE75" s="188"/>
      <c r="AF75" s="188">
        <v>156.03959735584664</v>
      </c>
      <c r="AG75" s="188">
        <v>147.29512638226808</v>
      </c>
      <c r="AH75" s="188">
        <v>142.38323098553826</v>
      </c>
      <c r="AI75" s="188">
        <v>144.70535111932526</v>
      </c>
      <c r="AJ75" s="187">
        <v>157.29833296840684</v>
      </c>
      <c r="AK75" s="188"/>
      <c r="AL75" s="188">
        <v>8.0587898332483814</v>
      </c>
      <c r="AM75" s="188">
        <v>7.6072006652217956</v>
      </c>
      <c r="AN75" s="188">
        <v>7.3534512634812508</v>
      </c>
      <c r="AO75" s="188">
        <v>7.4734052935018527</v>
      </c>
      <c r="AP75" s="187">
        <v>8.1238091294409802</v>
      </c>
      <c r="AQ75" s="90" t="str">
        <f t="shared" si="78"/>
        <v>40-44</v>
      </c>
      <c r="AR75" s="188">
        <v>126.01269179241478</v>
      </c>
      <c r="AS75" s="188">
        <v>132.67959149223591</v>
      </c>
      <c r="AT75" s="188">
        <v>143.37582204404833</v>
      </c>
      <c r="AU75" s="188">
        <v>148.33089118808141</v>
      </c>
      <c r="AV75" s="187">
        <v>163.98362222758209</v>
      </c>
      <c r="AW75" s="188"/>
      <c r="AX75" s="188">
        <v>123.30009020573293</v>
      </c>
      <c r="AY75" s="188">
        <v>129.8235193902282</v>
      </c>
      <c r="AZ75" s="188">
        <v>140.28954114726304</v>
      </c>
      <c r="BA75" s="188">
        <v>145.13792831010065</v>
      </c>
      <c r="BB75" s="187">
        <v>160.4537346018306</v>
      </c>
      <c r="BC75" s="188"/>
      <c r="BD75" s="188">
        <v>2.7126015866818696</v>
      </c>
      <c r="BE75" s="188">
        <v>2.85607210200773</v>
      </c>
      <c r="BF75" s="188">
        <v>3.0862808967852815</v>
      </c>
      <c r="BG75" s="188">
        <v>3.1929628779807668</v>
      </c>
      <c r="BH75" s="187">
        <v>3.5298876257514915</v>
      </c>
    </row>
    <row r="76" spans="1:60" x14ac:dyDescent="0.3">
      <c r="A76" s="90" t="str">
        <f t="shared" si="76"/>
        <v>45-49</v>
      </c>
      <c r="B76" s="188">
        <v>115.30181592604359</v>
      </c>
      <c r="C76" s="188">
        <v>109.33182845391168</v>
      </c>
      <c r="D76" s="188">
        <v>79.086091683348073</v>
      </c>
      <c r="E76" s="188">
        <v>61.499061829076247</v>
      </c>
      <c r="F76" s="187">
        <v>46.838498328679577</v>
      </c>
      <c r="G76" s="188"/>
      <c r="H76" s="188">
        <v>35.170555457916208</v>
      </c>
      <c r="I76" s="188">
        <v>33.349530919839154</v>
      </c>
      <c r="J76" s="188">
        <v>24.123666078720824</v>
      </c>
      <c r="K76" s="188">
        <v>18.759060670682956</v>
      </c>
      <c r="L76" s="187">
        <v>14.287158175019892</v>
      </c>
      <c r="M76" s="188"/>
      <c r="N76" s="188">
        <v>80.131260468127394</v>
      </c>
      <c r="O76" s="188">
        <v>75.982297534072529</v>
      </c>
      <c r="P76" s="188">
        <v>54.962425604627256</v>
      </c>
      <c r="Q76" s="188">
        <v>42.740001158393298</v>
      </c>
      <c r="R76" s="187">
        <v>32.55134015365968</v>
      </c>
      <c r="S76" s="188"/>
      <c r="T76" s="188">
        <v>0</v>
      </c>
      <c r="U76" s="188">
        <v>0</v>
      </c>
      <c r="V76" s="188">
        <v>0</v>
      </c>
      <c r="W76" s="188">
        <v>0</v>
      </c>
      <c r="X76" s="187">
        <v>0</v>
      </c>
      <c r="Y76" s="90" t="str">
        <f t="shared" si="77"/>
        <v>45-49</v>
      </c>
      <c r="Z76" s="188">
        <v>139.47645471921948</v>
      </c>
      <c r="AA76" s="188">
        <v>142.31555594986082</v>
      </c>
      <c r="AB76" s="188">
        <v>150.05821621827403</v>
      </c>
      <c r="AC76" s="188">
        <v>153.64746661870106</v>
      </c>
      <c r="AD76" s="187">
        <v>155.27997647346041</v>
      </c>
      <c r="AE76" s="188"/>
      <c r="AF76" s="188">
        <v>133.76971424566429</v>
      </c>
      <c r="AG76" s="188">
        <v>136.49269012868396</v>
      </c>
      <c r="AH76" s="188">
        <v>143.91849594775999</v>
      </c>
      <c r="AI76" s="188">
        <v>147.36094259416896</v>
      </c>
      <c r="AJ76" s="187">
        <v>148.92665752037087</v>
      </c>
      <c r="AK76" s="188"/>
      <c r="AL76" s="188">
        <v>5.7067404735551852</v>
      </c>
      <c r="AM76" s="188">
        <v>5.8228658211768556</v>
      </c>
      <c r="AN76" s="188">
        <v>6.1397202705140401</v>
      </c>
      <c r="AO76" s="188">
        <v>6.2865240245320777</v>
      </c>
      <c r="AP76" s="187">
        <v>6.3533189530895484</v>
      </c>
      <c r="AQ76" s="90" t="str">
        <f t="shared" si="78"/>
        <v>45-49</v>
      </c>
      <c r="AR76" s="188">
        <v>120.1197293547369</v>
      </c>
      <c r="AS76" s="188">
        <v>129.44461559622746</v>
      </c>
      <c r="AT76" s="188">
        <v>136.0726920983779</v>
      </c>
      <c r="AU76" s="188">
        <v>140.49347155222273</v>
      </c>
      <c r="AV76" s="187">
        <v>143.29652519786003</v>
      </c>
      <c r="AW76" s="188"/>
      <c r="AX76" s="188">
        <v>117.05294273548799</v>
      </c>
      <c r="AY76" s="188">
        <v>126.13980543389869</v>
      </c>
      <c r="AZ76" s="188">
        <v>132.59867152271417</v>
      </c>
      <c r="BA76" s="188">
        <v>136.90652744386634</v>
      </c>
      <c r="BB76" s="187">
        <v>139.63803926200524</v>
      </c>
      <c r="BC76" s="188"/>
      <c r="BD76" s="188">
        <v>3.0667866192489188</v>
      </c>
      <c r="BE76" s="188">
        <v>3.3048101623287747</v>
      </c>
      <c r="BF76" s="188">
        <v>3.4740205756637477</v>
      </c>
      <c r="BG76" s="188">
        <v>3.5869441083564158</v>
      </c>
      <c r="BH76" s="187">
        <v>3.6584859358547694</v>
      </c>
    </row>
    <row r="77" spans="1:60" x14ac:dyDescent="0.3">
      <c r="A77" s="90" t="str">
        <f t="shared" si="76"/>
        <v>50-54</v>
      </c>
      <c r="B77" s="188">
        <v>111.27520275605481</v>
      </c>
      <c r="C77" s="188">
        <v>116.43002391638842</v>
      </c>
      <c r="D77" s="188">
        <v>99.298446084176007</v>
      </c>
      <c r="E77" s="188">
        <v>84.486604991419114</v>
      </c>
      <c r="F77" s="187">
        <v>69.243878653988489</v>
      </c>
      <c r="G77" s="188"/>
      <c r="H77" s="188">
        <v>39.173130960659876</v>
      </c>
      <c r="I77" s="188">
        <v>40.987832117041947</v>
      </c>
      <c r="J77" s="188">
        <v>34.956838880438383</v>
      </c>
      <c r="K77" s="188">
        <v>29.742505447101941</v>
      </c>
      <c r="L77" s="187">
        <v>24.376494465649984</v>
      </c>
      <c r="M77" s="188"/>
      <c r="N77" s="188">
        <v>72.102071795394934</v>
      </c>
      <c r="O77" s="188">
        <v>75.442191799346489</v>
      </c>
      <c r="P77" s="188">
        <v>64.34160720373761</v>
      </c>
      <c r="Q77" s="188">
        <v>54.74409954431718</v>
      </c>
      <c r="R77" s="187">
        <v>44.867384188338512</v>
      </c>
      <c r="S77" s="188"/>
      <c r="T77" s="188">
        <v>0</v>
      </c>
      <c r="U77" s="188">
        <v>0</v>
      </c>
      <c r="V77" s="188">
        <v>0</v>
      </c>
      <c r="W77" s="188">
        <v>0</v>
      </c>
      <c r="X77" s="187">
        <v>0</v>
      </c>
      <c r="Y77" s="90" t="str">
        <f t="shared" si="77"/>
        <v>50-54</v>
      </c>
      <c r="Z77" s="188">
        <v>113.3960574955765</v>
      </c>
      <c r="AA77" s="188">
        <v>121.59249637417638</v>
      </c>
      <c r="AB77" s="188">
        <v>133.48105449911949</v>
      </c>
      <c r="AC77" s="188">
        <v>141.58741797337134</v>
      </c>
      <c r="AD77" s="187">
        <v>145.63112009368126</v>
      </c>
      <c r="AE77" s="188"/>
      <c r="AF77" s="188">
        <v>108.44421929852143</v>
      </c>
      <c r="AG77" s="188">
        <v>116.28270261170104</v>
      </c>
      <c r="AH77" s="188">
        <v>127.65209448250005</v>
      </c>
      <c r="AI77" s="188">
        <v>135.40448983032255</v>
      </c>
      <c r="AJ77" s="187">
        <v>139.27159339268175</v>
      </c>
      <c r="AK77" s="188"/>
      <c r="AL77" s="188">
        <v>4.9518381970550793</v>
      </c>
      <c r="AM77" s="188">
        <v>5.3097937624753415</v>
      </c>
      <c r="AN77" s="188">
        <v>5.828960016619444</v>
      </c>
      <c r="AO77" s="188">
        <v>6.1829281430488319</v>
      </c>
      <c r="AP77" s="187">
        <v>6.3595267009995187</v>
      </c>
      <c r="AQ77" s="90" t="str">
        <f t="shared" si="78"/>
        <v>50-54</v>
      </c>
      <c r="AR77" s="188">
        <v>95.512739748368674</v>
      </c>
      <c r="AS77" s="188">
        <v>104.88647970943516</v>
      </c>
      <c r="AT77" s="188">
        <v>127.31949941670452</v>
      </c>
      <c r="AU77" s="188">
        <v>134.10597703520958</v>
      </c>
      <c r="AV77" s="187">
        <v>137.3260012523302</v>
      </c>
      <c r="AW77" s="188"/>
      <c r="AX77" s="188">
        <v>92.592908798161787</v>
      </c>
      <c r="AY77" s="188">
        <v>101.68009864647333</v>
      </c>
      <c r="AZ77" s="188">
        <v>123.42737975287275</v>
      </c>
      <c r="BA77" s="188">
        <v>130.00642315954263</v>
      </c>
      <c r="BB77" s="187">
        <v>133.12800670973192</v>
      </c>
      <c r="BC77" s="188"/>
      <c r="BD77" s="188">
        <v>2.9198309502068871</v>
      </c>
      <c r="BE77" s="188">
        <v>3.2063810629618299</v>
      </c>
      <c r="BF77" s="188">
        <v>3.892119663831775</v>
      </c>
      <c r="BG77" s="188">
        <v>4.0995538756669365</v>
      </c>
      <c r="BH77" s="187">
        <v>4.1979945425982796</v>
      </c>
    </row>
    <row r="78" spans="1:60" x14ac:dyDescent="0.3">
      <c r="A78" s="90" t="str">
        <f t="shared" si="76"/>
        <v>55-59</v>
      </c>
      <c r="B78" s="188">
        <v>68.012091171952278</v>
      </c>
      <c r="C78" s="188">
        <v>76.192899119068656</v>
      </c>
      <c r="D78" s="188">
        <v>80.959107437946358</v>
      </c>
      <c r="E78" s="188">
        <v>80.741803905128123</v>
      </c>
      <c r="F78" s="187">
        <v>67.11887912992232</v>
      </c>
      <c r="G78" s="188"/>
      <c r="H78" s="188">
        <v>26.951872424022827</v>
      </c>
      <c r="I78" s="188">
        <v>30.193746005149503</v>
      </c>
      <c r="J78" s="188">
        <v>32.082502271621657</v>
      </c>
      <c r="K78" s="188">
        <v>31.996398811217055</v>
      </c>
      <c r="L78" s="187">
        <v>26.597935178999514</v>
      </c>
      <c r="M78" s="188"/>
      <c r="N78" s="188">
        <v>41.060218747929468</v>
      </c>
      <c r="O78" s="188">
        <v>45.999153113919157</v>
      </c>
      <c r="P78" s="188">
        <v>48.876605166324701</v>
      </c>
      <c r="Q78" s="188">
        <v>48.74540509391106</v>
      </c>
      <c r="R78" s="187">
        <v>40.520943950922806</v>
      </c>
      <c r="S78" s="188"/>
      <c r="T78" s="188">
        <v>0</v>
      </c>
      <c r="U78" s="188">
        <v>0</v>
      </c>
      <c r="V78" s="188">
        <v>0</v>
      </c>
      <c r="W78" s="188">
        <v>0</v>
      </c>
      <c r="X78" s="187">
        <v>0</v>
      </c>
      <c r="Y78" s="90" t="str">
        <f t="shared" si="77"/>
        <v>55-59</v>
      </c>
      <c r="Z78" s="188">
        <v>72.790478327088792</v>
      </c>
      <c r="AA78" s="188">
        <v>72.824377516205331</v>
      </c>
      <c r="AB78" s="188">
        <v>88.796407596616632</v>
      </c>
      <c r="AC78" s="188">
        <v>107.12135329397736</v>
      </c>
      <c r="AD78" s="187">
        <v>114.12115272286486</v>
      </c>
      <c r="AE78" s="188"/>
      <c r="AF78" s="188">
        <v>68.801294834834081</v>
      </c>
      <c r="AG78" s="188">
        <v>68.83331603311845</v>
      </c>
      <c r="AH78" s="188">
        <v>83.930009776338608</v>
      </c>
      <c r="AI78" s="188">
        <v>101.25067814642075</v>
      </c>
      <c r="AJ78" s="187">
        <v>107.86683113473264</v>
      </c>
      <c r="AK78" s="188"/>
      <c r="AL78" s="188">
        <v>3.9891834922546994</v>
      </c>
      <c r="AM78" s="188">
        <v>3.9910614830868849</v>
      </c>
      <c r="AN78" s="188">
        <v>4.8663978202780056</v>
      </c>
      <c r="AO78" s="188">
        <v>5.8706751475565877</v>
      </c>
      <c r="AP78" s="187">
        <v>6.2543215881322256</v>
      </c>
      <c r="AQ78" s="90" t="str">
        <f t="shared" si="78"/>
        <v>55-59</v>
      </c>
      <c r="AR78" s="188">
        <v>71.997430500958913</v>
      </c>
      <c r="AS78" s="188">
        <v>80.286723364726001</v>
      </c>
      <c r="AT78" s="188">
        <v>97.623484965437029</v>
      </c>
      <c r="AU78" s="188">
        <v>111.25484280089452</v>
      </c>
      <c r="AV78" s="187">
        <v>119.13196814721282</v>
      </c>
      <c r="AW78" s="188"/>
      <c r="AX78" s="188">
        <v>69.435486947844097</v>
      </c>
      <c r="AY78" s="188">
        <v>77.429759529039274</v>
      </c>
      <c r="AZ78" s="188">
        <v>94.149691730122299</v>
      </c>
      <c r="BA78" s="188">
        <v>107.29594200979159</v>
      </c>
      <c r="BB78" s="187">
        <v>114.89276509261856</v>
      </c>
      <c r="BC78" s="188"/>
      <c r="BD78" s="188">
        <v>2.5619435531148169</v>
      </c>
      <c r="BE78" s="188">
        <v>2.8569638356867268</v>
      </c>
      <c r="BF78" s="188">
        <v>3.4737932353147438</v>
      </c>
      <c r="BG78" s="188">
        <v>3.9589007911029319</v>
      </c>
      <c r="BH78" s="187">
        <v>4.2392030545942614</v>
      </c>
    </row>
    <row r="79" spans="1:60" x14ac:dyDescent="0.3">
      <c r="A79" s="90" t="str">
        <f t="shared" si="76"/>
        <v>60-64</v>
      </c>
      <c r="B79" s="188">
        <v>22.058986538549966</v>
      </c>
      <c r="C79" s="188">
        <v>25.725899636040516</v>
      </c>
      <c r="D79" s="188">
        <v>23.105090180247199</v>
      </c>
      <c r="E79" s="188">
        <v>23.482130526076944</v>
      </c>
      <c r="F79" s="187">
        <v>20.863456754363423</v>
      </c>
      <c r="G79" s="188"/>
      <c r="H79" s="188">
        <v>10.261625462059436</v>
      </c>
      <c r="I79" s="188">
        <v>11.967431555445883</v>
      </c>
      <c r="J79" s="188">
        <v>10.748274288790256</v>
      </c>
      <c r="K79" s="188">
        <v>10.923637169620605</v>
      </c>
      <c r="L79" s="187">
        <v>9.7054628731438477</v>
      </c>
      <c r="M79" s="188"/>
      <c r="N79" s="188">
        <v>11.797361076490528</v>
      </c>
      <c r="O79" s="188">
        <v>13.758468080594636</v>
      </c>
      <c r="P79" s="188">
        <v>12.356815891456941</v>
      </c>
      <c r="Q79" s="188">
        <v>12.558493356456339</v>
      </c>
      <c r="R79" s="187">
        <v>11.157993881219575</v>
      </c>
      <c r="S79" s="188"/>
      <c r="T79" s="188">
        <v>0</v>
      </c>
      <c r="U79" s="188">
        <v>0</v>
      </c>
      <c r="V79" s="188">
        <v>0</v>
      </c>
      <c r="W79" s="188">
        <v>0</v>
      </c>
      <c r="X79" s="187">
        <v>0</v>
      </c>
      <c r="Y79" s="90" t="str">
        <f t="shared" si="77"/>
        <v>60-64</v>
      </c>
      <c r="Z79" s="188">
        <v>19.033134372987352</v>
      </c>
      <c r="AA79" s="188">
        <v>23.139563185511207</v>
      </c>
      <c r="AB79" s="188">
        <v>29.062611970564706</v>
      </c>
      <c r="AC79" s="188">
        <v>37.775985439184019</v>
      </c>
      <c r="AD79" s="187">
        <v>45.699503561805081</v>
      </c>
      <c r="AE79" s="188"/>
      <c r="AF79" s="188">
        <v>18.159098770843201</v>
      </c>
      <c r="AG79" s="188">
        <v>22.076986233291766</v>
      </c>
      <c r="AH79" s="188">
        <v>27.728037414140051</v>
      </c>
      <c r="AI79" s="188">
        <v>36.041367319946715</v>
      </c>
      <c r="AJ79" s="187">
        <v>43.600996459396789</v>
      </c>
      <c r="AK79" s="188"/>
      <c r="AL79" s="188">
        <v>0.87403560214415288</v>
      </c>
      <c r="AM79" s="188">
        <v>1.0625769522194444</v>
      </c>
      <c r="AN79" s="188">
        <v>1.3345745564246547</v>
      </c>
      <c r="AO79" s="188">
        <v>1.7346181192372983</v>
      </c>
      <c r="AP79" s="187">
        <v>2.0985071024082935</v>
      </c>
      <c r="AQ79" s="90" t="str">
        <f t="shared" si="78"/>
        <v>60-64</v>
      </c>
      <c r="AR79" s="188">
        <v>28.502879088462684</v>
      </c>
      <c r="AS79" s="188">
        <v>37.330537178448267</v>
      </c>
      <c r="AT79" s="188">
        <v>46.611297849188091</v>
      </c>
      <c r="AU79" s="188">
        <v>59.348884034739037</v>
      </c>
      <c r="AV79" s="187">
        <v>72.006039683831503</v>
      </c>
      <c r="AW79" s="188"/>
      <c r="AX79" s="188">
        <v>26.621847428232694</v>
      </c>
      <c r="AY79" s="188">
        <v>34.866929781336395</v>
      </c>
      <c r="AZ79" s="188">
        <v>43.535121181596431</v>
      </c>
      <c r="BA79" s="188">
        <v>55.432075117845166</v>
      </c>
      <c r="BB79" s="187">
        <v>67.253939495670267</v>
      </c>
      <c r="BC79" s="188"/>
      <c r="BD79" s="188">
        <v>1.881031660229987</v>
      </c>
      <c r="BE79" s="188">
        <v>2.463607397111879</v>
      </c>
      <c r="BF79" s="188">
        <v>3.0761766675916631</v>
      </c>
      <c r="BG79" s="188">
        <v>3.9168089168938671</v>
      </c>
      <c r="BH79" s="187">
        <v>4.7521001881612417</v>
      </c>
    </row>
    <row r="80" spans="1:60" x14ac:dyDescent="0.3">
      <c r="A80" s="90" t="str">
        <f t="shared" si="76"/>
        <v>65+</v>
      </c>
      <c r="B80" s="188">
        <v>6.9211439895691509</v>
      </c>
      <c r="C80" s="188">
        <v>11.403315499909841</v>
      </c>
      <c r="D80" s="188">
        <v>10.028756519263442</v>
      </c>
      <c r="E80" s="188">
        <v>7.9572606059831097</v>
      </c>
      <c r="F80" s="187">
        <v>6.1556020468771537</v>
      </c>
      <c r="G80" s="188"/>
      <c r="H80" s="188">
        <v>3.3880153703013169</v>
      </c>
      <c r="I80" s="188">
        <v>5.5821599276043257</v>
      </c>
      <c r="J80" s="188">
        <v>4.9092330155000692</v>
      </c>
      <c r="K80" s="188">
        <v>3.8952339057066752</v>
      </c>
      <c r="L80" s="187">
        <v>3.0132549845592425</v>
      </c>
      <c r="M80" s="188"/>
      <c r="N80" s="188">
        <v>3.5331286192678335</v>
      </c>
      <c r="O80" s="188">
        <v>5.8211555723055133</v>
      </c>
      <c r="P80" s="188">
        <v>5.1195235037633742</v>
      </c>
      <c r="Q80" s="188">
        <v>4.0620267002764345</v>
      </c>
      <c r="R80" s="187">
        <v>3.1423470623179108</v>
      </c>
      <c r="S80" s="188"/>
      <c r="T80" s="188">
        <v>0</v>
      </c>
      <c r="U80" s="188">
        <v>0</v>
      </c>
      <c r="V80" s="188">
        <v>0</v>
      </c>
      <c r="W80" s="188">
        <v>0</v>
      </c>
      <c r="X80" s="187">
        <v>0</v>
      </c>
      <c r="Y80" s="90" t="str">
        <f t="shared" si="77"/>
        <v>65+</v>
      </c>
      <c r="Z80" s="188">
        <v>5.0779151858860399</v>
      </c>
      <c r="AA80" s="188">
        <v>5.8560125079035359</v>
      </c>
      <c r="AB80" s="188">
        <v>7.4475071119826133</v>
      </c>
      <c r="AC80" s="188">
        <v>8.0611678258540653</v>
      </c>
      <c r="AD80" s="187">
        <v>8.6521443263082798</v>
      </c>
      <c r="AE80" s="188"/>
      <c r="AF80" s="188">
        <v>4.4280912105889678</v>
      </c>
      <c r="AG80" s="188">
        <v>5.1066439452522596</v>
      </c>
      <c r="AH80" s="188">
        <v>6.4944416235841498</v>
      </c>
      <c r="AI80" s="188">
        <v>7.0296284480755258</v>
      </c>
      <c r="AJ80" s="187">
        <v>7.5449282666861546</v>
      </c>
      <c r="AK80" s="188"/>
      <c r="AL80" s="188">
        <v>0.64982397529707225</v>
      </c>
      <c r="AM80" s="188">
        <v>0.74936856265127538</v>
      </c>
      <c r="AN80" s="188">
        <v>0.95306548839846261</v>
      </c>
      <c r="AO80" s="188">
        <v>1.03153937777854</v>
      </c>
      <c r="AP80" s="187">
        <v>1.1072160596221259</v>
      </c>
      <c r="AQ80" s="90" t="str">
        <f t="shared" si="78"/>
        <v>65+</v>
      </c>
      <c r="AR80" s="188">
        <v>10.295940824544813</v>
      </c>
      <c r="AS80" s="188">
        <v>8.0706719921866217</v>
      </c>
      <c r="AT80" s="188">
        <v>14.988736368753946</v>
      </c>
      <c r="AU80" s="188">
        <v>18.053571568162823</v>
      </c>
      <c r="AV80" s="187">
        <v>21.595253626814571</v>
      </c>
      <c r="AW80" s="188"/>
      <c r="AX80" s="188">
        <v>9.5711093689595526</v>
      </c>
      <c r="AY80" s="188">
        <v>7.5024694874410747</v>
      </c>
      <c r="AZ80" s="188">
        <v>13.933474089451744</v>
      </c>
      <c r="BA80" s="188">
        <v>16.782613628155822</v>
      </c>
      <c r="BB80" s="187">
        <v>20.07497877515241</v>
      </c>
      <c r="BC80" s="188"/>
      <c r="BD80" s="188">
        <v>0.72483145558525974</v>
      </c>
      <c r="BE80" s="188">
        <v>0.5682025047455489</v>
      </c>
      <c r="BF80" s="188">
        <v>1.0552622793022017</v>
      </c>
      <c r="BG80" s="188">
        <v>1.2709579400070001</v>
      </c>
      <c r="BH80" s="187">
        <v>1.5202748516621645</v>
      </c>
    </row>
    <row r="81" spans="1:60" x14ac:dyDescent="0.3"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93"/>
      <c r="U81" s="93"/>
      <c r="V81" s="93"/>
      <c r="W81" s="93"/>
      <c r="X81" s="93"/>
      <c r="Z81" s="187"/>
      <c r="AA81" s="187"/>
      <c r="AB81" s="187"/>
      <c r="AC81" s="187"/>
      <c r="AD81" s="187"/>
      <c r="AE81" s="187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R81" s="188"/>
      <c r="AS81" s="188"/>
      <c r="AT81" s="188"/>
      <c r="AU81" s="188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</row>
    <row r="82" spans="1:60" x14ac:dyDescent="0.3">
      <c r="A82" s="113" t="str">
        <f>A34</f>
        <v>Females</v>
      </c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93"/>
      <c r="U82" s="93"/>
      <c r="V82" s="93"/>
      <c r="W82" s="93"/>
      <c r="X82" s="93"/>
      <c r="Y82" s="113" t="str">
        <f>Y34</f>
        <v>Females</v>
      </c>
      <c r="Z82" s="187"/>
      <c r="AA82" s="187"/>
      <c r="AB82" s="187"/>
      <c r="AC82" s="187"/>
      <c r="AD82" s="187"/>
      <c r="AE82" s="187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13" t="str">
        <f>AQ34</f>
        <v>Females</v>
      </c>
      <c r="AR82" s="93"/>
      <c r="AS82" s="93"/>
      <c r="AT82" s="93"/>
      <c r="AU82" s="93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</row>
    <row r="83" spans="1:60" x14ac:dyDescent="0.3">
      <c r="A83" s="90" t="str">
        <f>A35</f>
        <v>15+</v>
      </c>
      <c r="B83" s="188">
        <f>SUM(B84:B94)</f>
        <v>423.06360139942507</v>
      </c>
      <c r="C83" s="188">
        <f t="shared" ref="C83:F83" si="79">SUM(C84:C94)</f>
        <v>420.02944292320001</v>
      </c>
      <c r="D83" s="188">
        <f t="shared" si="79"/>
        <v>340.32430055838188</v>
      </c>
      <c r="E83" s="188">
        <f t="shared" si="79"/>
        <v>280.86469102706656</v>
      </c>
      <c r="F83" s="188">
        <f t="shared" si="79"/>
        <v>223.76680386266278</v>
      </c>
      <c r="G83" s="188"/>
      <c r="H83" s="188">
        <f>SUM(H84:H94)</f>
        <v>145.89694047973552</v>
      </c>
      <c r="I83" s="188">
        <f t="shared" ref="I83:L83" si="80">SUM(I84:I94)</f>
        <v>145.07481013301967</v>
      </c>
      <c r="J83" s="188">
        <f t="shared" si="80"/>
        <v>119.0698940829858</v>
      </c>
      <c r="K83" s="188">
        <f t="shared" si="80"/>
        <v>97.685423606672089</v>
      </c>
      <c r="L83" s="188">
        <f t="shared" si="80"/>
        <v>77.126697351246889</v>
      </c>
      <c r="M83" s="188"/>
      <c r="N83" s="188">
        <f>SUM(N84:N94)</f>
        <v>277.16666091968955</v>
      </c>
      <c r="O83" s="188">
        <f t="shared" ref="O83:R83" si="81">SUM(O84:O94)</f>
        <v>274.95463279018031</v>
      </c>
      <c r="P83" s="188">
        <f t="shared" si="81"/>
        <v>221.25440647539608</v>
      </c>
      <c r="Q83" s="188">
        <f t="shared" si="81"/>
        <v>183.17926742039447</v>
      </c>
      <c r="R83" s="188">
        <f t="shared" si="81"/>
        <v>146.64010651141589</v>
      </c>
      <c r="S83" s="188"/>
      <c r="T83" s="188">
        <f>SUM(T84:T94)</f>
        <v>0</v>
      </c>
      <c r="U83" s="188">
        <f t="shared" ref="U83:X83" si="82">SUM(U84:U94)</f>
        <v>0</v>
      </c>
      <c r="V83" s="188">
        <f t="shared" si="82"/>
        <v>0</v>
      </c>
      <c r="W83" s="188">
        <f t="shared" si="82"/>
        <v>0</v>
      </c>
      <c r="X83" s="188">
        <f t="shared" si="82"/>
        <v>0</v>
      </c>
      <c r="Y83" s="90" t="str">
        <f>Y35</f>
        <v>15+</v>
      </c>
      <c r="Z83" s="188">
        <f>SUM(Z84:Z94)</f>
        <v>835.78959562739158</v>
      </c>
      <c r="AA83" s="188">
        <f t="shared" ref="AA83:AD83" si="83">SUM(AA84:AA94)</f>
        <v>817.71951299037789</v>
      </c>
      <c r="AB83" s="188">
        <f t="shared" si="83"/>
        <v>833.46122225056911</v>
      </c>
      <c r="AC83" s="188">
        <f t="shared" si="83"/>
        <v>872.7568149707464</v>
      </c>
      <c r="AD83" s="188">
        <f t="shared" si="83"/>
        <v>906.76405425389191</v>
      </c>
      <c r="AE83" s="188"/>
      <c r="AF83" s="188">
        <f>SUM(AF84:AF94)</f>
        <v>775.49874803920272</v>
      </c>
      <c r="AG83" s="188">
        <f t="shared" ref="AG83:AJ83" si="84">SUM(AG84:AG94)</f>
        <v>758.80872601036992</v>
      </c>
      <c r="AH83" s="188">
        <f t="shared" si="84"/>
        <v>773.5162619397023</v>
      </c>
      <c r="AI83" s="188">
        <f t="shared" si="84"/>
        <v>810.06846896436525</v>
      </c>
      <c r="AJ83" s="188">
        <f t="shared" si="84"/>
        <v>841.89337685638475</v>
      </c>
      <c r="AK83" s="188"/>
      <c r="AL83" s="188">
        <f>SUM(AL84:AL94)</f>
        <v>60.29084758818869</v>
      </c>
      <c r="AM83" s="188">
        <f t="shared" ref="AM83:AP83" si="85">SUM(AM84:AM94)</f>
        <v>58.910786980008034</v>
      </c>
      <c r="AN83" s="188">
        <f t="shared" si="85"/>
        <v>59.944960310866939</v>
      </c>
      <c r="AO83" s="188">
        <f t="shared" si="85"/>
        <v>62.688346006381188</v>
      </c>
      <c r="AP83" s="188">
        <f t="shared" si="85"/>
        <v>64.870677397506995</v>
      </c>
      <c r="AQ83" s="90" t="str">
        <f>AQ35</f>
        <v>15+</v>
      </c>
      <c r="AR83" s="188">
        <f>SUM(AR84:AR94)</f>
        <v>889.40880297318358</v>
      </c>
      <c r="AS83" s="188">
        <f t="shared" ref="AS83:AV83" si="86">SUM(AS84:AS94)</f>
        <v>982.33504408642204</v>
      </c>
      <c r="AT83" s="188">
        <f t="shared" si="86"/>
        <v>1108.5044771910491</v>
      </c>
      <c r="AU83" s="188">
        <f t="shared" si="86"/>
        <v>1230.8314940021869</v>
      </c>
      <c r="AV83" s="188">
        <f t="shared" si="86"/>
        <v>1348.9681418834455</v>
      </c>
      <c r="AW83" s="188"/>
      <c r="AX83" s="188">
        <f>SUM(AX84:AX94)</f>
        <v>879.74824720033962</v>
      </c>
      <c r="AY83" s="188">
        <f t="shared" ref="AY83:BB83" si="87">SUM(AY84:AY94)</f>
        <v>971.10421223711137</v>
      </c>
      <c r="AZ83" s="188">
        <f t="shared" si="87"/>
        <v>1095.1677547026629</v>
      </c>
      <c r="BA83" s="188">
        <f t="shared" si="87"/>
        <v>1216.0188704547381</v>
      </c>
      <c r="BB83" s="188">
        <f t="shared" si="87"/>
        <v>1332.3320678155631</v>
      </c>
      <c r="BC83" s="188"/>
      <c r="BD83" s="188">
        <f>SUM(BD84:BD94)</f>
        <v>9.6605557728437574</v>
      </c>
      <c r="BE83" s="188">
        <f t="shared" ref="BE83:BH83" si="88">SUM(BE84:BE94)</f>
        <v>11.105764362713181</v>
      </c>
      <c r="BF83" s="188">
        <f t="shared" si="88"/>
        <v>13.018684577213577</v>
      </c>
      <c r="BG83" s="188">
        <f t="shared" si="88"/>
        <v>14.812623547448824</v>
      </c>
      <c r="BH83" s="188">
        <f t="shared" si="88"/>
        <v>16.636074067882518</v>
      </c>
    </row>
    <row r="84" spans="1:60" x14ac:dyDescent="0.3">
      <c r="A84" s="90" t="str">
        <f t="shared" ref="A84:A94" si="89">A36</f>
        <v>15-19</v>
      </c>
      <c r="B84" s="188">
        <v>11.952178011992856</v>
      </c>
      <c r="C84" s="188">
        <v>13.402887260222242</v>
      </c>
      <c r="D84" s="188">
        <v>10.497400074288828</v>
      </c>
      <c r="E84" s="188">
        <v>10.487079759394881</v>
      </c>
      <c r="F84" s="187">
        <v>11.380731286753464</v>
      </c>
      <c r="G84" s="187"/>
      <c r="H84" s="188">
        <v>1.9311383476471966</v>
      </c>
      <c r="I84" s="188">
        <v>2.1654425866600273</v>
      </c>
      <c r="J84" s="188">
        <v>1.6960330233653167</v>
      </c>
      <c r="K84" s="188">
        <v>1.6944183086206663</v>
      </c>
      <c r="L84" s="187">
        <v>1.8387489146198699</v>
      </c>
      <c r="M84" s="187"/>
      <c r="N84" s="188">
        <v>10.021039664345659</v>
      </c>
      <c r="O84" s="188">
        <v>11.237444673562216</v>
      </c>
      <c r="P84" s="188">
        <v>8.8013670509235116</v>
      </c>
      <c r="Q84" s="188">
        <v>8.7926614507742151</v>
      </c>
      <c r="R84" s="187">
        <v>9.5419823721335941</v>
      </c>
      <c r="S84" s="187"/>
      <c r="T84" s="188">
        <v>0</v>
      </c>
      <c r="U84" s="188">
        <v>0</v>
      </c>
      <c r="V84" s="188">
        <v>0</v>
      </c>
      <c r="W84" s="188">
        <v>0</v>
      </c>
      <c r="X84" s="187">
        <v>0</v>
      </c>
      <c r="Y84" s="90" t="str">
        <f t="shared" ref="Y84:Y94" si="90">Y36</f>
        <v>15-19</v>
      </c>
      <c r="Z84" s="188">
        <v>10.828592838586953</v>
      </c>
      <c r="AA84" s="188">
        <v>10.260045253180333</v>
      </c>
      <c r="AB84" s="188">
        <v>8.3705620145386224</v>
      </c>
      <c r="AC84" s="188">
        <v>8.9334389435199988</v>
      </c>
      <c r="AD84" s="187">
        <v>10.306241587925554</v>
      </c>
      <c r="AE84" s="187"/>
      <c r="AF84" s="188">
        <v>10.269940466538486</v>
      </c>
      <c r="AG84" s="188">
        <v>9.7306883630573378</v>
      </c>
      <c r="AH84" s="188">
        <v>7.9386523921141237</v>
      </c>
      <c r="AI84" s="188">
        <v>8.4725263317021824</v>
      </c>
      <c r="AJ84" s="187">
        <v>9.7745223494256592</v>
      </c>
      <c r="AK84" s="187"/>
      <c r="AL84" s="188">
        <v>0.55865237204846663</v>
      </c>
      <c r="AM84" s="188">
        <v>0.52935689012299614</v>
      </c>
      <c r="AN84" s="188">
        <v>0.43190962242449843</v>
      </c>
      <c r="AO84" s="188">
        <v>0.46091261181781773</v>
      </c>
      <c r="AP84" s="187">
        <v>0.53171923849989433</v>
      </c>
      <c r="AQ84" s="90" t="str">
        <f t="shared" ref="AQ84:AQ94" si="91">AQ36</f>
        <v>15-19</v>
      </c>
      <c r="AR84" s="188">
        <v>0.12322914942019014</v>
      </c>
      <c r="AS84" s="188">
        <v>0.12506748659742103</v>
      </c>
      <c r="AT84" s="188">
        <v>0.31803791117255348</v>
      </c>
      <c r="AU84" s="188">
        <v>0.32248129708511647</v>
      </c>
      <c r="AV84" s="187">
        <v>0.3530271253209819</v>
      </c>
      <c r="AW84" s="187"/>
      <c r="AX84" s="188">
        <v>0.12322914942019014</v>
      </c>
      <c r="AY84" s="188">
        <v>0</v>
      </c>
      <c r="AZ84" s="188">
        <v>0</v>
      </c>
      <c r="BA84" s="188">
        <v>0.32248129708511647</v>
      </c>
      <c r="BB84" s="187">
        <v>0.3530271253209819</v>
      </c>
      <c r="BC84" s="187"/>
      <c r="BD84" s="188">
        <v>0</v>
      </c>
      <c r="BE84" s="188">
        <v>0</v>
      </c>
      <c r="BF84" s="188">
        <v>0</v>
      </c>
      <c r="BG84" s="188">
        <v>0</v>
      </c>
      <c r="BH84" s="187">
        <v>0</v>
      </c>
    </row>
    <row r="85" spans="1:60" x14ac:dyDescent="0.3">
      <c r="A85" s="90" t="str">
        <f t="shared" si="89"/>
        <v>20-24</v>
      </c>
      <c r="B85" s="188">
        <v>27.162073940488085</v>
      </c>
      <c r="C85" s="188">
        <v>25.818959473458939</v>
      </c>
      <c r="D85" s="188">
        <v>19.430418992506574</v>
      </c>
      <c r="E85" s="188">
        <v>17.065770140454763</v>
      </c>
      <c r="F85" s="187">
        <v>15.339491201948526</v>
      </c>
      <c r="G85" s="187"/>
      <c r="H85" s="188">
        <v>7.738175779416105</v>
      </c>
      <c r="I85" s="188">
        <v>7.3555159173417479</v>
      </c>
      <c r="J85" s="188">
        <v>5.5355294417133862</v>
      </c>
      <c r="K85" s="188">
        <v>4.8618655592881783</v>
      </c>
      <c r="L85" s="187">
        <v>4.370057954996903</v>
      </c>
      <c r="M85" s="187"/>
      <c r="N85" s="188">
        <v>19.423898161071982</v>
      </c>
      <c r="O85" s="188">
        <v>18.463443556117188</v>
      </c>
      <c r="P85" s="188">
        <v>13.894889550793188</v>
      </c>
      <c r="Q85" s="188">
        <v>12.203904581166585</v>
      </c>
      <c r="R85" s="187">
        <v>10.96943324695162</v>
      </c>
      <c r="S85" s="187"/>
      <c r="T85" s="188">
        <v>0</v>
      </c>
      <c r="U85" s="188">
        <v>0</v>
      </c>
      <c r="V85" s="188">
        <v>0</v>
      </c>
      <c r="W85" s="188">
        <v>0</v>
      </c>
      <c r="X85" s="187">
        <v>0</v>
      </c>
      <c r="Y85" s="90" t="str">
        <f t="shared" si="90"/>
        <v>20-24</v>
      </c>
      <c r="Z85" s="188">
        <v>83.029902962100564</v>
      </c>
      <c r="AA85" s="188">
        <v>84.099064086151856</v>
      </c>
      <c r="AB85" s="188">
        <v>75.456016390238844</v>
      </c>
      <c r="AC85" s="188">
        <v>72.409581167242635</v>
      </c>
      <c r="AD85" s="187">
        <v>70.925077672432323</v>
      </c>
      <c r="AE85" s="187"/>
      <c r="AF85" s="188">
        <v>74.996139409236491</v>
      </c>
      <c r="AG85" s="188">
        <v>75.961913287114783</v>
      </c>
      <c r="AH85" s="188">
        <v>68.155149094152151</v>
      </c>
      <c r="AI85" s="188">
        <v>65.403445863093296</v>
      </c>
      <c r="AJ85" s="187">
        <v>64.062544551136526</v>
      </c>
      <c r="AK85" s="187"/>
      <c r="AL85" s="188">
        <v>8.0337635528640625</v>
      </c>
      <c r="AM85" s="188">
        <v>8.1371507990370748</v>
      </c>
      <c r="AN85" s="188">
        <v>7.3008672960866994</v>
      </c>
      <c r="AO85" s="188">
        <v>7.0061353041493399</v>
      </c>
      <c r="AP85" s="187">
        <v>6.8625331212957974</v>
      </c>
      <c r="AQ85" s="90" t="str">
        <f t="shared" si="91"/>
        <v>20-24</v>
      </c>
      <c r="AR85" s="188">
        <v>64.096023097411347</v>
      </c>
      <c r="AS85" s="188">
        <v>59.5749764403892</v>
      </c>
      <c r="AT85" s="188">
        <v>64.928564617254594</v>
      </c>
      <c r="AU85" s="188">
        <v>69.876648692302624</v>
      </c>
      <c r="AV85" s="187">
        <v>76.967431125619157</v>
      </c>
      <c r="AW85" s="187"/>
      <c r="AX85" s="188">
        <v>63.936315058758787</v>
      </c>
      <c r="AY85" s="188">
        <v>59.426553735923072</v>
      </c>
      <c r="AZ85" s="188">
        <v>64.766758302259873</v>
      </c>
      <c r="BA85" s="188">
        <v>69.702519316956455</v>
      </c>
      <c r="BB85" s="187">
        <v>76.775653915926199</v>
      </c>
      <c r="BC85" s="187"/>
      <c r="BD85" s="188">
        <v>0.1597080386525653</v>
      </c>
      <c r="BE85" s="188">
        <v>0.14842270446612335</v>
      </c>
      <c r="BF85" s="188">
        <v>0.16180631499472672</v>
      </c>
      <c r="BG85" s="188">
        <v>0.17412937534616696</v>
      </c>
      <c r="BH85" s="187">
        <v>0.19177720969295214</v>
      </c>
    </row>
    <row r="86" spans="1:60" x14ac:dyDescent="0.3">
      <c r="A86" s="90" t="str">
        <f t="shared" si="89"/>
        <v>25-29</v>
      </c>
      <c r="B86" s="188">
        <v>28.972672566594831</v>
      </c>
      <c r="C86" s="188">
        <v>33.619340539542968</v>
      </c>
      <c r="D86" s="188">
        <v>28.636722146171739</v>
      </c>
      <c r="E86" s="188">
        <v>27.654766165607402</v>
      </c>
      <c r="F86" s="187">
        <v>24.701036177168444</v>
      </c>
      <c r="G86" s="187"/>
      <c r="H86" s="188">
        <v>7.950704122039733</v>
      </c>
      <c r="I86" s="188">
        <v>9.2258401283768823</v>
      </c>
      <c r="J86" s="188">
        <v>7.8585514263485647</v>
      </c>
      <c r="K86" s="188">
        <v>7.589044948115105</v>
      </c>
      <c r="L86" s="187">
        <v>6.778482350960795</v>
      </c>
      <c r="M86" s="187"/>
      <c r="N86" s="188">
        <v>21.021968444555103</v>
      </c>
      <c r="O86" s="188">
        <v>24.393500411166084</v>
      </c>
      <c r="P86" s="188">
        <v>20.778170719823173</v>
      </c>
      <c r="Q86" s="188">
        <v>20.065721217492296</v>
      </c>
      <c r="R86" s="187">
        <v>17.922553826207647</v>
      </c>
      <c r="S86" s="187"/>
      <c r="T86" s="188">
        <v>0</v>
      </c>
      <c r="U86" s="188">
        <v>0</v>
      </c>
      <c r="V86" s="188">
        <v>0</v>
      </c>
      <c r="W86" s="188">
        <v>0</v>
      </c>
      <c r="X86" s="187">
        <v>0</v>
      </c>
      <c r="Y86" s="90" t="str">
        <f t="shared" si="90"/>
        <v>25-29</v>
      </c>
      <c r="Z86" s="188">
        <v>104.35741449365315</v>
      </c>
      <c r="AA86" s="188">
        <v>97.185337610544352</v>
      </c>
      <c r="AB86" s="188">
        <v>95.599811894115447</v>
      </c>
      <c r="AC86" s="188">
        <v>97.118545376405621</v>
      </c>
      <c r="AD86" s="187">
        <v>91.712418531394292</v>
      </c>
      <c r="AE86" s="187"/>
      <c r="AF86" s="188">
        <v>94.421539979508964</v>
      </c>
      <c r="AG86" s="188">
        <v>87.932329636056579</v>
      </c>
      <c r="AH86" s="188">
        <v>86.497719374499709</v>
      </c>
      <c r="AI86" s="188">
        <v>87.87184276496231</v>
      </c>
      <c r="AJ86" s="187">
        <v>82.980425552523215</v>
      </c>
      <c r="AK86" s="187"/>
      <c r="AL86" s="188">
        <v>9.9358745141441993</v>
      </c>
      <c r="AM86" s="188">
        <v>9.2530079744877742</v>
      </c>
      <c r="AN86" s="188">
        <v>9.1020925196157414</v>
      </c>
      <c r="AO86" s="188">
        <v>9.2467026114433057</v>
      </c>
      <c r="AP86" s="187">
        <v>8.7319929788710677</v>
      </c>
      <c r="AQ86" s="90" t="str">
        <f t="shared" si="91"/>
        <v>25-29</v>
      </c>
      <c r="AR86" s="188">
        <v>154.57691293975205</v>
      </c>
      <c r="AS86" s="188">
        <v>158.68732184991271</v>
      </c>
      <c r="AT86" s="188">
        <v>170.7534659597128</v>
      </c>
      <c r="AU86" s="188">
        <v>191.50468845798702</v>
      </c>
      <c r="AV86" s="187">
        <v>199.18454529143727</v>
      </c>
      <c r="AW86" s="187"/>
      <c r="AX86" s="188">
        <v>153.36078875627214</v>
      </c>
      <c r="AY86" s="188">
        <v>157.4389010397588</v>
      </c>
      <c r="AZ86" s="188">
        <v>169.41011412348425</v>
      </c>
      <c r="BA86" s="188">
        <v>189.99801160263456</v>
      </c>
      <c r="BB86" s="187">
        <v>197.61746925057139</v>
      </c>
      <c r="BC86" s="187"/>
      <c r="BD86" s="188">
        <v>1.216124183479921</v>
      </c>
      <c r="BE86" s="188">
        <v>1.2484208101538898</v>
      </c>
      <c r="BF86" s="188">
        <v>1.3433518362285748</v>
      </c>
      <c r="BG86" s="188">
        <v>1.5066768553524434</v>
      </c>
      <c r="BH86" s="187">
        <v>1.5670760408658764</v>
      </c>
    </row>
    <row r="87" spans="1:60" x14ac:dyDescent="0.3">
      <c r="A87" s="90" t="str">
        <f t="shared" si="89"/>
        <v>30-34</v>
      </c>
      <c r="B87" s="188">
        <v>28.548429106302432</v>
      </c>
      <c r="C87" s="188">
        <v>33.358134400600257</v>
      </c>
      <c r="D87" s="188">
        <v>26.133347885177166</v>
      </c>
      <c r="E87" s="188">
        <v>24.365255828037625</v>
      </c>
      <c r="F87" s="187">
        <v>20.217650831183683</v>
      </c>
      <c r="G87" s="187"/>
      <c r="H87" s="188">
        <v>8.8494100941278067</v>
      </c>
      <c r="I87" s="188">
        <v>10.340333649356303</v>
      </c>
      <c r="J87" s="188">
        <v>8.1007469331818331</v>
      </c>
      <c r="K87" s="188">
        <v>7.5527322076666525</v>
      </c>
      <c r="L87" s="187">
        <v>6.2670936294528277</v>
      </c>
      <c r="M87" s="187"/>
      <c r="N87" s="188">
        <v>19.699019012174627</v>
      </c>
      <c r="O87" s="188">
        <v>23.017800751243954</v>
      </c>
      <c r="P87" s="188">
        <v>18.032600951995331</v>
      </c>
      <c r="Q87" s="188">
        <v>16.812523620370971</v>
      </c>
      <c r="R87" s="187">
        <v>13.950557201730856</v>
      </c>
      <c r="S87" s="187"/>
      <c r="T87" s="188">
        <v>0</v>
      </c>
      <c r="U87" s="188">
        <v>0</v>
      </c>
      <c r="V87" s="188">
        <v>0</v>
      </c>
      <c r="W87" s="188">
        <v>0</v>
      </c>
      <c r="X87" s="187">
        <v>0</v>
      </c>
      <c r="Y87" s="90" t="str">
        <f t="shared" si="90"/>
        <v>30-34</v>
      </c>
      <c r="Z87" s="188">
        <v>108.05302506717383</v>
      </c>
      <c r="AA87" s="188">
        <v>98.910651662683122</v>
      </c>
      <c r="AB87" s="188">
        <v>99.823038706554627</v>
      </c>
      <c r="AC87" s="188">
        <v>99.91027324420439</v>
      </c>
      <c r="AD87" s="187">
        <v>100.65577680822747</v>
      </c>
      <c r="AE87" s="187"/>
      <c r="AF87" s="188">
        <v>98.864662354008289</v>
      </c>
      <c r="AG87" s="188">
        <v>90.499770716250708</v>
      </c>
      <c r="AH87" s="188">
        <v>91.334572918369915</v>
      </c>
      <c r="AI87" s="188">
        <v>91.414386042419594</v>
      </c>
      <c r="AJ87" s="187">
        <v>92.096473466363605</v>
      </c>
      <c r="AK87" s="187"/>
      <c r="AL87" s="188">
        <v>9.1883627131655423</v>
      </c>
      <c r="AM87" s="188">
        <v>8.4108809464324228</v>
      </c>
      <c r="AN87" s="188">
        <v>8.4884657881847136</v>
      </c>
      <c r="AO87" s="188">
        <v>8.4958872017847948</v>
      </c>
      <c r="AP87" s="187">
        <v>8.5593033418638793</v>
      </c>
      <c r="AQ87" s="90" t="str">
        <f t="shared" si="91"/>
        <v>30-34</v>
      </c>
      <c r="AR87" s="188">
        <v>154.40154582652374</v>
      </c>
      <c r="AS87" s="188">
        <v>164.11921393671662</v>
      </c>
      <c r="AT87" s="188">
        <v>176.72761340826818</v>
      </c>
      <c r="AU87" s="188">
        <v>194.300470927758</v>
      </c>
      <c r="AV87" s="187">
        <v>216.50257236058886</v>
      </c>
      <c r="AW87" s="187"/>
      <c r="AX87" s="188">
        <v>152.67917871565837</v>
      </c>
      <c r="AY87" s="188">
        <v>162.28847354227025</v>
      </c>
      <c r="AZ87" s="188">
        <v>174.75627406499731</v>
      </c>
      <c r="BA87" s="188">
        <v>192.1331101550017</v>
      </c>
      <c r="BB87" s="187">
        <v>214.08754627952416</v>
      </c>
      <c r="BC87" s="187"/>
      <c r="BD87" s="188">
        <v>1.7223671108653775</v>
      </c>
      <c r="BE87" s="188">
        <v>1.8307403944463407</v>
      </c>
      <c r="BF87" s="188">
        <v>1.9713393432708828</v>
      </c>
      <c r="BG87" s="188">
        <v>2.1673607727562971</v>
      </c>
      <c r="BH87" s="187">
        <v>2.415026081064688</v>
      </c>
    </row>
    <row r="88" spans="1:60" x14ac:dyDescent="0.3">
      <c r="A88" s="90" t="str">
        <f t="shared" si="89"/>
        <v>35-39</v>
      </c>
      <c r="B88" s="188">
        <v>44.016457260235349</v>
      </c>
      <c r="C88" s="188">
        <v>39.976771904202742</v>
      </c>
      <c r="D88" s="188">
        <v>30.464108582682162</v>
      </c>
      <c r="E88" s="188">
        <v>25.442342869618368</v>
      </c>
      <c r="F88" s="187">
        <v>19.313398032930589</v>
      </c>
      <c r="G88" s="187"/>
      <c r="H88" s="188">
        <v>13.170766467977897</v>
      </c>
      <c r="I88" s="188">
        <v>11.962019761666104</v>
      </c>
      <c r="J88" s="188">
        <v>9.1155623116308764</v>
      </c>
      <c r="K88" s="188">
        <v>7.6129848602255867</v>
      </c>
      <c r="L88" s="187">
        <v>5.7790036533667513</v>
      </c>
      <c r="M88" s="187"/>
      <c r="N88" s="188">
        <v>30.845690792257454</v>
      </c>
      <c r="O88" s="188">
        <v>28.014752142536643</v>
      </c>
      <c r="P88" s="188">
        <v>21.348546271051283</v>
      </c>
      <c r="Q88" s="188">
        <v>17.829358009392781</v>
      </c>
      <c r="R88" s="187">
        <v>13.534394379563837</v>
      </c>
      <c r="S88" s="187"/>
      <c r="T88" s="188">
        <v>0</v>
      </c>
      <c r="U88" s="188">
        <v>0</v>
      </c>
      <c r="V88" s="188">
        <v>0</v>
      </c>
      <c r="W88" s="188">
        <v>0</v>
      </c>
      <c r="X88" s="187">
        <v>0</v>
      </c>
      <c r="Y88" s="90" t="str">
        <f t="shared" si="90"/>
        <v>35-39</v>
      </c>
      <c r="Z88" s="188">
        <v>124.3317548459237</v>
      </c>
      <c r="AA88" s="188">
        <v>115.20319439668521</v>
      </c>
      <c r="AB88" s="188">
        <v>103.99848531956397</v>
      </c>
      <c r="AC88" s="188">
        <v>107.78515736503378</v>
      </c>
      <c r="AD88" s="187">
        <v>110.93136167790429</v>
      </c>
      <c r="AE88" s="187"/>
      <c r="AF88" s="188">
        <v>116.17651410584847</v>
      </c>
      <c r="AG88" s="188">
        <v>107.64676072030048</v>
      </c>
      <c r="AH88" s="188">
        <v>97.176962171565435</v>
      </c>
      <c r="AI88" s="188">
        <v>100.71524913353808</v>
      </c>
      <c r="AJ88" s="187">
        <v>103.65514843528025</v>
      </c>
      <c r="AK88" s="187"/>
      <c r="AL88" s="188">
        <v>8.1552407400752234</v>
      </c>
      <c r="AM88" s="188">
        <v>7.5564336763847377</v>
      </c>
      <c r="AN88" s="188">
        <v>6.821523147998537</v>
      </c>
      <c r="AO88" s="188">
        <v>7.06990823149569</v>
      </c>
      <c r="AP88" s="187">
        <v>7.2762132426240571</v>
      </c>
      <c r="AQ88" s="90" t="str">
        <f t="shared" si="91"/>
        <v>35-39</v>
      </c>
      <c r="AR88" s="188">
        <v>141.16078789384099</v>
      </c>
      <c r="AS88" s="188">
        <v>157.71103369911205</v>
      </c>
      <c r="AT88" s="188">
        <v>168.57540609775387</v>
      </c>
      <c r="AU88" s="188">
        <v>191.25249976534786</v>
      </c>
      <c r="AV88" s="187">
        <v>212.66724028916508</v>
      </c>
      <c r="AW88" s="187"/>
      <c r="AX88" s="188">
        <v>139.58664839223439</v>
      </c>
      <c r="AY88" s="188">
        <v>155.9523133601179</v>
      </c>
      <c r="AZ88" s="188">
        <v>166.69556733261371</v>
      </c>
      <c r="BA88" s="188">
        <v>189.11981088672707</v>
      </c>
      <c r="BB88" s="187">
        <v>210.29565301075678</v>
      </c>
      <c r="BC88" s="187"/>
      <c r="BD88" s="188">
        <v>1.5741395016066007</v>
      </c>
      <c r="BE88" s="188">
        <v>1.758720338994133</v>
      </c>
      <c r="BF88" s="188">
        <v>1.8798387651401465</v>
      </c>
      <c r="BG88" s="188">
        <v>2.1326888786208036</v>
      </c>
      <c r="BH88" s="187">
        <v>2.3715872784083478</v>
      </c>
    </row>
    <row r="89" spans="1:60" x14ac:dyDescent="0.3">
      <c r="A89" s="90" t="str">
        <f t="shared" si="89"/>
        <v>40-44</v>
      </c>
      <c r="B89" s="188">
        <v>62.562497845796578</v>
      </c>
      <c r="C89" s="188">
        <v>52.041253862300799</v>
      </c>
      <c r="D89" s="188">
        <v>37.292808343338905</v>
      </c>
      <c r="E89" s="188">
        <v>25.730317953372698</v>
      </c>
      <c r="F89" s="187">
        <v>17.848161884307732</v>
      </c>
      <c r="G89" s="187"/>
      <c r="H89" s="188">
        <v>21.068964130305993</v>
      </c>
      <c r="I89" s="188">
        <v>17.525770127794758</v>
      </c>
      <c r="J89" s="188">
        <v>12.558954308409454</v>
      </c>
      <c r="K89" s="188">
        <v>8.6650962158735219</v>
      </c>
      <c r="L89" s="187">
        <v>6.0106773270790361</v>
      </c>
      <c r="M89" s="187"/>
      <c r="N89" s="188">
        <v>41.493533715490578</v>
      </c>
      <c r="O89" s="188">
        <v>34.515483734506034</v>
      </c>
      <c r="P89" s="188">
        <v>24.73385403492945</v>
      </c>
      <c r="Q89" s="188">
        <v>17.065221737499176</v>
      </c>
      <c r="R89" s="187">
        <v>11.837484557228693</v>
      </c>
      <c r="S89" s="187"/>
      <c r="T89" s="188">
        <v>0</v>
      </c>
      <c r="U89" s="188">
        <v>0</v>
      </c>
      <c r="V89" s="188">
        <v>0</v>
      </c>
      <c r="W89" s="188">
        <v>0</v>
      </c>
      <c r="X89" s="187">
        <v>0</v>
      </c>
      <c r="Y89" s="90" t="str">
        <f t="shared" si="90"/>
        <v>40-44</v>
      </c>
      <c r="Z89" s="188">
        <v>133.43211125882925</v>
      </c>
      <c r="AA89" s="188">
        <v>124.30920077827601</v>
      </c>
      <c r="AB89" s="188">
        <v>114.42328927804037</v>
      </c>
      <c r="AC89" s="188">
        <v>113.59093257500689</v>
      </c>
      <c r="AD89" s="187">
        <v>119.96086291422256</v>
      </c>
      <c r="AE89" s="187"/>
      <c r="AF89" s="188">
        <v>125.56555151187415</v>
      </c>
      <c r="AG89" s="188">
        <v>116.9805269711083</v>
      </c>
      <c r="AH89" s="188">
        <v>107.6774160354275</v>
      </c>
      <c r="AI89" s="188">
        <v>106.89413288813921</v>
      </c>
      <c r="AJ89" s="187">
        <v>112.88853405200165</v>
      </c>
      <c r="AK89" s="187"/>
      <c r="AL89" s="188">
        <v>7.8665597469551063</v>
      </c>
      <c r="AM89" s="188">
        <v>7.3286738071676902</v>
      </c>
      <c r="AN89" s="188">
        <v>6.7458732426128867</v>
      </c>
      <c r="AO89" s="188">
        <v>6.6967996868676751</v>
      </c>
      <c r="AP89" s="187">
        <v>7.0723288622208971</v>
      </c>
      <c r="AQ89" s="90" t="str">
        <f t="shared" si="91"/>
        <v>40-44</v>
      </c>
      <c r="AR89" s="188">
        <v>128.51739089537415</v>
      </c>
      <c r="AS89" s="188">
        <v>144.36154535942319</v>
      </c>
      <c r="AT89" s="188">
        <v>158.66390237862072</v>
      </c>
      <c r="AU89" s="188">
        <v>166.99874947162044</v>
      </c>
      <c r="AV89" s="187">
        <v>185.07097520146974</v>
      </c>
      <c r="AW89" s="187"/>
      <c r="AX89" s="188">
        <v>126.94819387148412</v>
      </c>
      <c r="AY89" s="188">
        <v>142.59892905662338</v>
      </c>
      <c r="AZ89" s="188">
        <v>156.72664379404665</v>
      </c>
      <c r="BA89" s="188">
        <v>164.95975684612029</v>
      </c>
      <c r="BB89" s="187">
        <v>182.81128024141026</v>
      </c>
      <c r="BC89" s="187"/>
      <c r="BD89" s="188">
        <v>1.5691970238900339</v>
      </c>
      <c r="BE89" s="188">
        <v>1.7626163027998376</v>
      </c>
      <c r="BF89" s="188">
        <v>1.937258584574042</v>
      </c>
      <c r="BG89" s="188">
        <v>2.0389926255001587</v>
      </c>
      <c r="BH89" s="187">
        <v>2.2596949600594747</v>
      </c>
    </row>
    <row r="90" spans="1:60" x14ac:dyDescent="0.3">
      <c r="A90" s="90" t="str">
        <f t="shared" si="89"/>
        <v>45-49</v>
      </c>
      <c r="B90" s="188">
        <v>76.803506450596231</v>
      </c>
      <c r="C90" s="188">
        <v>72.369670614720619</v>
      </c>
      <c r="D90" s="188">
        <v>46.757578011014346</v>
      </c>
      <c r="E90" s="188">
        <v>32.914709981477799</v>
      </c>
      <c r="F90" s="187">
        <v>22.643570627464889</v>
      </c>
      <c r="G90" s="187"/>
      <c r="H90" s="188">
        <v>27.94396864638491</v>
      </c>
      <c r="I90" s="188">
        <v>26.330826958934129</v>
      </c>
      <c r="J90" s="188">
        <v>17.012164489510464</v>
      </c>
      <c r="K90" s="188">
        <v>11.975614453855373</v>
      </c>
      <c r="L90" s="187">
        <v>8.2386021908984706</v>
      </c>
      <c r="M90" s="187"/>
      <c r="N90" s="188">
        <v>48.859537804211321</v>
      </c>
      <c r="O90" s="188">
        <v>46.038843655786486</v>
      </c>
      <c r="P90" s="188">
        <v>29.745413521503881</v>
      </c>
      <c r="Q90" s="188">
        <v>20.939095527622428</v>
      </c>
      <c r="R90" s="187">
        <v>14.404968436566421</v>
      </c>
      <c r="S90" s="187"/>
      <c r="T90" s="188">
        <v>0</v>
      </c>
      <c r="U90" s="188">
        <v>0</v>
      </c>
      <c r="V90" s="188">
        <v>0</v>
      </c>
      <c r="W90" s="188">
        <v>0</v>
      </c>
      <c r="X90" s="187">
        <v>0</v>
      </c>
      <c r="Y90" s="90" t="str">
        <f t="shared" si="90"/>
        <v>45-49</v>
      </c>
      <c r="Z90" s="188">
        <v>119.91671183726781</v>
      </c>
      <c r="AA90" s="188">
        <v>117.54013515583459</v>
      </c>
      <c r="AB90" s="188">
        <v>126.00211978783305</v>
      </c>
      <c r="AC90" s="188">
        <v>129.89925725652535</v>
      </c>
      <c r="AD90" s="187">
        <v>132.56976051535059</v>
      </c>
      <c r="AE90" s="187"/>
      <c r="AF90" s="188">
        <v>113.53631898468487</v>
      </c>
      <c r="AG90" s="188">
        <v>111.28619702022586</v>
      </c>
      <c r="AH90" s="188">
        <v>119.29796634507618</v>
      </c>
      <c r="AI90" s="188">
        <v>122.98778022947444</v>
      </c>
      <c r="AJ90" s="187">
        <v>125.51614028502338</v>
      </c>
      <c r="AK90" s="187"/>
      <c r="AL90" s="188">
        <v>6.3803928525829319</v>
      </c>
      <c r="AM90" s="188">
        <v>6.2539381356087462</v>
      </c>
      <c r="AN90" s="188">
        <v>6.7041534427568807</v>
      </c>
      <c r="AO90" s="188">
        <v>6.9114770270509069</v>
      </c>
      <c r="AP90" s="187">
        <v>7.0536202303272111</v>
      </c>
      <c r="AQ90" s="90" t="str">
        <f t="shared" si="91"/>
        <v>45-49</v>
      </c>
      <c r="AR90" s="188">
        <v>113.07878171213598</v>
      </c>
      <c r="AS90" s="188">
        <v>125.98319422944476</v>
      </c>
      <c r="AT90" s="188">
        <v>142.77630220115262</v>
      </c>
      <c r="AU90" s="188">
        <v>151.84003276199684</v>
      </c>
      <c r="AV90" s="187">
        <v>159.15166885718455</v>
      </c>
      <c r="AW90" s="187"/>
      <c r="AX90" s="188">
        <v>111.76159647140302</v>
      </c>
      <c r="AY90" s="188">
        <v>124.51577593370071</v>
      </c>
      <c r="AZ90" s="188">
        <v>141.11320504624786</v>
      </c>
      <c r="BA90" s="188">
        <v>150.07143093938149</v>
      </c>
      <c r="BB90" s="187">
        <v>157.29788066457172</v>
      </c>
      <c r="BC90" s="187"/>
      <c r="BD90" s="188">
        <v>1.3171852407329641</v>
      </c>
      <c r="BE90" s="188">
        <v>1.4674182957440471</v>
      </c>
      <c r="BF90" s="188">
        <v>1.663097154904764</v>
      </c>
      <c r="BG90" s="188">
        <v>1.7686018226153735</v>
      </c>
      <c r="BH90" s="187">
        <v>1.8537881926128472</v>
      </c>
    </row>
    <row r="91" spans="1:60" x14ac:dyDescent="0.3">
      <c r="A91" s="90" t="str">
        <f t="shared" si="89"/>
        <v>50-54</v>
      </c>
      <c r="B91" s="188">
        <v>74.130845817172315</v>
      </c>
      <c r="C91" s="188">
        <v>76.292901659215687</v>
      </c>
      <c r="D91" s="188">
        <v>62.868745854171486</v>
      </c>
      <c r="E91" s="188">
        <v>48.927498060783627</v>
      </c>
      <c r="F91" s="187">
        <v>37.108932956215206</v>
      </c>
      <c r="G91" s="187"/>
      <c r="H91" s="188">
        <v>27.517951911427684</v>
      </c>
      <c r="I91" s="188">
        <v>28.320507284713951</v>
      </c>
      <c r="J91" s="188">
        <v>23.337364458948031</v>
      </c>
      <c r="K91" s="188">
        <v>18.162254416964728</v>
      </c>
      <c r="L91" s="187">
        <v>13.775148267079187</v>
      </c>
      <c r="M91" s="187"/>
      <c r="N91" s="188">
        <v>46.612893905744635</v>
      </c>
      <c r="O91" s="188">
        <v>47.972394374501732</v>
      </c>
      <c r="P91" s="188">
        <v>39.531381395223455</v>
      </c>
      <c r="Q91" s="188">
        <v>30.765243643818895</v>
      </c>
      <c r="R91" s="187">
        <v>23.333784689136024</v>
      </c>
      <c r="S91" s="187"/>
      <c r="T91" s="188">
        <v>0</v>
      </c>
      <c r="U91" s="188">
        <v>0</v>
      </c>
      <c r="V91" s="188">
        <v>0</v>
      </c>
      <c r="W91" s="188">
        <v>0</v>
      </c>
      <c r="X91" s="187">
        <v>0</v>
      </c>
      <c r="Y91" s="90" t="str">
        <f t="shared" si="90"/>
        <v>50-54</v>
      </c>
      <c r="Z91" s="188">
        <v>86.760993384439232</v>
      </c>
      <c r="AA91" s="188">
        <v>96.953240370929649</v>
      </c>
      <c r="AB91" s="188">
        <v>105.73855197584399</v>
      </c>
      <c r="AC91" s="188">
        <v>116.22864044167615</v>
      </c>
      <c r="AD91" s="187">
        <v>126.02469049917889</v>
      </c>
      <c r="AE91" s="187"/>
      <c r="AF91" s="188">
        <v>81.596570349738855</v>
      </c>
      <c r="AG91" s="188">
        <v>91.182181714094824</v>
      </c>
      <c r="AH91" s="188">
        <v>99.444551689154906</v>
      </c>
      <c r="AI91" s="188">
        <v>109.31026683421746</v>
      </c>
      <c r="AJ91" s="187">
        <v>118.52317446256983</v>
      </c>
      <c r="AK91" s="187"/>
      <c r="AL91" s="188">
        <v>5.1644230347003779</v>
      </c>
      <c r="AM91" s="188">
        <v>5.7710586568348159</v>
      </c>
      <c r="AN91" s="188">
        <v>6.2940002866890863</v>
      </c>
      <c r="AO91" s="188">
        <v>6.9183736074586868</v>
      </c>
      <c r="AP91" s="187">
        <v>7.5015160366090656</v>
      </c>
      <c r="AQ91" s="90" t="str">
        <f t="shared" si="91"/>
        <v>50-54</v>
      </c>
      <c r="AR91" s="188">
        <v>76.999160798388473</v>
      </c>
      <c r="AS91" s="188">
        <v>96.560857969854624</v>
      </c>
      <c r="AT91" s="188">
        <v>116.57270216998455</v>
      </c>
      <c r="AU91" s="188">
        <v>128.98986149754023</v>
      </c>
      <c r="AV91" s="187">
        <v>140.9583765446059</v>
      </c>
      <c r="AW91" s="187"/>
      <c r="AX91" s="188">
        <v>76.294968712849709</v>
      </c>
      <c r="AY91" s="188">
        <v>95.677849729956222</v>
      </c>
      <c r="AZ91" s="188">
        <v>115.50670905420014</v>
      </c>
      <c r="BA91" s="188">
        <v>127.81028960948962</v>
      </c>
      <c r="BB91" s="187">
        <v>139.6692906114707</v>
      </c>
      <c r="BC91" s="187"/>
      <c r="BD91" s="188">
        <v>0.70419208553877055</v>
      </c>
      <c r="BE91" s="188">
        <v>0.88300823989842003</v>
      </c>
      <c r="BF91" s="188">
        <v>1.0659931157844085</v>
      </c>
      <c r="BG91" s="188">
        <v>1.1795718880506243</v>
      </c>
      <c r="BH91" s="187">
        <v>1.2890859331351963</v>
      </c>
    </row>
    <row r="92" spans="1:60" x14ac:dyDescent="0.3">
      <c r="A92" s="90" t="str">
        <f t="shared" si="89"/>
        <v>55-59</v>
      </c>
      <c r="B92" s="188">
        <v>50.123111298551322</v>
      </c>
      <c r="C92" s="188">
        <v>49.323988494669976</v>
      </c>
      <c r="D92" s="188">
        <v>54.734368903773372</v>
      </c>
      <c r="E92" s="188">
        <v>46.878192366194043</v>
      </c>
      <c r="F92" s="187">
        <v>36.717928947865651</v>
      </c>
      <c r="G92" s="187"/>
      <c r="H92" s="188">
        <v>20.068212623946785</v>
      </c>
      <c r="I92" s="188">
        <v>19.748271942588062</v>
      </c>
      <c r="J92" s="188">
        <v>21.914478270879478</v>
      </c>
      <c r="K92" s="188">
        <v>18.76897099596793</v>
      </c>
      <c r="L92" s="187">
        <v>14.701046063760439</v>
      </c>
      <c r="M92" s="187"/>
      <c r="N92" s="188">
        <v>30.054898674604537</v>
      </c>
      <c r="O92" s="188">
        <v>29.575716552081918</v>
      </c>
      <c r="P92" s="188">
        <v>32.819890632893888</v>
      </c>
      <c r="Q92" s="188">
        <v>28.109221370226116</v>
      </c>
      <c r="R92" s="187">
        <v>22.016882884105211</v>
      </c>
      <c r="S92" s="187"/>
      <c r="T92" s="188">
        <v>0</v>
      </c>
      <c r="U92" s="188">
        <v>0</v>
      </c>
      <c r="V92" s="188">
        <v>0</v>
      </c>
      <c r="W92" s="188">
        <v>0</v>
      </c>
      <c r="X92" s="187">
        <v>0</v>
      </c>
      <c r="Y92" s="90" t="str">
        <f t="shared" si="90"/>
        <v>55-59</v>
      </c>
      <c r="Z92" s="188">
        <v>50.022718415568512</v>
      </c>
      <c r="AA92" s="188">
        <v>54.941387327680005</v>
      </c>
      <c r="AB92" s="188">
        <v>78.772938863638728</v>
      </c>
      <c r="AC92" s="188">
        <v>94.437586570976393</v>
      </c>
      <c r="AD92" s="187">
        <v>103.91445213238326</v>
      </c>
      <c r="AE92" s="187"/>
      <c r="AF92" s="188">
        <v>46.530169779779939</v>
      </c>
      <c r="AG92" s="188">
        <v>51.105378605023787</v>
      </c>
      <c r="AH92" s="188">
        <v>73.273049746677671</v>
      </c>
      <c r="AI92" s="188">
        <v>87.843993736619538</v>
      </c>
      <c r="AJ92" s="187">
        <v>96.659206845843883</v>
      </c>
      <c r="AK92" s="187"/>
      <c r="AL92" s="188">
        <v>3.4925486357885691</v>
      </c>
      <c r="AM92" s="188">
        <v>3.8360087226562167</v>
      </c>
      <c r="AN92" s="188">
        <v>5.4998891169610493</v>
      </c>
      <c r="AO92" s="188">
        <v>6.5935928343568344</v>
      </c>
      <c r="AP92" s="187">
        <v>7.2552452865393828</v>
      </c>
      <c r="AQ92" s="90" t="str">
        <f t="shared" si="91"/>
        <v>55-59</v>
      </c>
      <c r="AR92" s="188">
        <v>43.944170285880162</v>
      </c>
      <c r="AS92" s="188">
        <v>55.229624177650017</v>
      </c>
      <c r="AT92" s="188">
        <v>80.0286922325879</v>
      </c>
      <c r="AU92" s="188">
        <v>97.06122106282956</v>
      </c>
      <c r="AV92" s="187">
        <v>107.73061891975107</v>
      </c>
      <c r="AW92" s="187"/>
      <c r="AX92" s="188">
        <v>43.298834557519996</v>
      </c>
      <c r="AY92" s="188">
        <v>54.418522326695687</v>
      </c>
      <c r="AZ92" s="188">
        <v>78.853443932668</v>
      </c>
      <c r="BA92" s="188">
        <v>95.635738085376531</v>
      </c>
      <c r="BB92" s="187">
        <v>106.14856157242835</v>
      </c>
      <c r="BC92" s="187"/>
      <c r="BD92" s="188">
        <v>0.64533572836017361</v>
      </c>
      <c r="BE92" s="188">
        <v>0.81110185095432563</v>
      </c>
      <c r="BF92" s="188">
        <v>1.1752482999198919</v>
      </c>
      <c r="BG92" s="188">
        <v>1.4254829774530267</v>
      </c>
      <c r="BH92" s="187">
        <v>1.5820573473227093</v>
      </c>
    </row>
    <row r="93" spans="1:60" x14ac:dyDescent="0.3">
      <c r="A93" s="90" t="str">
        <f t="shared" si="89"/>
        <v>60-64</v>
      </c>
      <c r="B93" s="188">
        <v>13.764231925065078</v>
      </c>
      <c r="C93" s="188">
        <v>18.76836361753071</v>
      </c>
      <c r="D93" s="188">
        <v>18.508542780694757</v>
      </c>
      <c r="E93" s="188">
        <v>17.452835144978611</v>
      </c>
      <c r="F93" s="187">
        <v>14.804084816049919</v>
      </c>
      <c r="G93" s="187"/>
      <c r="H93" s="188">
        <v>6.6702307458031802</v>
      </c>
      <c r="I93" s="188">
        <v>9.0952856087735459</v>
      </c>
      <c r="J93" s="188">
        <v>8.9693500547268563</v>
      </c>
      <c r="K93" s="188">
        <v>8.4577572298816346</v>
      </c>
      <c r="L93" s="187">
        <v>7.1741516654067379</v>
      </c>
      <c r="M93" s="187"/>
      <c r="N93" s="188">
        <v>7.0940011792618973</v>
      </c>
      <c r="O93" s="188">
        <v>9.6730780087571677</v>
      </c>
      <c r="P93" s="188">
        <v>9.5391927259679008</v>
      </c>
      <c r="Q93" s="188">
        <v>8.9950779150969762</v>
      </c>
      <c r="R93" s="187">
        <v>7.62993315064318</v>
      </c>
      <c r="S93" s="187"/>
      <c r="T93" s="188">
        <v>0</v>
      </c>
      <c r="U93" s="188">
        <v>0</v>
      </c>
      <c r="V93" s="188">
        <v>0</v>
      </c>
      <c r="W93" s="188">
        <v>0</v>
      </c>
      <c r="X93" s="187">
        <v>0</v>
      </c>
      <c r="Y93" s="90" t="str">
        <f t="shared" si="90"/>
        <v>60-64</v>
      </c>
      <c r="Z93" s="188">
        <v>12.31020529409596</v>
      </c>
      <c r="AA93" s="188">
        <v>14.261344557443534</v>
      </c>
      <c r="AB93" s="188">
        <v>21.71515850756559</v>
      </c>
      <c r="AC93" s="188">
        <v>28.490108641285989</v>
      </c>
      <c r="AD93" s="187">
        <v>34.561262922202097</v>
      </c>
      <c r="AE93" s="187"/>
      <c r="AF93" s="188">
        <v>11.043928783107889</v>
      </c>
      <c r="AG93" s="188">
        <v>12.794409216272046</v>
      </c>
      <c r="AH93" s="188">
        <v>19.481518497742734</v>
      </c>
      <c r="AI93" s="188">
        <v>25.559606891725771</v>
      </c>
      <c r="AJ93" s="187">
        <v>31.006230901067084</v>
      </c>
      <c r="AK93" s="187"/>
      <c r="AL93" s="188">
        <v>1.2662765109880707</v>
      </c>
      <c r="AM93" s="188">
        <v>1.4669353411714883</v>
      </c>
      <c r="AN93" s="188">
        <v>2.233640009822857</v>
      </c>
      <c r="AO93" s="188">
        <v>2.9305017495602126</v>
      </c>
      <c r="AP93" s="187">
        <v>3.5550320211350139</v>
      </c>
      <c r="AQ93" s="90" t="str">
        <f t="shared" si="91"/>
        <v>60-64</v>
      </c>
      <c r="AR93" s="188">
        <v>10.014562780838963</v>
      </c>
      <c r="AS93" s="188">
        <v>15.861291825025759</v>
      </c>
      <c r="AT93" s="188">
        <v>24.782298711739656</v>
      </c>
      <c r="AU93" s="188">
        <v>32.955056213735411</v>
      </c>
      <c r="AV93" s="187">
        <v>41.965652261747991</v>
      </c>
      <c r="AW93" s="187"/>
      <c r="AX93" s="188">
        <v>9.3191096537115143</v>
      </c>
      <c r="AY93" s="188">
        <v>14.759802271763046</v>
      </c>
      <c r="AZ93" s="188">
        <v>23.061241083126763</v>
      </c>
      <c r="BA93" s="188">
        <v>30.666373272484456</v>
      </c>
      <c r="BB93" s="187">
        <v>39.05130130334193</v>
      </c>
      <c r="BC93" s="187"/>
      <c r="BD93" s="188">
        <v>0.69545312712745089</v>
      </c>
      <c r="BE93" s="188">
        <v>1.1014895532627123</v>
      </c>
      <c r="BF93" s="188">
        <v>1.721057628612892</v>
      </c>
      <c r="BG93" s="188">
        <v>2.2886829412509542</v>
      </c>
      <c r="BH93" s="187">
        <v>2.9143509584060596</v>
      </c>
    </row>
    <row r="94" spans="1:60" x14ac:dyDescent="0.3">
      <c r="A94" s="91" t="str">
        <f t="shared" si="89"/>
        <v>65+</v>
      </c>
      <c r="B94" s="188">
        <v>5.0275971766300218</v>
      </c>
      <c r="C94" s="188">
        <v>5.0571710967350976</v>
      </c>
      <c r="D94" s="188">
        <v>5.0002589845625298</v>
      </c>
      <c r="E94" s="188">
        <v>3.9459227571467377</v>
      </c>
      <c r="F94" s="187">
        <v>3.6918171007746805</v>
      </c>
      <c r="G94" s="189"/>
      <c r="H94" s="188">
        <v>2.987417610658246</v>
      </c>
      <c r="I94" s="188">
        <v>3.0049961668141885</v>
      </c>
      <c r="J94" s="188">
        <v>2.9711593642715379</v>
      </c>
      <c r="K94" s="188">
        <v>2.3446844102127109</v>
      </c>
      <c r="L94" s="187">
        <v>2.1936853336258615</v>
      </c>
      <c r="M94" s="189"/>
      <c r="N94" s="188">
        <v>2.0401795659717767</v>
      </c>
      <c r="O94" s="188">
        <v>2.0521749299209091</v>
      </c>
      <c r="P94" s="188">
        <v>2.0290996202909919</v>
      </c>
      <c r="Q94" s="188">
        <v>1.6012383469340266</v>
      </c>
      <c r="R94" s="187">
        <v>1.4981317671488188</v>
      </c>
      <c r="S94" s="189"/>
      <c r="T94" s="189">
        <v>0</v>
      </c>
      <c r="U94" s="189">
        <v>0</v>
      </c>
      <c r="V94" s="189">
        <v>0</v>
      </c>
      <c r="W94" s="189">
        <v>0</v>
      </c>
      <c r="X94" s="189">
        <v>0</v>
      </c>
      <c r="Y94" s="91" t="str">
        <f t="shared" si="90"/>
        <v>65+</v>
      </c>
      <c r="Z94" s="188">
        <v>2.7461652297525743</v>
      </c>
      <c r="AA94" s="188">
        <v>4.055911790969331</v>
      </c>
      <c r="AB94" s="188">
        <v>3.5612495126359529</v>
      </c>
      <c r="AC94" s="188">
        <v>3.9532933888693056</v>
      </c>
      <c r="AD94" s="187">
        <v>5.2021489926704287</v>
      </c>
      <c r="AE94" s="189"/>
      <c r="AF94" s="188">
        <v>2.4974123148764233</v>
      </c>
      <c r="AG94" s="188">
        <v>3.6885697608652581</v>
      </c>
      <c r="AH94" s="188">
        <v>3.2387036749219651</v>
      </c>
      <c r="AI94" s="188">
        <v>3.5952382484733798</v>
      </c>
      <c r="AJ94" s="187">
        <v>4.7309759551497086</v>
      </c>
      <c r="AK94" s="189"/>
      <c r="AL94" s="188">
        <v>0.24875291487615106</v>
      </c>
      <c r="AM94" s="188">
        <v>0.3673420301040734</v>
      </c>
      <c r="AN94" s="188">
        <v>0.32254583771398837</v>
      </c>
      <c r="AO94" s="188">
        <v>0.35805514039592606</v>
      </c>
      <c r="AP94" s="187">
        <v>0.47117303752072126</v>
      </c>
      <c r="AQ94" s="91" t="str">
        <f t="shared" si="91"/>
        <v>65+</v>
      </c>
      <c r="AR94" s="188">
        <v>2.4962375936174048</v>
      </c>
      <c r="AS94" s="188">
        <v>4.1209171122955697</v>
      </c>
      <c r="AT94" s="188">
        <v>4.3774915028015169</v>
      </c>
      <c r="AU94" s="188">
        <v>5.7297838539839567</v>
      </c>
      <c r="AV94" s="187">
        <v>8.4160339065548904</v>
      </c>
      <c r="AW94" s="189"/>
      <c r="AX94" s="188">
        <v>2.4393838610275034</v>
      </c>
      <c r="AY94" s="188">
        <v>4.0270912403022177</v>
      </c>
      <c r="AZ94" s="188">
        <v>4.2777979690182679</v>
      </c>
      <c r="BA94" s="188">
        <v>5.5993484434809799</v>
      </c>
      <c r="BB94" s="187">
        <v>8.2244038402405248</v>
      </c>
      <c r="BC94" s="189"/>
      <c r="BD94" s="188">
        <v>5.6853732589901257E-2</v>
      </c>
      <c r="BE94" s="188">
        <v>9.3825871993351684E-2</v>
      </c>
      <c r="BF94" s="188">
        <v>9.9693533783248439E-2</v>
      </c>
      <c r="BG94" s="188">
        <v>0.13043541050297702</v>
      </c>
      <c r="BH94" s="187">
        <v>0.19163006631436572</v>
      </c>
    </row>
    <row r="95" spans="1:60" x14ac:dyDescent="0.3">
      <c r="A95" s="95"/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Y95" s="95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95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</row>
    <row r="97" spans="1:1" x14ac:dyDescent="0.3">
      <c r="A97" s="90" t="s">
        <v>106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45" x14ac:dyDescent="0.3"/>
  <cols>
    <col min="1" max="3" width="26.69140625" customWidth="1"/>
    <col min="4" max="4" width="46.53515625" customWidth="1"/>
    <col min="5" max="5" width="36.3046875" customWidth="1"/>
    <col min="6" max="7" width="34.69140625" customWidth="1"/>
    <col min="8" max="8" width="6.15234375" customWidth="1"/>
    <col min="9" max="9" width="20.3046875" customWidth="1"/>
    <col min="10" max="10" width="4.84375" customWidth="1"/>
    <col min="11" max="11" width="24.69140625" customWidth="1"/>
    <col min="12" max="12" width="9.15234375" customWidth="1"/>
  </cols>
  <sheetData>
    <row r="1" spans="1:12" x14ac:dyDescent="0.3">
      <c r="A1" s="226" t="s">
        <v>246</v>
      </c>
      <c r="B1" s="226" t="s">
        <v>306</v>
      </c>
      <c r="C1" s="226" t="s">
        <v>4</v>
      </c>
      <c r="D1" s="226" t="s">
        <v>474</v>
      </c>
      <c r="E1" s="226" t="s">
        <v>320</v>
      </c>
      <c r="F1" s="228" t="s">
        <v>326</v>
      </c>
      <c r="G1" s="228" t="s">
        <v>345</v>
      </c>
      <c r="H1" s="228" t="s">
        <v>328</v>
      </c>
      <c r="I1" s="228"/>
      <c r="J1" s="228" t="s">
        <v>329</v>
      </c>
      <c r="K1" s="125"/>
      <c r="L1" s="1"/>
    </row>
    <row r="2" spans="1:12" s="13" customFormat="1" x14ac:dyDescent="0.3">
      <c r="A2" s="227" t="s">
        <v>347</v>
      </c>
      <c r="B2" s="227" t="s">
        <v>343</v>
      </c>
      <c r="C2" s="227" t="s">
        <v>344</v>
      </c>
      <c r="D2" s="125" t="s">
        <v>319</v>
      </c>
      <c r="E2" s="125" t="s">
        <v>321</v>
      </c>
      <c r="F2" s="227" t="s">
        <v>38</v>
      </c>
      <c r="G2" s="227" t="s">
        <v>346</v>
      </c>
      <c r="H2" s="125" t="s">
        <v>330</v>
      </c>
      <c r="I2" s="125" t="s">
        <v>100</v>
      </c>
      <c r="J2" s="125" t="s">
        <v>331</v>
      </c>
      <c r="K2" s="125" t="s">
        <v>332</v>
      </c>
      <c r="L2" s="82"/>
    </row>
    <row r="3" spans="1:12" x14ac:dyDescent="0.3">
      <c r="A3" s="10" t="s">
        <v>0</v>
      </c>
      <c r="B3" s="125" t="s">
        <v>0</v>
      </c>
      <c r="C3" s="10" t="s">
        <v>0</v>
      </c>
      <c r="D3" s="125" t="s">
        <v>10</v>
      </c>
      <c r="E3" s="125" t="s">
        <v>10</v>
      </c>
      <c r="F3" s="125" t="s">
        <v>37</v>
      </c>
      <c r="G3" s="125" t="s">
        <v>37</v>
      </c>
      <c r="H3" s="125" t="s">
        <v>333</v>
      </c>
      <c r="I3" s="125" t="s">
        <v>98</v>
      </c>
      <c r="J3" s="125" t="s">
        <v>334</v>
      </c>
      <c r="K3" s="125" t="s">
        <v>335</v>
      </c>
    </row>
    <row r="4" spans="1:12" x14ac:dyDescent="0.3">
      <c r="A4" s="10" t="s">
        <v>80</v>
      </c>
      <c r="B4" s="125" t="s">
        <v>307</v>
      </c>
      <c r="C4" s="10" t="s">
        <v>243</v>
      </c>
      <c r="D4" s="125" t="s">
        <v>475</v>
      </c>
      <c r="E4" s="125" t="s">
        <v>322</v>
      </c>
      <c r="F4" s="125" t="s">
        <v>450</v>
      </c>
      <c r="G4" s="125" t="s">
        <v>458</v>
      </c>
      <c r="H4" s="125" t="s">
        <v>336</v>
      </c>
      <c r="I4" s="125" t="s">
        <v>99</v>
      </c>
      <c r="J4" s="125" t="s">
        <v>337</v>
      </c>
      <c r="K4" s="125" t="s">
        <v>338</v>
      </c>
    </row>
    <row r="5" spans="1:12" x14ac:dyDescent="0.3">
      <c r="A5" s="10" t="s">
        <v>247</v>
      </c>
      <c r="B5" s="125" t="s">
        <v>81</v>
      </c>
      <c r="C5" s="10" t="s">
        <v>8</v>
      </c>
      <c r="D5" s="125" t="s">
        <v>476</v>
      </c>
      <c r="E5" s="125" t="s">
        <v>323</v>
      </c>
      <c r="F5" s="125" t="s">
        <v>451</v>
      </c>
      <c r="G5" s="125" t="s">
        <v>459</v>
      </c>
      <c r="H5" s="125"/>
      <c r="I5" s="125"/>
      <c r="J5" s="125" t="s">
        <v>339</v>
      </c>
      <c r="K5" s="125" t="s">
        <v>340</v>
      </c>
    </row>
    <row r="6" spans="1:12" x14ac:dyDescent="0.3">
      <c r="A6" s="10" t="s">
        <v>248</v>
      </c>
      <c r="B6" s="125" t="s">
        <v>308</v>
      </c>
      <c r="C6" s="10" t="s">
        <v>2</v>
      </c>
      <c r="D6" s="125" t="s">
        <v>477</v>
      </c>
      <c r="E6" s="125" t="s">
        <v>478</v>
      </c>
      <c r="F6" s="125" t="s">
        <v>452</v>
      </c>
      <c r="G6" s="125" t="s">
        <v>455</v>
      </c>
      <c r="H6" s="125"/>
      <c r="I6" s="125"/>
      <c r="J6" s="125" t="s">
        <v>341</v>
      </c>
      <c r="K6" s="125" t="s">
        <v>342</v>
      </c>
    </row>
    <row r="7" spans="1:12" x14ac:dyDescent="0.3">
      <c r="A7" s="10" t="s">
        <v>249</v>
      </c>
      <c r="B7" s="125" t="s">
        <v>5</v>
      </c>
      <c r="C7" s="10" t="s">
        <v>244</v>
      </c>
      <c r="D7" s="125" t="s">
        <v>479</v>
      </c>
      <c r="E7" s="125" t="s">
        <v>480</v>
      </c>
      <c r="F7" s="125" t="s">
        <v>453</v>
      </c>
      <c r="G7" s="125" t="s">
        <v>456</v>
      </c>
    </row>
    <row r="8" spans="1:12" x14ac:dyDescent="0.3">
      <c r="A8" s="10" t="s">
        <v>250</v>
      </c>
      <c r="B8" s="125" t="s">
        <v>6</v>
      </c>
      <c r="C8" s="10" t="s">
        <v>245</v>
      </c>
      <c r="D8" s="125" t="s">
        <v>481</v>
      </c>
      <c r="E8" s="125" t="s">
        <v>324</v>
      </c>
      <c r="F8" s="125" t="s">
        <v>454</v>
      </c>
      <c r="G8" s="125" t="s">
        <v>457</v>
      </c>
    </row>
    <row r="9" spans="1:12" x14ac:dyDescent="0.3">
      <c r="A9" s="10" t="s">
        <v>251</v>
      </c>
      <c r="B9" s="125" t="s">
        <v>309</v>
      </c>
      <c r="C9" s="10" t="s">
        <v>462</v>
      </c>
      <c r="D9" s="125" t="s">
        <v>482</v>
      </c>
      <c r="E9" s="125" t="s">
        <v>483</v>
      </c>
      <c r="F9" s="125" t="s">
        <v>455</v>
      </c>
      <c r="G9" s="125" t="s">
        <v>327</v>
      </c>
    </row>
    <row r="10" spans="1:12" x14ac:dyDescent="0.3">
      <c r="A10" s="10" t="s">
        <v>252</v>
      </c>
      <c r="B10" s="125" t="s">
        <v>310</v>
      </c>
      <c r="C10" t="s">
        <v>11</v>
      </c>
      <c r="D10" s="125" t="s">
        <v>484</v>
      </c>
      <c r="E10" s="125" t="s">
        <v>485</v>
      </c>
      <c r="F10" s="125" t="s">
        <v>456</v>
      </c>
      <c r="G10" s="125"/>
    </row>
    <row r="11" spans="1:12" x14ac:dyDescent="0.3">
      <c r="A11" s="10" t="s">
        <v>253</v>
      </c>
      <c r="B11" s="125" t="s">
        <v>2</v>
      </c>
      <c r="C11" t="s">
        <v>11</v>
      </c>
      <c r="D11" s="125" t="s">
        <v>486</v>
      </c>
      <c r="E11" s="125" t="s">
        <v>325</v>
      </c>
      <c r="F11" s="125" t="s">
        <v>457</v>
      </c>
      <c r="G11" s="125"/>
      <c r="I11" s="82"/>
    </row>
    <row r="12" spans="1:12" x14ac:dyDescent="0.3">
      <c r="A12" s="10" t="s">
        <v>254</v>
      </c>
      <c r="B12" s="125" t="s">
        <v>83</v>
      </c>
      <c r="C12" t="s">
        <v>11</v>
      </c>
      <c r="D12" s="125" t="s">
        <v>487</v>
      </c>
      <c r="E12" s="125" t="s">
        <v>9</v>
      </c>
      <c r="F12" s="125" t="s">
        <v>327</v>
      </c>
      <c r="G12" s="125"/>
    </row>
    <row r="13" spans="1:12" x14ac:dyDescent="0.3">
      <c r="A13" s="10" t="s">
        <v>255</v>
      </c>
      <c r="B13" s="125" t="s">
        <v>311</v>
      </c>
      <c r="C13" t="s">
        <v>11</v>
      </c>
      <c r="D13" s="125" t="s">
        <v>488</v>
      </c>
    </row>
    <row r="14" spans="1:12" x14ac:dyDescent="0.3">
      <c r="A14" s="10" t="s">
        <v>1</v>
      </c>
      <c r="B14" s="125" t="s">
        <v>312</v>
      </c>
      <c r="C14" t="s">
        <v>11</v>
      </c>
      <c r="D14" s="125" t="s">
        <v>489</v>
      </c>
      <c r="E14" t="s">
        <v>11</v>
      </c>
    </row>
    <row r="15" spans="1:12" x14ac:dyDescent="0.3">
      <c r="A15" s="10" t="s">
        <v>256</v>
      </c>
      <c r="B15" s="125" t="s">
        <v>84</v>
      </c>
      <c r="C15" t="s">
        <v>11</v>
      </c>
      <c r="D15" s="125" t="s">
        <v>490</v>
      </c>
      <c r="E15" t="s">
        <v>11</v>
      </c>
      <c r="I15" s="82"/>
    </row>
    <row r="16" spans="1:12" x14ac:dyDescent="0.3">
      <c r="A16" s="10" t="s">
        <v>257</v>
      </c>
      <c r="B16" s="125" t="s">
        <v>313</v>
      </c>
      <c r="C16" t="s">
        <v>11</v>
      </c>
      <c r="D16" s="125" t="s">
        <v>491</v>
      </c>
      <c r="E16" t="s">
        <v>11</v>
      </c>
    </row>
    <row r="17" spans="1:9" x14ac:dyDescent="0.3">
      <c r="A17" s="10" t="s">
        <v>258</v>
      </c>
      <c r="B17" s="125" t="s">
        <v>314</v>
      </c>
      <c r="C17" t="s">
        <v>11</v>
      </c>
      <c r="D17" s="125" t="s">
        <v>492</v>
      </c>
      <c r="E17" t="s">
        <v>11</v>
      </c>
      <c r="I17" s="82"/>
    </row>
    <row r="18" spans="1:9" x14ac:dyDescent="0.3">
      <c r="A18" s="10" t="s">
        <v>259</v>
      </c>
      <c r="B18" s="125" t="s">
        <v>284</v>
      </c>
      <c r="C18" t="s">
        <v>11</v>
      </c>
      <c r="D18" s="125" t="s">
        <v>493</v>
      </c>
      <c r="E18" t="s">
        <v>11</v>
      </c>
    </row>
    <row r="19" spans="1:9" x14ac:dyDescent="0.3">
      <c r="A19" s="10" t="s">
        <v>260</v>
      </c>
      <c r="B19" s="125" t="s">
        <v>315</v>
      </c>
      <c r="C19" t="s">
        <v>11</v>
      </c>
      <c r="D19" s="125" t="s">
        <v>494</v>
      </c>
      <c r="E19" t="s">
        <v>11</v>
      </c>
    </row>
    <row r="20" spans="1:9" x14ac:dyDescent="0.3">
      <c r="A20" s="10" t="s">
        <v>82</v>
      </c>
      <c r="B20" s="125" t="s">
        <v>316</v>
      </c>
      <c r="C20" t="s">
        <v>11</v>
      </c>
      <c r="D20" s="125" t="s">
        <v>495</v>
      </c>
      <c r="E20" t="s">
        <v>11</v>
      </c>
    </row>
    <row r="21" spans="1:9" x14ac:dyDescent="0.3">
      <c r="A21" s="10" t="s">
        <v>261</v>
      </c>
      <c r="B21" s="125" t="s">
        <v>317</v>
      </c>
      <c r="C21" t="s">
        <v>11</v>
      </c>
      <c r="D21" s="125" t="s">
        <v>496</v>
      </c>
    </row>
    <row r="22" spans="1:9" x14ac:dyDescent="0.3">
      <c r="A22" s="10" t="s">
        <v>262</v>
      </c>
      <c r="B22" s="125" t="s">
        <v>3</v>
      </c>
      <c r="C22" t="s">
        <v>11</v>
      </c>
      <c r="D22" s="125" t="s">
        <v>497</v>
      </c>
      <c r="E22" t="s">
        <v>11</v>
      </c>
      <c r="I22" s="82"/>
    </row>
    <row r="23" spans="1:9" x14ac:dyDescent="0.3">
      <c r="A23" s="10" t="s">
        <v>263</v>
      </c>
      <c r="B23" s="125" t="s">
        <v>7</v>
      </c>
      <c r="C23" t="s">
        <v>11</v>
      </c>
      <c r="D23" s="125" t="s">
        <v>498</v>
      </c>
      <c r="E23" t="s">
        <v>11</v>
      </c>
    </row>
    <row r="24" spans="1:9" x14ac:dyDescent="0.3">
      <c r="A24" s="10" t="s">
        <v>264</v>
      </c>
      <c r="B24" s="125" t="s">
        <v>87</v>
      </c>
      <c r="C24" t="s">
        <v>11</v>
      </c>
      <c r="D24" s="125" t="s">
        <v>499</v>
      </c>
      <c r="E24" t="s">
        <v>11</v>
      </c>
    </row>
    <row r="25" spans="1:9" x14ac:dyDescent="0.3">
      <c r="A25" s="10" t="s">
        <v>128</v>
      </c>
      <c r="B25" s="125" t="s">
        <v>318</v>
      </c>
      <c r="C25" t="s">
        <v>11</v>
      </c>
      <c r="D25" s="125" t="s">
        <v>500</v>
      </c>
      <c r="E25" t="s">
        <v>11</v>
      </c>
    </row>
    <row r="26" spans="1:9" x14ac:dyDescent="0.3">
      <c r="A26" s="10" t="s">
        <v>265</v>
      </c>
      <c r="C26" t="s">
        <v>11</v>
      </c>
      <c r="D26" s="125" t="s">
        <v>501</v>
      </c>
      <c r="E26" t="s">
        <v>11</v>
      </c>
      <c r="I26" s="82"/>
    </row>
    <row r="27" spans="1:9" x14ac:dyDescent="0.3">
      <c r="A27" s="10" t="s">
        <v>266</v>
      </c>
      <c r="C27" t="s">
        <v>11</v>
      </c>
      <c r="D27" s="125" t="s">
        <v>502</v>
      </c>
      <c r="E27" t="s">
        <v>11</v>
      </c>
    </row>
    <row r="28" spans="1:9" x14ac:dyDescent="0.3">
      <c r="A28" s="10" t="s">
        <v>267</v>
      </c>
      <c r="C28" t="s">
        <v>11</v>
      </c>
      <c r="D28" s="125" t="s">
        <v>503</v>
      </c>
      <c r="E28" t="s">
        <v>11</v>
      </c>
    </row>
    <row r="29" spans="1:9" x14ac:dyDescent="0.3">
      <c r="A29" s="10" t="s">
        <v>129</v>
      </c>
      <c r="C29" t="s">
        <v>11</v>
      </c>
      <c r="D29" t="s">
        <v>504</v>
      </c>
      <c r="E29" t="s">
        <v>11</v>
      </c>
    </row>
    <row r="30" spans="1:9" x14ac:dyDescent="0.3">
      <c r="A30" s="10" t="s">
        <v>268</v>
      </c>
      <c r="C30" t="s">
        <v>11</v>
      </c>
      <c r="E30" t="s">
        <v>11</v>
      </c>
    </row>
    <row r="31" spans="1:9" x14ac:dyDescent="0.3">
      <c r="A31" s="10" t="s">
        <v>2</v>
      </c>
      <c r="C31" t="s">
        <v>11</v>
      </c>
      <c r="D31" t="s">
        <v>11</v>
      </c>
      <c r="E31" t="s">
        <v>11</v>
      </c>
    </row>
    <row r="32" spans="1:9" x14ac:dyDescent="0.3">
      <c r="A32" s="10" t="s">
        <v>130</v>
      </c>
      <c r="C32" t="s">
        <v>11</v>
      </c>
      <c r="D32" t="s">
        <v>11</v>
      </c>
      <c r="E32" t="s">
        <v>11</v>
      </c>
      <c r="I32" s="82"/>
    </row>
    <row r="33" spans="1:9" x14ac:dyDescent="0.3">
      <c r="A33" s="10" t="s">
        <v>269</v>
      </c>
      <c r="C33" t="s">
        <v>11</v>
      </c>
      <c r="D33" t="s">
        <v>11</v>
      </c>
      <c r="E33" t="s">
        <v>11</v>
      </c>
    </row>
    <row r="34" spans="1:9" x14ac:dyDescent="0.3">
      <c r="A34" s="10" t="s">
        <v>270</v>
      </c>
      <c r="C34" t="s">
        <v>11</v>
      </c>
      <c r="D34" t="s">
        <v>11</v>
      </c>
      <c r="E34" t="s">
        <v>11</v>
      </c>
    </row>
    <row r="35" spans="1:9" x14ac:dyDescent="0.3">
      <c r="A35" s="10" t="s">
        <v>271</v>
      </c>
      <c r="C35" t="s">
        <v>11</v>
      </c>
      <c r="D35" t="s">
        <v>11</v>
      </c>
      <c r="E35" t="s">
        <v>11</v>
      </c>
    </row>
    <row r="36" spans="1:9" x14ac:dyDescent="0.3">
      <c r="A36" s="10" t="s">
        <v>272</v>
      </c>
      <c r="C36" t="s">
        <v>11</v>
      </c>
      <c r="D36" t="s">
        <v>11</v>
      </c>
      <c r="E36" t="s">
        <v>11</v>
      </c>
    </row>
    <row r="37" spans="1:9" x14ac:dyDescent="0.3">
      <c r="A37" s="10" t="s">
        <v>273</v>
      </c>
      <c r="C37" t="s">
        <v>11</v>
      </c>
      <c r="D37" t="s">
        <v>11</v>
      </c>
      <c r="E37" t="s">
        <v>11</v>
      </c>
    </row>
    <row r="38" spans="1:9" x14ac:dyDescent="0.3">
      <c r="A38" s="10" t="s">
        <v>131</v>
      </c>
      <c r="C38" t="s">
        <v>11</v>
      </c>
      <c r="D38" t="s">
        <v>11</v>
      </c>
      <c r="E38" t="s">
        <v>11</v>
      </c>
    </row>
    <row r="39" spans="1:9" x14ac:dyDescent="0.3">
      <c r="A39" s="10" t="s">
        <v>132</v>
      </c>
      <c r="C39" t="s">
        <v>11</v>
      </c>
      <c r="D39" t="s">
        <v>11</v>
      </c>
      <c r="E39" t="s">
        <v>11</v>
      </c>
      <c r="I39" s="123"/>
    </row>
    <row r="40" spans="1:9" x14ac:dyDescent="0.3">
      <c r="A40" s="10" t="s">
        <v>274</v>
      </c>
      <c r="C40" t="s">
        <v>11</v>
      </c>
      <c r="D40" t="s">
        <v>11</v>
      </c>
      <c r="E40" t="s">
        <v>11</v>
      </c>
      <c r="I40" s="82"/>
    </row>
    <row r="41" spans="1:9" x14ac:dyDescent="0.3">
      <c r="A41" s="10" t="s">
        <v>275</v>
      </c>
      <c r="C41" t="s">
        <v>11</v>
      </c>
      <c r="D41" t="s">
        <v>11</v>
      </c>
      <c r="E41" t="s">
        <v>11</v>
      </c>
    </row>
    <row r="42" spans="1:9" x14ac:dyDescent="0.3">
      <c r="A42" s="10" t="s">
        <v>133</v>
      </c>
      <c r="C42" t="s">
        <v>11</v>
      </c>
      <c r="D42" t="s">
        <v>11</v>
      </c>
      <c r="E42" t="s">
        <v>11</v>
      </c>
    </row>
    <row r="43" spans="1:9" x14ac:dyDescent="0.3">
      <c r="A43" s="10" t="s">
        <v>276</v>
      </c>
      <c r="C43" t="s">
        <v>11</v>
      </c>
      <c r="D43" t="s">
        <v>11</v>
      </c>
      <c r="E43" t="s">
        <v>11</v>
      </c>
    </row>
    <row r="44" spans="1:9" x14ac:dyDescent="0.3">
      <c r="A44" s="10" t="s">
        <v>134</v>
      </c>
      <c r="D44" t="s">
        <v>11</v>
      </c>
      <c r="E44" t="s">
        <v>11</v>
      </c>
    </row>
    <row r="45" spans="1:9" x14ac:dyDescent="0.3">
      <c r="A45" s="10" t="s">
        <v>277</v>
      </c>
    </row>
    <row r="46" spans="1:9" x14ac:dyDescent="0.3">
      <c r="A46" s="10" t="s">
        <v>278</v>
      </c>
      <c r="I46" s="82"/>
    </row>
    <row r="47" spans="1:9" x14ac:dyDescent="0.3">
      <c r="A47" s="10" t="s">
        <v>85</v>
      </c>
    </row>
    <row r="48" spans="1:9" x14ac:dyDescent="0.3">
      <c r="A48" s="10" t="s">
        <v>279</v>
      </c>
    </row>
    <row r="49" spans="1:9" x14ac:dyDescent="0.3">
      <c r="A49" s="10" t="s">
        <v>280</v>
      </c>
    </row>
    <row r="50" spans="1:9" x14ac:dyDescent="0.3">
      <c r="A50" s="10" t="s">
        <v>281</v>
      </c>
    </row>
    <row r="51" spans="1:9" x14ac:dyDescent="0.3">
      <c r="A51" s="10" t="s">
        <v>282</v>
      </c>
      <c r="I51" s="82"/>
    </row>
    <row r="52" spans="1:9" x14ac:dyDescent="0.3">
      <c r="A52" s="10" t="s">
        <v>283</v>
      </c>
    </row>
    <row r="53" spans="1:9" x14ac:dyDescent="0.3">
      <c r="A53" s="10" t="s">
        <v>284</v>
      </c>
    </row>
    <row r="54" spans="1:9" x14ac:dyDescent="0.3">
      <c r="A54" s="10" t="s">
        <v>285</v>
      </c>
    </row>
    <row r="55" spans="1:9" x14ac:dyDescent="0.3">
      <c r="A55" s="10" t="s">
        <v>286</v>
      </c>
    </row>
    <row r="56" spans="1:9" x14ac:dyDescent="0.3">
      <c r="A56" s="10" t="s">
        <v>287</v>
      </c>
      <c r="I56" s="82"/>
    </row>
    <row r="57" spans="1:9" x14ac:dyDescent="0.3">
      <c r="A57" s="10" t="s">
        <v>135</v>
      </c>
    </row>
    <row r="58" spans="1:9" x14ac:dyDescent="0.3">
      <c r="A58" s="10" t="s">
        <v>288</v>
      </c>
    </row>
    <row r="59" spans="1:9" x14ac:dyDescent="0.3">
      <c r="A59" s="10" t="s">
        <v>289</v>
      </c>
    </row>
    <row r="60" spans="1:9" x14ac:dyDescent="0.3">
      <c r="A60" s="10" t="s">
        <v>290</v>
      </c>
    </row>
    <row r="61" spans="1:9" x14ac:dyDescent="0.3">
      <c r="A61" s="10" t="s">
        <v>291</v>
      </c>
    </row>
    <row r="62" spans="1:9" x14ac:dyDescent="0.3">
      <c r="A62" s="10" t="s">
        <v>136</v>
      </c>
    </row>
    <row r="63" spans="1:9" x14ac:dyDescent="0.3">
      <c r="A63" s="10" t="s">
        <v>292</v>
      </c>
    </row>
    <row r="64" spans="1:9" x14ac:dyDescent="0.3">
      <c r="A64" s="10" t="s">
        <v>293</v>
      </c>
    </row>
    <row r="65" spans="1:9" x14ac:dyDescent="0.3">
      <c r="A65" s="10" t="s">
        <v>294</v>
      </c>
      <c r="I65" s="82"/>
    </row>
    <row r="66" spans="1:9" x14ac:dyDescent="0.3">
      <c r="A66" s="10" t="s">
        <v>295</v>
      </c>
    </row>
    <row r="67" spans="1:9" x14ac:dyDescent="0.3">
      <c r="A67" s="10" t="s">
        <v>296</v>
      </c>
    </row>
    <row r="68" spans="1:9" x14ac:dyDescent="0.3">
      <c r="A68" s="10" t="s">
        <v>297</v>
      </c>
    </row>
    <row r="69" spans="1:9" x14ac:dyDescent="0.3">
      <c r="A69" s="10" t="s">
        <v>86</v>
      </c>
    </row>
    <row r="70" spans="1:9" x14ac:dyDescent="0.3">
      <c r="A70" s="10" t="s">
        <v>298</v>
      </c>
    </row>
    <row r="71" spans="1:9" x14ac:dyDescent="0.3">
      <c r="A71" s="10" t="s">
        <v>299</v>
      </c>
      <c r="I71" s="82"/>
    </row>
    <row r="72" spans="1:9" x14ac:dyDescent="0.3">
      <c r="A72" s="10" t="s">
        <v>87</v>
      </c>
    </row>
    <row r="73" spans="1:9" x14ac:dyDescent="0.3">
      <c r="A73" s="10" t="s">
        <v>300</v>
      </c>
    </row>
    <row r="74" spans="1:9" x14ac:dyDescent="0.3">
      <c r="A74" s="10" t="s">
        <v>301</v>
      </c>
      <c r="I74" s="82"/>
    </row>
    <row r="75" spans="1:9" x14ac:dyDescent="0.3">
      <c r="A75" s="10" t="s">
        <v>302</v>
      </c>
    </row>
    <row r="76" spans="1:9" x14ac:dyDescent="0.3">
      <c r="A76" s="10" t="s">
        <v>303</v>
      </c>
    </row>
    <row r="77" spans="1:9" x14ac:dyDescent="0.3">
      <c r="A77" s="10" t="s">
        <v>304</v>
      </c>
    </row>
    <row r="78" spans="1:9" x14ac:dyDescent="0.3">
      <c r="A78" s="10" t="s">
        <v>305</v>
      </c>
    </row>
    <row r="81" spans="9:9" x14ac:dyDescent="0.3">
      <c r="I81" s="82"/>
    </row>
    <row r="85" spans="9:9" x14ac:dyDescent="0.3">
      <c r="I85" s="82"/>
    </row>
    <row r="91" spans="9:9" x14ac:dyDescent="0.3">
      <c r="I91" s="82"/>
    </row>
    <row r="96" spans="9:9" x14ac:dyDescent="0.3">
      <c r="I96" s="82"/>
    </row>
    <row r="101" spans="9:9" x14ac:dyDescent="0.3">
      <c r="I101" s="82"/>
    </row>
    <row r="106" spans="9:9" x14ac:dyDescent="0.3">
      <c r="I106" s="82"/>
    </row>
    <row r="111" spans="9:9" x14ac:dyDescent="0.3">
      <c r="I111" s="82"/>
    </row>
    <row r="119" spans="9:9" x14ac:dyDescent="0.3">
      <c r="I119" s="82"/>
    </row>
    <row r="129" spans="9:9" x14ac:dyDescent="0.3">
      <c r="I129" s="82"/>
    </row>
    <row r="134" spans="9:9" x14ac:dyDescent="0.3">
      <c r="I134" s="82"/>
    </row>
    <row r="141" spans="9:9" x14ac:dyDescent="0.3">
      <c r="I141" s="82"/>
    </row>
    <row r="143" spans="9:9" x14ac:dyDescent="0.3">
      <c r="I143" s="82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CD59"/>
  <sheetViews>
    <sheetView zoomScale="85" zoomScaleNormal="85" workbookViewId="0"/>
  </sheetViews>
  <sheetFormatPr defaultRowHeight="12.45" x14ac:dyDescent="0.3"/>
  <cols>
    <col min="1" max="1" width="27.53515625" customWidth="1"/>
    <col min="2" max="145" width="3" customWidth="1"/>
  </cols>
  <sheetData>
    <row r="1" spans="1:82" x14ac:dyDescent="0.3">
      <c r="A1" s="1" t="str">
        <f>CONCATENATE("Aggregation 75 industries to 22 ",name!$B$2)</f>
        <v>Aggregation 75 industries to 22 Industry groups</v>
      </c>
    </row>
    <row r="2" spans="1:82" ht="164.25" customHeight="1" thickBot="1" x14ac:dyDescent="0.35">
      <c r="B2" s="124" t="str">
        <f t="array" ref="B2:BX2">TRANSPOSE(name!$A$4:$A$78)</f>
        <v>Agriculture, etc</v>
      </c>
      <c r="C2" s="124" t="str">
        <v>Coal, oil &amp; gas; Mining &amp; related</v>
      </c>
      <c r="D2" s="124" t="str">
        <v>Food products</v>
      </c>
      <c r="E2" s="124" t="str">
        <v>Beverages and tobacco</v>
      </c>
      <c r="F2" s="124" t="str">
        <v>Textiles</v>
      </c>
      <c r="G2" s="124" t="str">
        <v>Wearing apparel; Leather, etc</v>
      </c>
      <c r="H2" s="124" t="str">
        <v xml:space="preserve">Wood and cork </v>
      </c>
      <c r="I2" s="124" t="str">
        <v>Paper, etc</v>
      </c>
      <c r="J2" s="124" t="str">
        <v>Printing and recording</v>
      </c>
      <c r="K2" s="124" t="str">
        <v>Coke and petroleum; Chemicals, etc</v>
      </c>
      <c r="L2" s="124" t="str">
        <v>Pharmaceuticals</v>
      </c>
      <c r="M2" s="124" t="str">
        <v>Rubber and plastic</v>
      </c>
      <c r="N2" s="124" t="str">
        <v>Other non-metallic</v>
      </c>
      <c r="O2" s="124" t="str">
        <v>Basic metals</v>
      </c>
      <c r="P2" s="124" t="str">
        <v>Metal products</v>
      </c>
      <c r="Q2" s="124" t="str">
        <v>Computer, etc</v>
      </c>
      <c r="R2" s="124" t="str">
        <v>Electrical equipment</v>
      </c>
      <c r="S2" s="124" t="str">
        <v>Machinery n.e.c.</v>
      </c>
      <c r="T2" s="124" t="str">
        <v>Motor vehicles, etc</v>
      </c>
      <c r="U2" s="124" t="str">
        <v>Other transport equipment</v>
      </c>
      <c r="V2" s="124" t="str">
        <v>Furniture</v>
      </c>
      <c r="W2" s="124" t="str">
        <v>Other manufacturing</v>
      </c>
      <c r="X2" s="124" t="str">
        <v>Repair and installation</v>
      </c>
      <c r="Y2" s="124" t="str">
        <v>Electricity, gas, etc</v>
      </c>
      <c r="Z2" s="124" t="str">
        <v>Water</v>
      </c>
      <c r="AA2" s="124" t="str">
        <v>Sewerage</v>
      </c>
      <c r="AB2" s="124" t="str">
        <v>Waste management</v>
      </c>
      <c r="AC2" s="124" t="str">
        <v>Construction</v>
      </c>
      <c r="AD2" s="124" t="str">
        <v>Civil engineering</v>
      </c>
      <c r="AE2" s="124" t="str">
        <v>Specialised construction</v>
      </c>
      <c r="AF2" s="124" t="str">
        <v>Motor vehicle trade</v>
      </c>
      <c r="AG2" s="124" t="str">
        <v>Wholesale trade</v>
      </c>
      <c r="AH2" s="124" t="str">
        <v>Retail trade</v>
      </c>
      <c r="AI2" s="124" t="str">
        <v>Land transport, etc</v>
      </c>
      <c r="AJ2" s="124" t="str">
        <v>Water transport</v>
      </c>
      <c r="AK2" s="124" t="str">
        <v>Air transport</v>
      </c>
      <c r="AL2" s="124" t="str">
        <v>Warehousing, etc</v>
      </c>
      <c r="AM2" s="124" t="str">
        <v>Postal and courier</v>
      </c>
      <c r="AN2" s="124" t="str">
        <v>Accommodation</v>
      </c>
      <c r="AO2" s="124" t="str">
        <v>Food and beverage services</v>
      </c>
      <c r="AP2" s="124" t="str">
        <v>Publishing activities</v>
      </c>
      <c r="AQ2" s="124" t="str">
        <v>Film and music</v>
      </c>
      <c r="AR2" s="124" t="str">
        <v>Broadcasting</v>
      </c>
      <c r="AS2" s="124" t="str">
        <v>Telecommunications</v>
      </c>
      <c r="AT2" s="124" t="str">
        <v>Computing services</v>
      </c>
      <c r="AU2" s="124" t="str">
        <v>Information services</v>
      </c>
      <c r="AV2" s="124" t="str">
        <v>Financial services</v>
      </c>
      <c r="AW2" s="124" t="str">
        <v>Insurance and pensions</v>
      </c>
      <c r="AX2" s="124" t="str">
        <v>Auxiliary financial services</v>
      </c>
      <c r="AY2" s="124" t="str">
        <v>Real estate</v>
      </c>
      <c r="AZ2" s="124" t="str">
        <v>Legal and accounting</v>
      </c>
      <c r="BA2" s="124" t="str">
        <v>Head offices, etc</v>
      </c>
      <c r="BB2" s="124" t="str">
        <v>Architectural and related</v>
      </c>
      <c r="BC2" s="124" t="str">
        <v>Scientific research and development</v>
      </c>
      <c r="BD2" s="124" t="str">
        <v>Advertising, etc</v>
      </c>
      <c r="BE2" s="124" t="str">
        <v>Other professional</v>
      </c>
      <c r="BF2" s="124" t="str">
        <v>Veterinary</v>
      </c>
      <c r="BG2" s="124" t="str">
        <v>Rental and leasing</v>
      </c>
      <c r="BH2" s="124" t="str">
        <v>Employment activities</v>
      </c>
      <c r="BI2" s="124" t="str">
        <v>Travel, etc</v>
      </c>
      <c r="BJ2" s="124" t="str">
        <v>Security, etc</v>
      </c>
      <c r="BK2" s="124" t="str">
        <v>Services to buildings</v>
      </c>
      <c r="BL2" s="124" t="str">
        <v>Office administrative</v>
      </c>
      <c r="BM2" s="124" t="str">
        <v>Public administration and defence</v>
      </c>
      <c r="BN2" s="124" t="str">
        <v xml:space="preserve">Education </v>
      </c>
      <c r="BO2" s="124" t="str">
        <v>Health</v>
      </c>
      <c r="BP2" s="124" t="str">
        <v>Residential care</v>
      </c>
      <c r="BQ2" s="124" t="str">
        <v>Social work</v>
      </c>
      <c r="BR2" s="124" t="str">
        <v>Arts and entertainment</v>
      </c>
      <c r="BS2" s="124" t="str">
        <v>Libraries, etc</v>
      </c>
      <c r="BT2" s="124" t="str">
        <v>Gambling and betting</v>
      </c>
      <c r="BU2" s="124" t="str">
        <v>Sport and recreation</v>
      </c>
      <c r="BV2" s="124" t="str">
        <v>Membership organisations</v>
      </c>
      <c r="BW2" s="124" t="str">
        <v>Repair of goods</v>
      </c>
      <c r="BX2" s="124" t="str">
        <v>Other personal service</v>
      </c>
      <c r="BY2" s="124"/>
      <c r="BZ2" s="124"/>
      <c r="CA2" s="124"/>
      <c r="CB2" s="124"/>
      <c r="CC2" s="124"/>
      <c r="CD2" s="124"/>
    </row>
    <row r="3" spans="1:82" x14ac:dyDescent="0.3">
      <c r="A3" t="str">
        <f>name!B4</f>
        <v>Agriculture</v>
      </c>
      <c r="B3" s="196">
        <v>1</v>
      </c>
      <c r="C3" s="230">
        <v>0</v>
      </c>
      <c r="D3" s="230">
        <v>0</v>
      </c>
      <c r="E3" s="230">
        <v>0</v>
      </c>
      <c r="F3" s="230">
        <v>0</v>
      </c>
      <c r="G3" s="230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4">
        <v>0</v>
      </c>
      <c r="BY3">
        <v>1</v>
      </c>
    </row>
    <row r="4" spans="1:82" x14ac:dyDescent="0.3">
      <c r="A4" t="str">
        <f>name!B5</f>
        <v>Mining and quarrying</v>
      </c>
      <c r="B4" s="5">
        <v>0</v>
      </c>
      <c r="C4">
        <v>1</v>
      </c>
      <c r="D4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2">
        <v>0</v>
      </c>
      <c r="S4" s="82">
        <v>0</v>
      </c>
      <c r="T4" s="82">
        <v>0</v>
      </c>
      <c r="U4" s="82">
        <v>0</v>
      </c>
      <c r="V4" s="82">
        <v>0</v>
      </c>
      <c r="W4" s="82">
        <v>0</v>
      </c>
      <c r="X4" s="82">
        <v>0</v>
      </c>
      <c r="Y4" s="82">
        <v>0</v>
      </c>
      <c r="Z4" s="82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0</v>
      </c>
      <c r="AJ4" s="82">
        <v>0</v>
      </c>
      <c r="AK4" s="82">
        <v>0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82">
        <v>0</v>
      </c>
      <c r="AR4" s="82">
        <v>0</v>
      </c>
      <c r="AS4" s="82">
        <v>0</v>
      </c>
      <c r="AT4" s="82">
        <v>0</v>
      </c>
      <c r="AU4" s="82">
        <v>0</v>
      </c>
      <c r="AV4" s="82">
        <v>0</v>
      </c>
      <c r="AW4" s="82">
        <v>0</v>
      </c>
      <c r="AX4" s="82">
        <v>0</v>
      </c>
      <c r="AY4" s="82">
        <v>0</v>
      </c>
      <c r="AZ4" s="82">
        <v>0</v>
      </c>
      <c r="BA4" s="82">
        <v>0</v>
      </c>
      <c r="BB4" s="82">
        <v>0</v>
      </c>
      <c r="BC4" s="82">
        <v>0</v>
      </c>
      <c r="BD4" s="82">
        <v>0</v>
      </c>
      <c r="BE4" s="82">
        <v>0</v>
      </c>
      <c r="BF4" s="82">
        <v>0</v>
      </c>
      <c r="BG4" s="82">
        <v>0</v>
      </c>
      <c r="BH4" s="82">
        <v>0</v>
      </c>
      <c r="BI4" s="82">
        <v>0</v>
      </c>
      <c r="BJ4" s="82">
        <v>0</v>
      </c>
      <c r="BK4" s="82">
        <v>0</v>
      </c>
      <c r="BL4" s="82">
        <v>0</v>
      </c>
      <c r="BM4" s="82">
        <v>0</v>
      </c>
      <c r="BN4" s="82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 s="6">
        <v>0</v>
      </c>
      <c r="BY4">
        <v>2</v>
      </c>
    </row>
    <row r="5" spans="1:82" x14ac:dyDescent="0.3">
      <c r="A5" t="str">
        <f>name!B6</f>
        <v>Food drink and tobacco</v>
      </c>
      <c r="B5" s="5">
        <v>0</v>
      </c>
      <c r="C5">
        <v>0</v>
      </c>
      <c r="D5">
        <v>1</v>
      </c>
      <c r="E5">
        <v>1</v>
      </c>
      <c r="F5">
        <v>0</v>
      </c>
      <c r="G5">
        <v>0</v>
      </c>
      <c r="H5" s="82">
        <v>0</v>
      </c>
      <c r="I5" s="82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 s="6">
        <v>0</v>
      </c>
      <c r="BY5">
        <v>3</v>
      </c>
    </row>
    <row r="6" spans="1:82" x14ac:dyDescent="0.3">
      <c r="A6" t="str">
        <f>name!B7</f>
        <v>Engineering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 s="82">
        <v>0</v>
      </c>
      <c r="I6" s="82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 s="6">
        <v>0</v>
      </c>
      <c r="BY6">
        <v>4</v>
      </c>
    </row>
    <row r="7" spans="1:82" x14ac:dyDescent="0.3">
      <c r="A7" t="str">
        <f>name!B8</f>
        <v>Rest of manufacturing</v>
      </c>
      <c r="B7" s="5">
        <v>0</v>
      </c>
      <c r="C7">
        <v>0</v>
      </c>
      <c r="D7">
        <v>0</v>
      </c>
      <c r="E7">
        <v>0</v>
      </c>
      <c r="F7">
        <v>1</v>
      </c>
      <c r="G7">
        <v>1</v>
      </c>
      <c r="H7">
        <v>1</v>
      </c>
      <c r="I7">
        <v>1</v>
      </c>
      <c r="J7" s="1">
        <v>1</v>
      </c>
      <c r="K7" s="1">
        <v>1</v>
      </c>
      <c r="L7" s="1">
        <v>1</v>
      </c>
      <c r="M7" s="82">
        <v>1</v>
      </c>
      <c r="N7" s="82">
        <v>1</v>
      </c>
      <c r="O7" s="82">
        <v>1</v>
      </c>
      <c r="P7" s="82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 s="6">
        <v>0</v>
      </c>
      <c r="BY7">
        <v>5</v>
      </c>
    </row>
    <row r="8" spans="1:82" x14ac:dyDescent="0.3">
      <c r="A8" t="str">
        <f>name!B9</f>
        <v>Electricity and gas</v>
      </c>
      <c r="B8" s="5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2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 s="6">
        <v>0</v>
      </c>
      <c r="BY8">
        <v>6</v>
      </c>
    </row>
    <row r="9" spans="1:82" x14ac:dyDescent="0.3">
      <c r="A9" t="str">
        <f>name!B10</f>
        <v>Water and sewerage</v>
      </c>
      <c r="B9" s="5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  <c r="R9" s="82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1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 s="6">
        <v>0</v>
      </c>
      <c r="BY9">
        <v>7</v>
      </c>
    </row>
    <row r="10" spans="1:82" x14ac:dyDescent="0.3">
      <c r="A10" t="str">
        <f>name!B11</f>
        <v>Construction</v>
      </c>
      <c r="B10" s="5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2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 s="6">
        <v>0</v>
      </c>
      <c r="BY10">
        <v>8</v>
      </c>
    </row>
    <row r="11" spans="1:82" x14ac:dyDescent="0.3">
      <c r="A11" t="str">
        <f>name!B12</f>
        <v>Wholesale and retail trade</v>
      </c>
      <c r="B11" s="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2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 s="6">
        <v>0</v>
      </c>
      <c r="BY11">
        <v>9</v>
      </c>
    </row>
    <row r="12" spans="1:82" x14ac:dyDescent="0.3">
      <c r="A12" t="str">
        <f>name!B13</f>
        <v>Transport and storage</v>
      </c>
      <c r="B12" s="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 s="6">
        <v>0</v>
      </c>
      <c r="BY12">
        <v>10</v>
      </c>
    </row>
    <row r="13" spans="1:82" x14ac:dyDescent="0.3">
      <c r="A13" t="str">
        <f>name!B14</f>
        <v>Accommodation and food</v>
      </c>
      <c r="B13" s="5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  <c r="R13" s="82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 s="6">
        <v>0</v>
      </c>
      <c r="BY13">
        <v>11</v>
      </c>
    </row>
    <row r="14" spans="1:82" x14ac:dyDescent="0.3">
      <c r="A14" t="str">
        <f>name!B15</f>
        <v>Media</v>
      </c>
      <c r="B14" s="5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2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 s="6">
        <v>0</v>
      </c>
      <c r="BY14">
        <v>12</v>
      </c>
    </row>
    <row r="15" spans="1:82" x14ac:dyDescent="0.3">
      <c r="A15" t="str">
        <f>name!B16</f>
        <v>Information technology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82">
        <v>0</v>
      </c>
      <c r="M15" s="82">
        <v>0</v>
      </c>
      <c r="N15" s="82">
        <v>0</v>
      </c>
      <c r="O15" s="82">
        <v>0</v>
      </c>
      <c r="P15" s="82">
        <v>0</v>
      </c>
      <c r="Q15" s="82">
        <v>0</v>
      </c>
      <c r="R15" s="82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 s="6">
        <v>0</v>
      </c>
      <c r="BY15">
        <v>13</v>
      </c>
    </row>
    <row r="16" spans="1:82" x14ac:dyDescent="0.3">
      <c r="A16" t="str">
        <f>name!B17</f>
        <v>Finance and insurance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82">
        <v>0</v>
      </c>
      <c r="M16" s="82">
        <v>0</v>
      </c>
      <c r="N16" s="82">
        <v>0</v>
      </c>
      <c r="O16" s="82">
        <v>0</v>
      </c>
      <c r="P16" s="82">
        <v>0</v>
      </c>
      <c r="Q16" s="82">
        <v>0</v>
      </c>
      <c r="R16" s="82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 s="6">
        <v>0</v>
      </c>
      <c r="BY16">
        <v>14</v>
      </c>
    </row>
    <row r="17" spans="1:77" x14ac:dyDescent="0.3">
      <c r="A17" t="str">
        <f>name!B18</f>
        <v>Real estate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2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 s="6">
        <v>0</v>
      </c>
      <c r="BY17">
        <v>15</v>
      </c>
    </row>
    <row r="18" spans="1:77" x14ac:dyDescent="0.3">
      <c r="A18" t="str">
        <f>name!B19</f>
        <v>Professional services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2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 s="6">
        <v>0</v>
      </c>
      <c r="BY18">
        <v>16</v>
      </c>
    </row>
    <row r="19" spans="1:77" x14ac:dyDescent="0.3">
      <c r="A19" t="str">
        <f>name!B20</f>
        <v>Support services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 s="6">
        <v>0</v>
      </c>
      <c r="BY19">
        <v>17</v>
      </c>
    </row>
    <row r="20" spans="1:77" x14ac:dyDescent="0.3">
      <c r="A20" t="str">
        <f>name!B21</f>
        <v>Public admin. and defence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2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 s="6">
        <v>0</v>
      </c>
      <c r="BY20">
        <v>18</v>
      </c>
    </row>
    <row r="21" spans="1:77" x14ac:dyDescent="0.3">
      <c r="A21" t="str">
        <f>name!B22</f>
        <v>Education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2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 s="6">
        <v>0</v>
      </c>
      <c r="BY21">
        <v>19</v>
      </c>
    </row>
    <row r="22" spans="1:77" x14ac:dyDescent="0.3">
      <c r="A22" t="str">
        <f>name!B23</f>
        <v>Health and social work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82">
        <v>0</v>
      </c>
      <c r="M22" s="82">
        <v>0</v>
      </c>
      <c r="N22" s="82">
        <v>0</v>
      </c>
      <c r="O22" s="82">
        <v>0</v>
      </c>
      <c r="P22" s="82">
        <v>0</v>
      </c>
      <c r="Q22" s="82">
        <v>0</v>
      </c>
      <c r="R22" s="8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 s="6">
        <v>0</v>
      </c>
      <c r="BY22">
        <v>20</v>
      </c>
    </row>
    <row r="23" spans="1:77" x14ac:dyDescent="0.3">
      <c r="A23" t="str">
        <f>name!B24</f>
        <v>Arts and entertainment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82">
        <v>0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2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1</v>
      </c>
      <c r="BT23">
        <v>1</v>
      </c>
      <c r="BU23">
        <v>1</v>
      </c>
      <c r="BV23">
        <v>0</v>
      </c>
      <c r="BW23">
        <v>0</v>
      </c>
      <c r="BX23" s="6">
        <v>0</v>
      </c>
      <c r="BY23">
        <v>21</v>
      </c>
    </row>
    <row r="24" spans="1:77" ht="12.9" thickBot="1" x14ac:dyDescent="0.35">
      <c r="A24" t="str">
        <f>name!B25</f>
        <v>Other services</v>
      </c>
      <c r="B24" s="7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229">
        <v>0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29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1</v>
      </c>
      <c r="BW24" s="8">
        <v>1</v>
      </c>
      <c r="BX24" s="9">
        <v>1</v>
      </c>
      <c r="BY24">
        <v>22</v>
      </c>
    </row>
    <row r="25" spans="1:77" x14ac:dyDescent="0.3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  <c r="K25">
        <v>10</v>
      </c>
      <c r="L25">
        <v>11</v>
      </c>
      <c r="M25">
        <v>12</v>
      </c>
      <c r="N25">
        <v>13</v>
      </c>
      <c r="O25">
        <v>14</v>
      </c>
      <c r="P25">
        <v>15</v>
      </c>
      <c r="Q25">
        <v>16</v>
      </c>
      <c r="R25">
        <v>17</v>
      </c>
      <c r="S25">
        <v>18</v>
      </c>
      <c r="T25">
        <v>19</v>
      </c>
      <c r="U25">
        <v>20</v>
      </c>
      <c r="V25">
        <v>21</v>
      </c>
      <c r="W25">
        <v>22</v>
      </c>
      <c r="X25">
        <v>23</v>
      </c>
      <c r="Y25">
        <v>24</v>
      </c>
      <c r="Z25">
        <v>25</v>
      </c>
      <c r="AA25">
        <v>26</v>
      </c>
      <c r="AB25">
        <v>27</v>
      </c>
      <c r="AC25">
        <v>28</v>
      </c>
      <c r="AD25">
        <v>29</v>
      </c>
      <c r="AE25">
        <v>30</v>
      </c>
      <c r="AF25">
        <v>31</v>
      </c>
      <c r="AG25">
        <v>32</v>
      </c>
      <c r="AH25">
        <v>33</v>
      </c>
      <c r="AI25">
        <v>34</v>
      </c>
      <c r="AJ25">
        <v>35</v>
      </c>
      <c r="AK25">
        <v>36</v>
      </c>
      <c r="AL25">
        <v>37</v>
      </c>
      <c r="AM25">
        <v>38</v>
      </c>
      <c r="AN25">
        <v>39</v>
      </c>
      <c r="AO25">
        <v>40</v>
      </c>
      <c r="AP25">
        <v>41</v>
      </c>
      <c r="AQ25">
        <v>42</v>
      </c>
      <c r="AR25">
        <v>43</v>
      </c>
      <c r="AS25">
        <v>44</v>
      </c>
      <c r="AT25">
        <v>45</v>
      </c>
      <c r="AU25">
        <v>46</v>
      </c>
      <c r="AV25">
        <v>47</v>
      </c>
      <c r="AW25">
        <v>48</v>
      </c>
      <c r="AX25">
        <v>49</v>
      </c>
      <c r="AY25">
        <v>50</v>
      </c>
      <c r="AZ25">
        <v>51</v>
      </c>
      <c r="BA25">
        <v>52</v>
      </c>
      <c r="BB25">
        <v>53</v>
      </c>
      <c r="BC25">
        <v>54</v>
      </c>
      <c r="BD25">
        <v>55</v>
      </c>
      <c r="BE25">
        <v>56</v>
      </c>
      <c r="BF25">
        <v>57</v>
      </c>
      <c r="BG25">
        <v>58</v>
      </c>
      <c r="BH25">
        <v>59</v>
      </c>
      <c r="BI25">
        <v>60</v>
      </c>
      <c r="BJ25">
        <v>61</v>
      </c>
      <c r="BK25">
        <v>62</v>
      </c>
      <c r="BL25">
        <v>63</v>
      </c>
      <c r="BM25">
        <v>64</v>
      </c>
      <c r="BN25">
        <v>65</v>
      </c>
      <c r="BO25">
        <v>66</v>
      </c>
      <c r="BP25">
        <v>67</v>
      </c>
      <c r="BQ25">
        <v>68</v>
      </c>
      <c r="BR25">
        <v>69</v>
      </c>
      <c r="BS25">
        <v>70</v>
      </c>
      <c r="BT25">
        <v>71</v>
      </c>
      <c r="BU25">
        <v>72</v>
      </c>
      <c r="BV25">
        <v>73</v>
      </c>
      <c r="BW25">
        <v>74</v>
      </c>
      <c r="BX25">
        <v>75</v>
      </c>
    </row>
    <row r="27" spans="1:77" ht="12.9" thickBot="1" x14ac:dyDescent="0.35">
      <c r="A27" s="1" t="str">
        <f>CONCATENATE("Aggregation 75 industries to 6 ",name!C2)</f>
        <v>Aggregation 75 industries to 6 Industry sectors</v>
      </c>
    </row>
    <row r="28" spans="1:77" x14ac:dyDescent="0.3">
      <c r="A28" s="10" t="str">
        <f>name!C4</f>
        <v>Primary sector and utilities</v>
      </c>
      <c r="B28" s="2">
        <v>1</v>
      </c>
      <c r="C28" s="3">
        <v>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1</v>
      </c>
      <c r="AB28" s="3">
        <v>1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4">
        <v>0</v>
      </c>
      <c r="BY28">
        <v>1</v>
      </c>
    </row>
    <row r="29" spans="1:77" x14ac:dyDescent="0.3">
      <c r="A29" s="10" t="str">
        <f>name!C5</f>
        <v>Manufacturing</v>
      </c>
      <c r="B29" s="5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 s="6">
        <v>0</v>
      </c>
      <c r="BY29">
        <v>2</v>
      </c>
    </row>
    <row r="30" spans="1:77" x14ac:dyDescent="0.3">
      <c r="A30" s="10" t="str">
        <f>name!C6</f>
        <v>Construction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 s="6">
        <v>0</v>
      </c>
      <c r="BY30">
        <v>3</v>
      </c>
    </row>
    <row r="31" spans="1:77" x14ac:dyDescent="0.3">
      <c r="A31" s="10" t="str">
        <f>name!C7</f>
        <v>Trade, accomod. and transport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 s="6">
        <v>0</v>
      </c>
      <c r="BY31">
        <v>4</v>
      </c>
    </row>
    <row r="32" spans="1:77" x14ac:dyDescent="0.3">
      <c r="A32" s="10" t="str">
        <f>name!C8</f>
        <v>Business and other services</v>
      </c>
      <c r="B32" s="5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 s="6">
        <v>1</v>
      </c>
      <c r="BY32">
        <v>5</v>
      </c>
    </row>
    <row r="33" spans="1:77" ht="12.9" thickBot="1" x14ac:dyDescent="0.35">
      <c r="A33" s="10" t="str">
        <f>name!C9</f>
        <v>Non-marketed services</v>
      </c>
      <c r="B33" s="7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1</v>
      </c>
      <c r="BN33" s="8">
        <v>1</v>
      </c>
      <c r="BO33" s="8">
        <v>1</v>
      </c>
      <c r="BP33" s="8">
        <v>1</v>
      </c>
      <c r="BQ33" s="8">
        <v>1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9">
        <v>0</v>
      </c>
      <c r="BY33">
        <v>6</v>
      </c>
    </row>
    <row r="34" spans="1:77" x14ac:dyDescent="0.3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11</v>
      </c>
      <c r="M34">
        <v>12</v>
      </c>
      <c r="N34">
        <v>13</v>
      </c>
      <c r="O34">
        <v>14</v>
      </c>
      <c r="P34">
        <v>15</v>
      </c>
      <c r="Q34">
        <v>16</v>
      </c>
      <c r="R34">
        <v>17</v>
      </c>
      <c r="S34">
        <v>18</v>
      </c>
      <c r="T34">
        <v>19</v>
      </c>
      <c r="U34">
        <v>20</v>
      </c>
      <c r="V34">
        <v>21</v>
      </c>
      <c r="W34">
        <v>22</v>
      </c>
      <c r="X34">
        <v>23</v>
      </c>
      <c r="Y34">
        <v>24</v>
      </c>
      <c r="Z34">
        <v>25</v>
      </c>
      <c r="AA34">
        <v>26</v>
      </c>
      <c r="AB34">
        <v>27</v>
      </c>
      <c r="AC34">
        <v>28</v>
      </c>
      <c r="AD34">
        <v>29</v>
      </c>
      <c r="AE34">
        <v>30</v>
      </c>
      <c r="AF34">
        <v>31</v>
      </c>
      <c r="AG34">
        <v>32</v>
      </c>
      <c r="AH34">
        <v>33</v>
      </c>
      <c r="AI34">
        <v>34</v>
      </c>
      <c r="AJ34">
        <v>35</v>
      </c>
      <c r="AK34">
        <v>36</v>
      </c>
      <c r="AL34">
        <v>37</v>
      </c>
      <c r="AM34">
        <v>38</v>
      </c>
      <c r="AN34">
        <v>39</v>
      </c>
      <c r="AO34">
        <v>40</v>
      </c>
      <c r="AP34">
        <v>41</v>
      </c>
      <c r="AQ34">
        <v>42</v>
      </c>
      <c r="AR34">
        <v>43</v>
      </c>
      <c r="AS34">
        <v>44</v>
      </c>
      <c r="AT34">
        <v>45</v>
      </c>
      <c r="AU34">
        <v>46</v>
      </c>
      <c r="AV34">
        <v>47</v>
      </c>
      <c r="AW34">
        <v>48</v>
      </c>
      <c r="AX34">
        <v>49</v>
      </c>
      <c r="AY34">
        <v>50</v>
      </c>
      <c r="AZ34">
        <v>51</v>
      </c>
      <c r="BA34">
        <v>52</v>
      </c>
      <c r="BB34">
        <v>53</v>
      </c>
      <c r="BC34">
        <v>54</v>
      </c>
      <c r="BD34">
        <v>55</v>
      </c>
      <c r="BE34">
        <v>56</v>
      </c>
      <c r="BF34">
        <v>57</v>
      </c>
      <c r="BG34">
        <v>58</v>
      </c>
      <c r="BH34">
        <v>59</v>
      </c>
      <c r="BI34">
        <v>60</v>
      </c>
      <c r="BJ34">
        <v>61</v>
      </c>
      <c r="BK34">
        <v>62</v>
      </c>
      <c r="BL34">
        <v>63</v>
      </c>
      <c r="BM34">
        <v>64</v>
      </c>
      <c r="BN34">
        <v>65</v>
      </c>
      <c r="BO34">
        <v>66</v>
      </c>
      <c r="BP34">
        <v>67</v>
      </c>
      <c r="BQ34">
        <v>68</v>
      </c>
      <c r="BR34">
        <v>69</v>
      </c>
      <c r="BS34">
        <v>70</v>
      </c>
      <c r="BT34">
        <v>71</v>
      </c>
      <c r="BU34">
        <v>72</v>
      </c>
      <c r="BV34">
        <v>73</v>
      </c>
      <c r="BW34">
        <v>74</v>
      </c>
      <c r="BX34">
        <v>75</v>
      </c>
    </row>
    <row r="36" spans="1:77" x14ac:dyDescent="0.3">
      <c r="A36" s="1" t="s">
        <v>508</v>
      </c>
    </row>
    <row r="37" spans="1:77" ht="120" customHeight="1" thickBot="1" x14ac:dyDescent="0.35">
      <c r="B37" s="352" t="s">
        <v>475</v>
      </c>
      <c r="C37" s="352" t="s">
        <v>476</v>
      </c>
      <c r="D37" s="352" t="s">
        <v>477</v>
      </c>
      <c r="E37" s="352" t="s">
        <v>479</v>
      </c>
      <c r="F37" s="352" t="s">
        <v>481</v>
      </c>
      <c r="G37" s="352" t="s">
        <v>482</v>
      </c>
      <c r="H37" s="352" t="s">
        <v>484</v>
      </c>
      <c r="I37" s="352" t="s">
        <v>486</v>
      </c>
      <c r="J37" s="352" t="s">
        <v>487</v>
      </c>
      <c r="K37" s="352" t="s">
        <v>488</v>
      </c>
      <c r="L37" s="352" t="s">
        <v>489</v>
      </c>
      <c r="M37" s="352" t="s">
        <v>490</v>
      </c>
      <c r="N37" s="352" t="s">
        <v>491</v>
      </c>
      <c r="O37" s="352" t="s">
        <v>492</v>
      </c>
      <c r="P37" s="352" t="s">
        <v>493</v>
      </c>
      <c r="Q37" s="352" t="s">
        <v>494</v>
      </c>
      <c r="R37" s="352" t="s">
        <v>495</v>
      </c>
      <c r="S37" s="352" t="s">
        <v>496</v>
      </c>
      <c r="T37" s="352" t="s">
        <v>497</v>
      </c>
      <c r="U37" s="352" t="s">
        <v>498</v>
      </c>
      <c r="V37" s="352" t="s">
        <v>499</v>
      </c>
      <c r="W37" s="352" t="s">
        <v>500</v>
      </c>
      <c r="X37" s="352" t="s">
        <v>501</v>
      </c>
      <c r="Y37" s="352" t="s">
        <v>502</v>
      </c>
      <c r="Z37" s="352" t="s">
        <v>503</v>
      </c>
      <c r="AA37" s="124" t="s">
        <v>504</v>
      </c>
      <c r="AB37" s="12"/>
    </row>
    <row r="38" spans="1:77" x14ac:dyDescent="0.3">
      <c r="A38" t="s">
        <v>322</v>
      </c>
      <c r="B38" s="2">
        <v>1</v>
      </c>
      <c r="C38" s="3">
        <v>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4">
        <v>0</v>
      </c>
      <c r="AB38">
        <v>1</v>
      </c>
    </row>
    <row r="39" spans="1:77" x14ac:dyDescent="0.3">
      <c r="A39" t="s">
        <v>323</v>
      </c>
      <c r="B39" s="5">
        <v>0</v>
      </c>
      <c r="C39">
        <v>0</v>
      </c>
      <c r="D39">
        <v>1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6">
        <v>0</v>
      </c>
      <c r="AB39">
        <v>2</v>
      </c>
    </row>
    <row r="40" spans="1:77" x14ac:dyDescent="0.3">
      <c r="A40" t="s">
        <v>478</v>
      </c>
      <c r="B40" s="5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6">
        <v>0</v>
      </c>
      <c r="AB40">
        <v>3</v>
      </c>
    </row>
    <row r="41" spans="1:77" x14ac:dyDescent="0.3">
      <c r="A41" t="s">
        <v>480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s="6">
        <v>0</v>
      </c>
      <c r="AB41">
        <v>4</v>
      </c>
    </row>
    <row r="42" spans="1:77" x14ac:dyDescent="0.3">
      <c r="A42" t="s">
        <v>324</v>
      </c>
      <c r="B42" s="5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6">
        <v>0</v>
      </c>
      <c r="AB42">
        <v>5</v>
      </c>
    </row>
    <row r="43" spans="1:77" x14ac:dyDescent="0.3">
      <c r="A43" t="s">
        <v>483</v>
      </c>
      <c r="B43" s="5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 s="6">
        <v>0</v>
      </c>
      <c r="AB43">
        <v>6</v>
      </c>
    </row>
    <row r="44" spans="1:77" x14ac:dyDescent="0.3">
      <c r="A44" t="s">
        <v>485</v>
      </c>
      <c r="B44" s="5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6">
        <v>0</v>
      </c>
      <c r="AB44">
        <v>7</v>
      </c>
    </row>
    <row r="45" spans="1:77" x14ac:dyDescent="0.3">
      <c r="A45" t="s">
        <v>325</v>
      </c>
      <c r="B45" s="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0</v>
      </c>
      <c r="AA45" s="6">
        <v>0</v>
      </c>
      <c r="AB45">
        <v>8</v>
      </c>
    </row>
    <row r="46" spans="1:77" ht="12.9" thickBot="1" x14ac:dyDescent="0.35">
      <c r="A46" t="s">
        <v>9</v>
      </c>
      <c r="B46" s="7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1</v>
      </c>
      <c r="AA46" s="9">
        <v>1</v>
      </c>
      <c r="AB46">
        <v>9</v>
      </c>
    </row>
    <row r="47" spans="1:77" x14ac:dyDescent="0.3"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</row>
    <row r="49" spans="1:11" x14ac:dyDescent="0.3">
      <c r="A49" s="1" t="str">
        <f>CONCATENATE("Aggregation 9 qualifications to 6 ",name!$G$2)</f>
        <v>Aggregation 9 qualifications to 6 Qualification groups</v>
      </c>
    </row>
    <row r="50" spans="1:11" ht="197.25" customHeight="1" thickBot="1" x14ac:dyDescent="0.35">
      <c r="B50" s="124" t="str">
        <f t="array" ref="B50:J50">TRANSPOSE(name!F4:F13)</f>
        <v>RQF8 Doctorate</v>
      </c>
      <c r="C50" s="124" t="str">
        <v>RQF7 Other higher degree</v>
      </c>
      <c r="D50" s="124" t="str">
        <v>RQF6 First degree</v>
      </c>
      <c r="E50" s="124" t="str">
        <v>RQF5 Foundation degree;Nursing;Teaching</v>
      </c>
      <c r="F50" s="124" t="str">
        <v>RQF4 HE below degree level</v>
      </c>
      <c r="G50" s="124" t="str">
        <v>RQF3 A level &amp; equivalent</v>
      </c>
      <c r="H50" s="124" t="str">
        <v>RQF2 GCSE(A-C) &amp; equivalent</v>
      </c>
      <c r="I50" s="124" t="str">
        <v>RQF1 GCSE(below grade C) &amp; equivalent</v>
      </c>
      <c r="J50" s="124" t="str">
        <v>No Qualification</v>
      </c>
    </row>
    <row r="51" spans="1:11" x14ac:dyDescent="0.3">
      <c r="A51" s="10" t="str">
        <f>name!G4</f>
        <v>RQF 7-8</v>
      </c>
      <c r="B51" s="2">
        <v>1</v>
      </c>
      <c r="C51" s="3">
        <v>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4">
        <v>0</v>
      </c>
      <c r="K51">
        <v>1</v>
      </c>
    </row>
    <row r="52" spans="1:11" x14ac:dyDescent="0.3">
      <c r="A52" s="10" t="str">
        <f>name!G5</f>
        <v>RQF 4-6</v>
      </c>
      <c r="B52" s="5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 s="6">
        <v>0</v>
      </c>
      <c r="K52">
        <v>2</v>
      </c>
    </row>
    <row r="53" spans="1:11" x14ac:dyDescent="0.3">
      <c r="A53" s="10" t="str">
        <f>name!G6</f>
        <v>RQF3 A level &amp; equivalent</v>
      </c>
      <c r="B53" s="5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 s="6">
        <v>0</v>
      </c>
      <c r="K53">
        <v>3</v>
      </c>
    </row>
    <row r="54" spans="1:11" x14ac:dyDescent="0.3">
      <c r="A54" s="10" t="str">
        <f>name!G7</f>
        <v>RQF2 GCSE(A-C) &amp; equivalent</v>
      </c>
      <c r="B54" s="5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 s="6">
        <v>0</v>
      </c>
      <c r="K54">
        <v>4</v>
      </c>
    </row>
    <row r="55" spans="1:11" x14ac:dyDescent="0.3">
      <c r="A55" s="10" t="str">
        <f>name!G8</f>
        <v>RQF1 GCSE(below grade C) &amp; equivalent</v>
      </c>
      <c r="B55" s="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 s="6">
        <v>0</v>
      </c>
      <c r="K55">
        <v>5</v>
      </c>
    </row>
    <row r="56" spans="1:11" ht="12.9" thickBot="1" x14ac:dyDescent="0.35">
      <c r="A56" s="10" t="str">
        <f>name!G9</f>
        <v>No Qualification</v>
      </c>
      <c r="B56" s="7">
        <v>0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9">
        <v>1</v>
      </c>
      <c r="K56">
        <v>6</v>
      </c>
    </row>
    <row r="57" spans="1:11" x14ac:dyDescent="0.3">
      <c r="A57" s="10"/>
      <c r="B57">
        <v>1</v>
      </c>
      <c r="C57">
        <v>2</v>
      </c>
      <c r="D57">
        <v>3</v>
      </c>
      <c r="E57">
        <v>4</v>
      </c>
      <c r="F57">
        <v>5</v>
      </c>
      <c r="G57">
        <v>6</v>
      </c>
      <c r="H57">
        <v>7</v>
      </c>
      <c r="I57">
        <v>8</v>
      </c>
      <c r="J57">
        <v>9</v>
      </c>
    </row>
    <row r="58" spans="1:11" x14ac:dyDescent="0.3">
      <c r="A58" s="10"/>
    </row>
    <row r="59" spans="1:11" x14ac:dyDescent="0.3">
      <c r="A59" s="10"/>
    </row>
  </sheetData>
  <phoneticPr fontId="4" type="noConversion"/>
  <conditionalFormatting sqref="J52:J55">
    <cfRule type="cellIs" dxfId="5" priority="3" operator="equal">
      <formula>0</formula>
    </cfRule>
    <cfRule type="cellIs" dxfId="4" priority="4" stopIfTrue="1" operator="equal">
      <formula>1</formula>
    </cfRule>
  </conditionalFormatting>
  <conditionalFormatting sqref="B3:BX24 B28:BX33 B51:J56">
    <cfRule type="cellIs" dxfId="3" priority="15" operator="equal">
      <formula>0</formula>
    </cfRule>
    <cfRule type="cellIs" dxfId="2" priority="17" stopIfTrue="1" operator="equal">
      <formula>1</formula>
    </cfRule>
  </conditionalFormatting>
  <conditionalFormatting sqref="B38:AA46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53" orientation="landscape" r:id="rId1"/>
  <headerFooter alignWithMargins="0"/>
  <rowBreaks count="1" manualBreakCount="1">
    <brk id="2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>
    <pageSetUpPr fitToPage="1"/>
  </sheetPr>
  <dimension ref="A1:F244"/>
  <sheetViews>
    <sheetView zoomScale="85" zoomScaleNormal="85" workbookViewId="0"/>
  </sheetViews>
  <sheetFormatPr defaultColWidth="10.3046875" defaultRowHeight="12.45" x14ac:dyDescent="0.3"/>
  <cols>
    <col min="1" max="1" width="4.15234375" style="88" customWidth="1"/>
    <col min="2" max="2" width="55.69140625" style="88" customWidth="1"/>
    <col min="3" max="3" width="5.84375" style="88" customWidth="1"/>
    <col min="4" max="4" width="65.69140625" style="88" customWidth="1"/>
    <col min="5" max="16384" width="10.3046875" style="88"/>
  </cols>
  <sheetData>
    <row r="1" spans="1:4" x14ac:dyDescent="0.3">
      <c r="A1" s="14" t="s">
        <v>160</v>
      </c>
    </row>
    <row r="3" spans="1:4" x14ac:dyDescent="0.3">
      <c r="A3" s="125"/>
      <c r="B3" s="125" t="s">
        <v>348</v>
      </c>
      <c r="C3" s="125"/>
      <c r="D3" s="125" t="s">
        <v>349</v>
      </c>
    </row>
    <row r="4" spans="1:4" x14ac:dyDescent="0.3">
      <c r="A4" s="125"/>
      <c r="B4" s="125"/>
      <c r="C4" s="125"/>
      <c r="D4" s="125"/>
    </row>
    <row r="5" spans="1:4" x14ac:dyDescent="0.3">
      <c r="A5" s="125">
        <v>1</v>
      </c>
      <c r="B5" s="125" t="s">
        <v>161</v>
      </c>
      <c r="C5" s="125">
        <v>1</v>
      </c>
      <c r="D5" s="125" t="s">
        <v>162</v>
      </c>
    </row>
    <row r="6" spans="1:4" x14ac:dyDescent="0.3">
      <c r="A6" s="125"/>
      <c r="B6" s="125"/>
      <c r="C6" s="125"/>
      <c r="D6" s="125"/>
    </row>
    <row r="7" spans="1:4" x14ac:dyDescent="0.3">
      <c r="A7" s="125">
        <v>2</v>
      </c>
      <c r="B7" s="125" t="s">
        <v>88</v>
      </c>
      <c r="C7" s="125">
        <v>2</v>
      </c>
      <c r="D7" s="125" t="s">
        <v>163</v>
      </c>
    </row>
    <row r="8" spans="1:4" x14ac:dyDescent="0.3">
      <c r="A8" s="125"/>
      <c r="B8" s="125"/>
      <c r="C8" s="125"/>
      <c r="D8" s="125"/>
    </row>
    <row r="9" spans="1:4" x14ac:dyDescent="0.3">
      <c r="A9" s="125">
        <v>3</v>
      </c>
      <c r="B9" s="125" t="s">
        <v>164</v>
      </c>
      <c r="C9" s="125">
        <v>3</v>
      </c>
      <c r="D9" s="125" t="s">
        <v>165</v>
      </c>
    </row>
    <row r="10" spans="1:4" x14ac:dyDescent="0.3">
      <c r="A10" s="125"/>
      <c r="B10" s="125"/>
      <c r="C10" s="125">
        <v>4</v>
      </c>
      <c r="D10" s="125" t="s">
        <v>166</v>
      </c>
    </row>
    <row r="11" spans="1:4" x14ac:dyDescent="0.3">
      <c r="A11" s="125"/>
      <c r="B11" s="125"/>
      <c r="C11" s="125"/>
      <c r="D11" s="125"/>
    </row>
    <row r="12" spans="1:4" x14ac:dyDescent="0.3">
      <c r="A12" s="125">
        <v>4</v>
      </c>
      <c r="B12" s="125" t="s">
        <v>63</v>
      </c>
      <c r="C12" s="125">
        <v>16</v>
      </c>
      <c r="D12" s="125" t="s">
        <v>167</v>
      </c>
    </row>
    <row r="13" spans="1:4" x14ac:dyDescent="0.3">
      <c r="A13" s="125"/>
      <c r="B13" s="125"/>
      <c r="C13" s="125">
        <v>17</v>
      </c>
      <c r="D13" s="125" t="s">
        <v>89</v>
      </c>
    </row>
    <row r="14" spans="1:4" x14ac:dyDescent="0.3">
      <c r="A14" s="125"/>
      <c r="B14" s="125"/>
      <c r="C14" s="125">
        <v>18</v>
      </c>
      <c r="D14" s="125" t="s">
        <v>168</v>
      </c>
    </row>
    <row r="15" spans="1:4" x14ac:dyDescent="0.3">
      <c r="A15" s="125"/>
      <c r="B15" s="125"/>
      <c r="C15" s="125"/>
      <c r="D15" s="125"/>
    </row>
    <row r="16" spans="1:4" x14ac:dyDescent="0.3">
      <c r="A16" s="125">
        <v>5</v>
      </c>
      <c r="B16" s="125" t="s">
        <v>90</v>
      </c>
      <c r="C16" s="125">
        <v>5</v>
      </c>
      <c r="D16" s="125" t="s">
        <v>169</v>
      </c>
    </row>
    <row r="17" spans="1:4" x14ac:dyDescent="0.3">
      <c r="A17" s="125"/>
      <c r="B17" s="125"/>
      <c r="C17" s="125">
        <v>6</v>
      </c>
      <c r="D17" s="125" t="s">
        <v>170</v>
      </c>
    </row>
    <row r="18" spans="1:4" x14ac:dyDescent="0.3">
      <c r="A18" s="125"/>
      <c r="B18" s="125"/>
      <c r="C18" s="125">
        <v>7</v>
      </c>
      <c r="D18" s="125" t="s">
        <v>171</v>
      </c>
    </row>
    <row r="19" spans="1:4" x14ac:dyDescent="0.3">
      <c r="A19" s="125"/>
      <c r="B19" s="125"/>
      <c r="C19" s="125">
        <v>8</v>
      </c>
      <c r="D19" s="125" t="s">
        <v>172</v>
      </c>
    </row>
    <row r="20" spans="1:4" x14ac:dyDescent="0.3">
      <c r="A20" s="125"/>
      <c r="B20" s="125"/>
      <c r="C20" s="125">
        <v>9</v>
      </c>
      <c r="D20" s="125" t="s">
        <v>173</v>
      </c>
    </row>
    <row r="21" spans="1:4" x14ac:dyDescent="0.3">
      <c r="A21" s="125"/>
      <c r="B21" s="125"/>
      <c r="C21" s="125">
        <v>10</v>
      </c>
      <c r="D21" s="125" t="s">
        <v>174</v>
      </c>
    </row>
    <row r="22" spans="1:4" x14ac:dyDescent="0.3">
      <c r="A22" s="125"/>
      <c r="B22" s="125"/>
      <c r="C22" s="125">
        <v>11</v>
      </c>
      <c r="D22" s="125" t="s">
        <v>64</v>
      </c>
    </row>
    <row r="23" spans="1:4" x14ac:dyDescent="0.3">
      <c r="A23" s="125"/>
      <c r="B23" s="125"/>
      <c r="C23" s="125">
        <v>12</v>
      </c>
      <c r="D23" s="125" t="s">
        <v>175</v>
      </c>
    </row>
    <row r="24" spans="1:4" x14ac:dyDescent="0.3">
      <c r="A24" s="125"/>
      <c r="B24" s="125"/>
      <c r="C24" s="125">
        <v>13</v>
      </c>
      <c r="D24" s="125" t="s">
        <v>176</v>
      </c>
    </row>
    <row r="25" spans="1:4" x14ac:dyDescent="0.3">
      <c r="A25" s="125"/>
      <c r="B25" s="125"/>
      <c r="C25" s="125">
        <v>14</v>
      </c>
      <c r="D25" s="125" t="s">
        <v>122</v>
      </c>
    </row>
    <row r="26" spans="1:4" x14ac:dyDescent="0.3">
      <c r="A26" s="125"/>
      <c r="B26" s="125"/>
      <c r="C26" s="125">
        <v>15</v>
      </c>
      <c r="D26" s="125" t="s">
        <v>123</v>
      </c>
    </row>
    <row r="27" spans="1:4" x14ac:dyDescent="0.3">
      <c r="A27" s="125"/>
      <c r="B27" s="125"/>
      <c r="C27" s="125">
        <v>19</v>
      </c>
      <c r="D27" s="125" t="s">
        <v>177</v>
      </c>
    </row>
    <row r="28" spans="1:4" x14ac:dyDescent="0.3">
      <c r="A28" s="125"/>
      <c r="B28" s="125"/>
      <c r="C28" s="125">
        <v>20</v>
      </c>
      <c r="D28" s="125" t="s">
        <v>178</v>
      </c>
    </row>
    <row r="29" spans="1:4" x14ac:dyDescent="0.3">
      <c r="A29" s="125"/>
      <c r="B29" s="125"/>
      <c r="C29" s="125">
        <v>21</v>
      </c>
      <c r="D29" s="125" t="s">
        <v>179</v>
      </c>
    </row>
    <row r="30" spans="1:4" x14ac:dyDescent="0.3">
      <c r="A30" s="125"/>
      <c r="B30" s="125"/>
      <c r="C30" s="125">
        <v>22</v>
      </c>
      <c r="D30" s="125" t="s">
        <v>180</v>
      </c>
    </row>
    <row r="31" spans="1:4" x14ac:dyDescent="0.3">
      <c r="A31" s="125"/>
      <c r="B31" s="125"/>
      <c r="C31" s="125">
        <v>23</v>
      </c>
      <c r="D31" s="125" t="s">
        <v>181</v>
      </c>
    </row>
    <row r="32" spans="1:4" x14ac:dyDescent="0.3">
      <c r="A32" s="125"/>
      <c r="B32" s="125"/>
      <c r="C32" s="125"/>
      <c r="D32" s="125"/>
    </row>
    <row r="33" spans="1:4" x14ac:dyDescent="0.3">
      <c r="A33" s="125">
        <v>6</v>
      </c>
      <c r="B33" s="125" t="s">
        <v>182</v>
      </c>
      <c r="C33" s="125">
        <v>24</v>
      </c>
      <c r="D33" s="125" t="s">
        <v>183</v>
      </c>
    </row>
    <row r="34" spans="1:4" x14ac:dyDescent="0.3">
      <c r="A34" s="125"/>
      <c r="B34" s="125"/>
      <c r="C34" s="125"/>
      <c r="D34" s="125"/>
    </row>
    <row r="35" spans="1:4" x14ac:dyDescent="0.3">
      <c r="A35" s="125">
        <v>7</v>
      </c>
      <c r="B35" s="125" t="s">
        <v>184</v>
      </c>
      <c r="C35" s="125">
        <v>25</v>
      </c>
      <c r="D35" s="125" t="s">
        <v>185</v>
      </c>
    </row>
    <row r="36" spans="1:4" x14ac:dyDescent="0.3">
      <c r="A36" s="125"/>
      <c r="B36" s="125"/>
      <c r="C36" s="125">
        <v>26</v>
      </c>
      <c r="D36" s="125" t="s">
        <v>186</v>
      </c>
    </row>
    <row r="37" spans="1:4" x14ac:dyDescent="0.3">
      <c r="A37" s="125"/>
      <c r="B37" s="125"/>
      <c r="C37" s="125">
        <v>27</v>
      </c>
      <c r="D37" s="125" t="s">
        <v>187</v>
      </c>
    </row>
    <row r="38" spans="1:4" x14ac:dyDescent="0.3">
      <c r="A38" s="125"/>
      <c r="B38" s="125"/>
      <c r="C38" s="125"/>
      <c r="D38" s="125"/>
    </row>
    <row r="39" spans="1:4" x14ac:dyDescent="0.3">
      <c r="A39" s="125">
        <v>8</v>
      </c>
      <c r="B39" s="125" t="s">
        <v>65</v>
      </c>
      <c r="C39" s="125">
        <v>28</v>
      </c>
      <c r="D39" s="125" t="s">
        <v>188</v>
      </c>
    </row>
    <row r="40" spans="1:4" x14ac:dyDescent="0.3">
      <c r="A40" s="125"/>
      <c r="B40" s="125"/>
      <c r="C40" s="125">
        <v>29</v>
      </c>
      <c r="D40" s="125" t="s">
        <v>189</v>
      </c>
    </row>
    <row r="41" spans="1:4" x14ac:dyDescent="0.3">
      <c r="A41" s="125"/>
      <c r="B41" s="125"/>
      <c r="C41" s="125">
        <v>30</v>
      </c>
      <c r="D41" s="125" t="s">
        <v>190</v>
      </c>
    </row>
    <row r="42" spans="1:4" x14ac:dyDescent="0.3">
      <c r="A42" s="125"/>
      <c r="B42" s="125"/>
      <c r="C42" s="125"/>
      <c r="D42" s="125"/>
    </row>
    <row r="43" spans="1:4" x14ac:dyDescent="0.3">
      <c r="A43" s="125">
        <v>9</v>
      </c>
      <c r="B43" s="125" t="s">
        <v>91</v>
      </c>
      <c r="C43" s="125">
        <v>31</v>
      </c>
      <c r="D43" s="125" t="s">
        <v>191</v>
      </c>
    </row>
    <row r="44" spans="1:4" x14ac:dyDescent="0.3">
      <c r="A44" s="125"/>
      <c r="B44" s="125"/>
      <c r="C44" s="125">
        <v>32</v>
      </c>
      <c r="D44" s="125" t="s">
        <v>192</v>
      </c>
    </row>
    <row r="45" spans="1:4" x14ac:dyDescent="0.3">
      <c r="A45" s="125"/>
      <c r="B45" s="125"/>
      <c r="C45" s="125">
        <v>33</v>
      </c>
      <c r="D45" s="125" t="s">
        <v>193</v>
      </c>
    </row>
    <row r="46" spans="1:4" x14ac:dyDescent="0.3">
      <c r="A46" s="125"/>
      <c r="B46" s="125"/>
      <c r="C46" s="125"/>
      <c r="D46" s="125"/>
    </row>
    <row r="47" spans="1:4" x14ac:dyDescent="0.3">
      <c r="A47" s="125">
        <v>10</v>
      </c>
      <c r="B47" s="125" t="s">
        <v>194</v>
      </c>
      <c r="C47" s="125">
        <v>34</v>
      </c>
      <c r="D47" s="125" t="s">
        <v>195</v>
      </c>
    </row>
    <row r="48" spans="1:4" x14ac:dyDescent="0.3">
      <c r="A48" s="125"/>
      <c r="B48" s="125"/>
      <c r="C48" s="125">
        <v>35</v>
      </c>
      <c r="D48" s="125" t="s">
        <v>196</v>
      </c>
    </row>
    <row r="49" spans="1:4" x14ac:dyDescent="0.3">
      <c r="A49" s="125"/>
      <c r="B49" s="125"/>
      <c r="C49" s="125">
        <v>36</v>
      </c>
      <c r="D49" s="125" t="s">
        <v>197</v>
      </c>
    </row>
    <row r="50" spans="1:4" x14ac:dyDescent="0.3">
      <c r="A50" s="125"/>
      <c r="B50" s="125"/>
      <c r="C50" s="125">
        <v>37</v>
      </c>
      <c r="D50" s="125" t="s">
        <v>198</v>
      </c>
    </row>
    <row r="51" spans="1:4" x14ac:dyDescent="0.3">
      <c r="A51" s="125"/>
      <c r="B51" s="125"/>
      <c r="C51" s="125">
        <v>38</v>
      </c>
      <c r="D51" s="125" t="s">
        <v>199</v>
      </c>
    </row>
    <row r="52" spans="1:4" x14ac:dyDescent="0.3">
      <c r="A52" s="125"/>
      <c r="B52" s="125"/>
      <c r="C52" s="125"/>
      <c r="D52" s="125"/>
    </row>
    <row r="53" spans="1:4" x14ac:dyDescent="0.3">
      <c r="A53" s="125">
        <v>11</v>
      </c>
      <c r="B53" s="125" t="s">
        <v>200</v>
      </c>
      <c r="C53" s="125">
        <v>39</v>
      </c>
      <c r="D53" s="125" t="s">
        <v>201</v>
      </c>
    </row>
    <row r="54" spans="1:4" x14ac:dyDescent="0.3">
      <c r="A54" s="125"/>
      <c r="B54" s="125"/>
      <c r="C54" s="125">
        <v>40</v>
      </c>
      <c r="D54" s="125" t="s">
        <v>202</v>
      </c>
    </row>
    <row r="55" spans="1:4" x14ac:dyDescent="0.3">
      <c r="A55" s="125"/>
      <c r="B55" s="125"/>
      <c r="C55" s="125"/>
      <c r="D55" s="125"/>
    </row>
    <row r="56" spans="1:4" x14ac:dyDescent="0.3">
      <c r="A56" s="125">
        <v>12</v>
      </c>
      <c r="B56" s="125" t="s">
        <v>94</v>
      </c>
      <c r="C56" s="125">
        <v>41</v>
      </c>
      <c r="D56" s="125" t="s">
        <v>124</v>
      </c>
    </row>
    <row r="57" spans="1:4" x14ac:dyDescent="0.3">
      <c r="A57" s="125"/>
      <c r="B57" s="125"/>
      <c r="C57" s="125">
        <v>42</v>
      </c>
      <c r="D57" s="125" t="s">
        <v>203</v>
      </c>
    </row>
    <row r="58" spans="1:4" x14ac:dyDescent="0.3">
      <c r="A58" s="125"/>
      <c r="B58" s="125"/>
      <c r="C58" s="125">
        <v>43</v>
      </c>
      <c r="D58" s="125" t="s">
        <v>204</v>
      </c>
    </row>
    <row r="59" spans="1:4" x14ac:dyDescent="0.3">
      <c r="A59" s="125"/>
      <c r="B59" s="125"/>
      <c r="C59" s="125"/>
      <c r="D59" s="125"/>
    </row>
    <row r="60" spans="1:4" x14ac:dyDescent="0.3">
      <c r="A60" s="125">
        <v>13</v>
      </c>
      <c r="B60" s="125" t="s">
        <v>205</v>
      </c>
      <c r="C60" s="125">
        <v>44</v>
      </c>
      <c r="D60" s="125" t="s">
        <v>92</v>
      </c>
    </row>
    <row r="61" spans="1:4" x14ac:dyDescent="0.3">
      <c r="A61" s="125"/>
      <c r="B61" s="125"/>
      <c r="C61" s="125">
        <v>45</v>
      </c>
      <c r="D61" s="125" t="s">
        <v>206</v>
      </c>
    </row>
    <row r="62" spans="1:4" x14ac:dyDescent="0.3">
      <c r="A62" s="125"/>
      <c r="B62" s="125"/>
      <c r="C62" s="125">
        <v>46</v>
      </c>
      <c r="D62" s="125" t="s">
        <v>207</v>
      </c>
    </row>
    <row r="63" spans="1:4" x14ac:dyDescent="0.3">
      <c r="A63" s="125"/>
      <c r="B63" s="125"/>
      <c r="C63" s="125"/>
      <c r="D63" s="125"/>
    </row>
    <row r="64" spans="1:4" x14ac:dyDescent="0.3">
      <c r="A64" s="125">
        <v>14</v>
      </c>
      <c r="B64" s="125" t="s">
        <v>208</v>
      </c>
      <c r="C64" s="125">
        <v>47</v>
      </c>
      <c r="D64" s="125" t="s">
        <v>125</v>
      </c>
    </row>
    <row r="65" spans="1:4" x14ac:dyDescent="0.3">
      <c r="A65" s="125"/>
      <c r="B65" s="125"/>
      <c r="C65" s="125">
        <v>48</v>
      </c>
      <c r="D65" s="125" t="s">
        <v>209</v>
      </c>
    </row>
    <row r="66" spans="1:4" x14ac:dyDescent="0.3">
      <c r="A66" s="125"/>
      <c r="B66" s="125"/>
      <c r="C66" s="125">
        <v>49</v>
      </c>
      <c r="D66" s="125" t="s">
        <v>210</v>
      </c>
    </row>
    <row r="67" spans="1:4" x14ac:dyDescent="0.3">
      <c r="A67" s="125"/>
      <c r="B67" s="125"/>
      <c r="C67" s="125"/>
      <c r="D67" s="125"/>
    </row>
    <row r="68" spans="1:4" x14ac:dyDescent="0.3">
      <c r="A68" s="125">
        <v>15</v>
      </c>
      <c r="B68" s="125" t="s">
        <v>211</v>
      </c>
      <c r="C68" s="125">
        <v>50</v>
      </c>
      <c r="D68" s="125" t="s">
        <v>211</v>
      </c>
    </row>
    <row r="69" spans="1:4" x14ac:dyDescent="0.3">
      <c r="A69" s="125"/>
      <c r="B69" s="125"/>
      <c r="C69" s="125"/>
      <c r="D69" s="125"/>
    </row>
    <row r="70" spans="1:4" x14ac:dyDescent="0.3">
      <c r="A70" s="125">
        <v>16</v>
      </c>
      <c r="B70" s="125" t="s">
        <v>212</v>
      </c>
      <c r="C70" s="125">
        <v>51</v>
      </c>
      <c r="D70" s="125" t="s">
        <v>213</v>
      </c>
    </row>
    <row r="71" spans="1:4" x14ac:dyDescent="0.3">
      <c r="A71" s="125"/>
      <c r="B71" s="125"/>
      <c r="C71" s="125">
        <v>52</v>
      </c>
      <c r="D71" s="125" t="s">
        <v>214</v>
      </c>
    </row>
    <row r="72" spans="1:4" x14ac:dyDescent="0.3">
      <c r="A72" s="125"/>
      <c r="B72" s="125"/>
      <c r="C72" s="125">
        <v>53</v>
      </c>
      <c r="D72" s="125" t="s">
        <v>215</v>
      </c>
    </row>
    <row r="73" spans="1:4" x14ac:dyDescent="0.3">
      <c r="A73" s="125"/>
      <c r="B73" s="125"/>
      <c r="C73" s="125">
        <v>54</v>
      </c>
      <c r="D73" s="125" t="s">
        <v>216</v>
      </c>
    </row>
    <row r="74" spans="1:4" x14ac:dyDescent="0.3">
      <c r="A74" s="125"/>
      <c r="B74" s="125"/>
      <c r="C74" s="125">
        <v>55</v>
      </c>
      <c r="D74" s="125" t="s">
        <v>217</v>
      </c>
    </row>
    <row r="75" spans="1:4" x14ac:dyDescent="0.3">
      <c r="A75" s="125"/>
      <c r="B75" s="125"/>
      <c r="C75" s="125">
        <v>56</v>
      </c>
      <c r="D75" s="125" t="s">
        <v>218</v>
      </c>
    </row>
    <row r="76" spans="1:4" x14ac:dyDescent="0.3">
      <c r="A76" s="125"/>
      <c r="B76" s="125"/>
      <c r="C76" s="125">
        <v>57</v>
      </c>
      <c r="D76" s="125" t="s">
        <v>219</v>
      </c>
    </row>
    <row r="77" spans="1:4" x14ac:dyDescent="0.3">
      <c r="A77" s="125"/>
      <c r="B77" s="125"/>
      <c r="C77" s="125"/>
      <c r="D77" s="125"/>
    </row>
    <row r="78" spans="1:4" x14ac:dyDescent="0.3">
      <c r="A78" s="125">
        <v>17</v>
      </c>
      <c r="B78" s="125" t="s">
        <v>220</v>
      </c>
      <c r="C78" s="125">
        <v>58</v>
      </c>
      <c r="D78" s="125" t="s">
        <v>221</v>
      </c>
    </row>
    <row r="79" spans="1:4" x14ac:dyDescent="0.3">
      <c r="A79" s="125"/>
      <c r="B79" s="125"/>
      <c r="C79" s="125">
        <v>59</v>
      </c>
      <c r="D79" s="125" t="s">
        <v>126</v>
      </c>
    </row>
    <row r="80" spans="1:4" x14ac:dyDescent="0.3">
      <c r="A80" s="125"/>
      <c r="B80" s="125"/>
      <c r="C80" s="125">
        <v>60</v>
      </c>
      <c r="D80" s="125" t="s">
        <v>222</v>
      </c>
    </row>
    <row r="81" spans="1:4" x14ac:dyDescent="0.3">
      <c r="A81" s="125"/>
      <c r="B81" s="125"/>
      <c r="C81" s="125">
        <v>61</v>
      </c>
      <c r="D81" s="125" t="s">
        <v>223</v>
      </c>
    </row>
    <row r="82" spans="1:4" x14ac:dyDescent="0.3">
      <c r="A82" s="125"/>
      <c r="B82" s="125"/>
      <c r="C82" s="125">
        <v>62</v>
      </c>
      <c r="D82" s="125" t="s">
        <v>224</v>
      </c>
    </row>
    <row r="83" spans="1:4" x14ac:dyDescent="0.3">
      <c r="A83" s="125"/>
      <c r="B83" s="125"/>
      <c r="C83" s="125">
        <v>63</v>
      </c>
      <c r="D83" s="125" t="s">
        <v>225</v>
      </c>
    </row>
    <row r="84" spans="1:4" x14ac:dyDescent="0.3">
      <c r="A84" s="125"/>
      <c r="B84" s="125"/>
      <c r="C84" s="125"/>
      <c r="D84" s="125"/>
    </row>
    <row r="85" spans="1:4" x14ac:dyDescent="0.3">
      <c r="A85" s="125">
        <v>18</v>
      </c>
      <c r="B85" s="125" t="s">
        <v>226</v>
      </c>
      <c r="C85" s="125">
        <v>64</v>
      </c>
      <c r="D85" s="125" t="s">
        <v>227</v>
      </c>
    </row>
    <row r="86" spans="1:4" x14ac:dyDescent="0.3">
      <c r="A86" s="125"/>
      <c r="B86" s="125"/>
      <c r="C86" s="125"/>
      <c r="D86" s="125"/>
    </row>
    <row r="87" spans="1:4" x14ac:dyDescent="0.3">
      <c r="A87" s="125">
        <v>19</v>
      </c>
      <c r="B87" s="125" t="s">
        <v>66</v>
      </c>
      <c r="C87" s="125">
        <v>65</v>
      </c>
      <c r="D87" s="125" t="s">
        <v>66</v>
      </c>
    </row>
    <row r="88" spans="1:4" x14ac:dyDescent="0.3">
      <c r="A88" s="125"/>
      <c r="B88" s="125"/>
      <c r="C88" s="125"/>
      <c r="D88" s="125"/>
    </row>
    <row r="89" spans="1:4" x14ac:dyDescent="0.3">
      <c r="A89" s="125">
        <v>20</v>
      </c>
      <c r="B89" s="125" t="s">
        <v>67</v>
      </c>
      <c r="C89" s="125">
        <v>66</v>
      </c>
      <c r="D89" s="125" t="s">
        <v>228</v>
      </c>
    </row>
    <row r="90" spans="1:4" x14ac:dyDescent="0.3">
      <c r="A90" s="125"/>
      <c r="B90" s="125"/>
      <c r="C90" s="125">
        <v>67</v>
      </c>
      <c r="D90" s="125" t="s">
        <v>229</v>
      </c>
    </row>
    <row r="91" spans="1:4" x14ac:dyDescent="0.3">
      <c r="A91" s="125"/>
      <c r="B91" s="125"/>
      <c r="C91" s="125">
        <v>68</v>
      </c>
      <c r="D91" s="125" t="s">
        <v>230</v>
      </c>
    </row>
    <row r="92" spans="1:4" x14ac:dyDescent="0.3">
      <c r="A92" s="125"/>
      <c r="B92" s="125"/>
      <c r="C92" s="125"/>
      <c r="D92" s="125"/>
    </row>
    <row r="93" spans="1:4" x14ac:dyDescent="0.3">
      <c r="A93" s="125">
        <v>21</v>
      </c>
      <c r="B93" s="125" t="s">
        <v>93</v>
      </c>
      <c r="C93" s="125">
        <v>69</v>
      </c>
      <c r="D93" s="125" t="s">
        <v>231</v>
      </c>
    </row>
    <row r="94" spans="1:4" x14ac:dyDescent="0.3">
      <c r="A94" s="125"/>
      <c r="B94" s="125"/>
      <c r="C94" s="125">
        <v>70</v>
      </c>
      <c r="D94" s="125" t="s">
        <v>232</v>
      </c>
    </row>
    <row r="95" spans="1:4" x14ac:dyDescent="0.3">
      <c r="A95" s="125"/>
      <c r="B95" s="125"/>
      <c r="C95" s="125">
        <v>71</v>
      </c>
      <c r="D95" s="125" t="s">
        <v>233</v>
      </c>
    </row>
    <row r="96" spans="1:4" x14ac:dyDescent="0.3">
      <c r="A96" s="125"/>
      <c r="B96" s="125"/>
      <c r="C96" s="125">
        <v>72</v>
      </c>
      <c r="D96" s="125" t="s">
        <v>234</v>
      </c>
    </row>
    <row r="97" spans="1:4" x14ac:dyDescent="0.3">
      <c r="A97" s="125"/>
      <c r="B97" s="125"/>
      <c r="C97" s="125"/>
      <c r="D97" s="125"/>
    </row>
    <row r="98" spans="1:4" x14ac:dyDescent="0.3">
      <c r="A98" s="125">
        <v>22</v>
      </c>
      <c r="B98" s="125" t="s">
        <v>235</v>
      </c>
      <c r="C98" s="125">
        <v>73</v>
      </c>
      <c r="D98" s="125" t="s">
        <v>127</v>
      </c>
    </row>
    <row r="99" spans="1:4" x14ac:dyDescent="0.3">
      <c r="A99" s="125"/>
      <c r="B99" s="125"/>
      <c r="C99" s="125">
        <v>74</v>
      </c>
      <c r="D99" s="125" t="s">
        <v>236</v>
      </c>
    </row>
    <row r="100" spans="1:4" x14ac:dyDescent="0.3">
      <c r="A100" s="125"/>
      <c r="B100" s="125"/>
      <c r="C100" s="125">
        <v>75</v>
      </c>
      <c r="D100" s="125" t="s">
        <v>237</v>
      </c>
    </row>
    <row r="101" spans="1:4" x14ac:dyDescent="0.3">
      <c r="A101"/>
      <c r="B101"/>
      <c r="D101"/>
    </row>
    <row r="102" spans="1:4" x14ac:dyDescent="0.3">
      <c r="A102" s="16" t="s">
        <v>238</v>
      </c>
      <c r="D102"/>
    </row>
    <row r="103" spans="1:4" x14ac:dyDescent="0.3">
      <c r="D103"/>
    </row>
    <row r="104" spans="1:4" x14ac:dyDescent="0.3">
      <c r="A104" s="10"/>
      <c r="B104" s="125" t="s">
        <v>350</v>
      </c>
      <c r="C104" s="10"/>
      <c r="D104" s="125" t="s">
        <v>349</v>
      </c>
    </row>
    <row r="105" spans="1:4" x14ac:dyDescent="0.3">
      <c r="A105" s="10"/>
      <c r="B105" s="10"/>
      <c r="C105" s="10"/>
      <c r="D105" s="10"/>
    </row>
    <row r="106" spans="1:4" x14ac:dyDescent="0.3">
      <c r="A106" s="10">
        <v>1</v>
      </c>
      <c r="B106" s="10" t="s">
        <v>239</v>
      </c>
      <c r="C106" s="10">
        <v>1</v>
      </c>
      <c r="D106" s="10" t="s">
        <v>162</v>
      </c>
    </row>
    <row r="107" spans="1:4" x14ac:dyDescent="0.3">
      <c r="A107" s="10"/>
      <c r="B107" s="10"/>
      <c r="C107" s="10">
        <v>2</v>
      </c>
      <c r="D107" s="10" t="s">
        <v>163</v>
      </c>
    </row>
    <row r="108" spans="1:4" x14ac:dyDescent="0.3">
      <c r="A108" s="10"/>
      <c r="B108" s="10"/>
      <c r="C108" s="10">
        <v>24</v>
      </c>
      <c r="D108" s="10" t="s">
        <v>183</v>
      </c>
    </row>
    <row r="109" spans="1:4" x14ac:dyDescent="0.3">
      <c r="A109" s="10"/>
      <c r="B109" s="10"/>
      <c r="C109" s="10">
        <v>25</v>
      </c>
      <c r="D109" s="10" t="s">
        <v>185</v>
      </c>
    </row>
    <row r="110" spans="1:4" x14ac:dyDescent="0.3">
      <c r="A110" s="10"/>
      <c r="B110" s="10"/>
      <c r="C110" s="10">
        <v>26</v>
      </c>
      <c r="D110" s="10" t="s">
        <v>186</v>
      </c>
    </row>
    <row r="111" spans="1:4" x14ac:dyDescent="0.3">
      <c r="A111" s="10"/>
      <c r="B111" s="10"/>
      <c r="C111" s="10">
        <v>27</v>
      </c>
      <c r="D111" s="10" t="s">
        <v>187</v>
      </c>
    </row>
    <row r="112" spans="1:4" x14ac:dyDescent="0.3">
      <c r="A112" s="10"/>
      <c r="B112" s="10"/>
      <c r="C112" s="10"/>
      <c r="D112" s="10"/>
    </row>
    <row r="113" spans="1:4" x14ac:dyDescent="0.3">
      <c r="A113" s="10">
        <v>2</v>
      </c>
      <c r="B113" s="10" t="s">
        <v>95</v>
      </c>
      <c r="C113" s="10">
        <v>3</v>
      </c>
      <c r="D113" s="10" t="s">
        <v>165</v>
      </c>
    </row>
    <row r="114" spans="1:4" x14ac:dyDescent="0.3">
      <c r="A114" s="10"/>
      <c r="B114" s="10"/>
      <c r="C114" s="10">
        <v>4</v>
      </c>
      <c r="D114" s="10" t="s">
        <v>166</v>
      </c>
    </row>
    <row r="115" spans="1:4" x14ac:dyDescent="0.3">
      <c r="A115" s="10"/>
      <c r="B115" s="10"/>
      <c r="C115" s="10">
        <v>5</v>
      </c>
      <c r="D115" s="10" t="s">
        <v>169</v>
      </c>
    </row>
    <row r="116" spans="1:4" x14ac:dyDescent="0.3">
      <c r="A116" s="10"/>
      <c r="B116" s="10"/>
      <c r="C116" s="10">
        <v>6</v>
      </c>
      <c r="D116" s="10" t="s">
        <v>170</v>
      </c>
    </row>
    <row r="117" spans="1:4" x14ac:dyDescent="0.3">
      <c r="A117" s="10"/>
      <c r="B117" s="10"/>
      <c r="C117" s="10">
        <v>7</v>
      </c>
      <c r="D117" s="10" t="s">
        <v>171</v>
      </c>
    </row>
    <row r="118" spans="1:4" x14ac:dyDescent="0.3">
      <c r="A118" s="10"/>
      <c r="B118" s="10"/>
      <c r="C118" s="10">
        <v>8</v>
      </c>
      <c r="D118" s="10" t="s">
        <v>172</v>
      </c>
    </row>
    <row r="119" spans="1:4" x14ac:dyDescent="0.3">
      <c r="A119" s="10"/>
      <c r="B119" s="10"/>
      <c r="C119" s="10">
        <v>9</v>
      </c>
      <c r="D119" s="10" t="s">
        <v>173</v>
      </c>
    </row>
    <row r="120" spans="1:4" x14ac:dyDescent="0.3">
      <c r="A120" s="10"/>
      <c r="B120" s="10"/>
      <c r="C120" s="10">
        <v>10</v>
      </c>
      <c r="D120" s="10" t="s">
        <v>174</v>
      </c>
    </row>
    <row r="121" spans="1:4" x14ac:dyDescent="0.3">
      <c r="A121" s="10"/>
      <c r="B121" s="10"/>
      <c r="C121" s="10">
        <v>11</v>
      </c>
      <c r="D121" s="10" t="s">
        <v>64</v>
      </c>
    </row>
    <row r="122" spans="1:4" x14ac:dyDescent="0.3">
      <c r="A122" s="10"/>
      <c r="B122" s="10"/>
      <c r="C122" s="10">
        <v>12</v>
      </c>
      <c r="D122" s="10" t="s">
        <v>175</v>
      </c>
    </row>
    <row r="123" spans="1:4" x14ac:dyDescent="0.3">
      <c r="A123" s="10"/>
      <c r="B123" s="10"/>
      <c r="C123" s="10">
        <v>13</v>
      </c>
      <c r="D123" s="10" t="s">
        <v>176</v>
      </c>
    </row>
    <row r="124" spans="1:4" x14ac:dyDescent="0.3">
      <c r="A124" s="10"/>
      <c r="B124" s="10"/>
      <c r="C124" s="10">
        <v>14</v>
      </c>
      <c r="D124" s="10" t="s">
        <v>122</v>
      </c>
    </row>
    <row r="125" spans="1:4" x14ac:dyDescent="0.3">
      <c r="A125" s="10"/>
      <c r="B125" s="10"/>
      <c r="C125" s="10">
        <v>15</v>
      </c>
      <c r="D125" s="10" t="s">
        <v>123</v>
      </c>
    </row>
    <row r="126" spans="1:4" x14ac:dyDescent="0.3">
      <c r="A126" s="10"/>
      <c r="B126" s="10"/>
      <c r="C126" s="10">
        <v>16</v>
      </c>
      <c r="D126" s="10" t="s">
        <v>167</v>
      </c>
    </row>
    <row r="127" spans="1:4" x14ac:dyDescent="0.3">
      <c r="A127" s="10"/>
      <c r="B127" s="10"/>
      <c r="C127" s="10">
        <v>17</v>
      </c>
      <c r="D127" s="10" t="s">
        <v>89</v>
      </c>
    </row>
    <row r="128" spans="1:4" x14ac:dyDescent="0.3">
      <c r="A128" s="10"/>
      <c r="B128" s="10"/>
      <c r="C128" s="10">
        <v>18</v>
      </c>
      <c r="D128" s="10" t="s">
        <v>168</v>
      </c>
    </row>
    <row r="129" spans="1:4" x14ac:dyDescent="0.3">
      <c r="A129" s="10"/>
      <c r="B129" s="10"/>
      <c r="C129" s="10">
        <v>19</v>
      </c>
      <c r="D129" s="10" t="s">
        <v>177</v>
      </c>
    </row>
    <row r="130" spans="1:4" x14ac:dyDescent="0.3">
      <c r="A130" s="10"/>
      <c r="B130" s="10"/>
      <c r="C130" s="10">
        <v>20</v>
      </c>
      <c r="D130" s="10" t="s">
        <v>178</v>
      </c>
    </row>
    <row r="131" spans="1:4" x14ac:dyDescent="0.3">
      <c r="A131" s="10"/>
      <c r="B131" s="10"/>
      <c r="C131" s="10">
        <v>21</v>
      </c>
      <c r="D131" s="10" t="s">
        <v>179</v>
      </c>
    </row>
    <row r="132" spans="1:4" x14ac:dyDescent="0.3">
      <c r="A132" s="10"/>
      <c r="B132" s="10"/>
      <c r="C132" s="10">
        <v>22</v>
      </c>
      <c r="D132" s="10" t="s">
        <v>180</v>
      </c>
    </row>
    <row r="133" spans="1:4" x14ac:dyDescent="0.3">
      <c r="A133" s="10"/>
      <c r="B133" s="10"/>
      <c r="C133" s="10">
        <v>23</v>
      </c>
      <c r="D133" s="10" t="s">
        <v>181</v>
      </c>
    </row>
    <row r="134" spans="1:4" x14ac:dyDescent="0.3">
      <c r="A134" s="10"/>
      <c r="B134" s="10"/>
      <c r="C134" s="10"/>
      <c r="D134" s="10"/>
    </row>
    <row r="135" spans="1:4" x14ac:dyDescent="0.3">
      <c r="A135" s="10">
        <v>3</v>
      </c>
      <c r="B135" s="10" t="s">
        <v>65</v>
      </c>
      <c r="C135" s="10">
        <v>28</v>
      </c>
      <c r="D135" s="10" t="s">
        <v>188</v>
      </c>
    </row>
    <row r="136" spans="1:4" x14ac:dyDescent="0.3">
      <c r="A136" s="10"/>
      <c r="B136" s="10"/>
      <c r="C136" s="10">
        <v>29</v>
      </c>
      <c r="D136" s="10" t="s">
        <v>189</v>
      </c>
    </row>
    <row r="137" spans="1:4" x14ac:dyDescent="0.3">
      <c r="A137" s="10"/>
      <c r="B137" s="10"/>
      <c r="C137" s="10">
        <v>30</v>
      </c>
      <c r="D137" s="10" t="s">
        <v>190</v>
      </c>
    </row>
    <row r="138" spans="1:4" x14ac:dyDescent="0.3">
      <c r="A138" s="10"/>
      <c r="B138" s="10"/>
      <c r="C138" s="10"/>
      <c r="D138" s="10"/>
    </row>
    <row r="139" spans="1:4" x14ac:dyDescent="0.3">
      <c r="A139" s="10">
        <v>4</v>
      </c>
      <c r="B139" s="10" t="s">
        <v>240</v>
      </c>
      <c r="C139" s="10">
        <v>31</v>
      </c>
      <c r="D139" s="10" t="s">
        <v>191</v>
      </c>
    </row>
    <row r="140" spans="1:4" x14ac:dyDescent="0.3">
      <c r="A140" s="10"/>
      <c r="B140" s="10"/>
      <c r="C140" s="10">
        <v>32</v>
      </c>
      <c r="D140" s="10" t="s">
        <v>192</v>
      </c>
    </row>
    <row r="141" spans="1:4" x14ac:dyDescent="0.3">
      <c r="A141" s="10"/>
      <c r="B141" s="10"/>
      <c r="C141" s="10">
        <v>33</v>
      </c>
      <c r="D141" s="10" t="s">
        <v>193</v>
      </c>
    </row>
    <row r="142" spans="1:4" x14ac:dyDescent="0.3">
      <c r="A142" s="10"/>
      <c r="B142" s="10"/>
      <c r="C142" s="10">
        <v>34</v>
      </c>
      <c r="D142" s="10" t="s">
        <v>195</v>
      </c>
    </row>
    <row r="143" spans="1:4" x14ac:dyDescent="0.3">
      <c r="A143" s="10"/>
      <c r="B143" s="10"/>
      <c r="C143" s="10">
        <v>35</v>
      </c>
      <c r="D143" s="10" t="s">
        <v>196</v>
      </c>
    </row>
    <row r="144" spans="1:4" x14ac:dyDescent="0.3">
      <c r="A144" s="10"/>
      <c r="B144" s="10"/>
      <c r="C144" s="10">
        <v>36</v>
      </c>
      <c r="D144" s="10" t="s">
        <v>197</v>
      </c>
    </row>
    <row r="145" spans="1:4" x14ac:dyDescent="0.3">
      <c r="A145" s="10"/>
      <c r="B145" s="10"/>
      <c r="C145" s="10">
        <v>37</v>
      </c>
      <c r="D145" s="10" t="s">
        <v>198</v>
      </c>
    </row>
    <row r="146" spans="1:4" x14ac:dyDescent="0.3">
      <c r="A146" s="10"/>
      <c r="B146" s="10"/>
      <c r="C146" s="10">
        <v>38</v>
      </c>
      <c r="D146" s="10" t="s">
        <v>199</v>
      </c>
    </row>
    <row r="147" spans="1:4" x14ac:dyDescent="0.3">
      <c r="A147" s="10"/>
      <c r="B147" s="10"/>
      <c r="C147" s="10">
        <v>39</v>
      </c>
      <c r="D147" s="10" t="s">
        <v>201</v>
      </c>
    </row>
    <row r="148" spans="1:4" x14ac:dyDescent="0.3">
      <c r="A148" s="10"/>
      <c r="B148" s="10"/>
      <c r="C148" s="10">
        <v>40</v>
      </c>
      <c r="D148" s="10" t="s">
        <v>202</v>
      </c>
    </row>
    <row r="149" spans="1:4" x14ac:dyDescent="0.3">
      <c r="A149" s="10"/>
      <c r="B149" s="10"/>
      <c r="C149" s="10"/>
      <c r="D149" s="10"/>
    </row>
    <row r="150" spans="1:4" x14ac:dyDescent="0.3">
      <c r="A150" s="10">
        <v>5</v>
      </c>
      <c r="B150" s="10" t="s">
        <v>241</v>
      </c>
      <c r="C150" s="10">
        <v>41</v>
      </c>
      <c r="D150" s="10" t="s">
        <v>124</v>
      </c>
    </row>
    <row r="151" spans="1:4" x14ac:dyDescent="0.3">
      <c r="A151" s="10"/>
      <c r="B151" s="10"/>
      <c r="C151" s="10">
        <v>42</v>
      </c>
      <c r="D151" s="10" t="s">
        <v>203</v>
      </c>
    </row>
    <row r="152" spans="1:4" x14ac:dyDescent="0.3">
      <c r="A152" s="10"/>
      <c r="B152" s="10"/>
      <c r="C152" s="10">
        <v>43</v>
      </c>
      <c r="D152" s="10" t="s">
        <v>204</v>
      </c>
    </row>
    <row r="153" spans="1:4" x14ac:dyDescent="0.3">
      <c r="A153" s="10"/>
      <c r="B153" s="10"/>
      <c r="C153" s="10">
        <v>44</v>
      </c>
      <c r="D153" s="10" t="s">
        <v>92</v>
      </c>
    </row>
    <row r="154" spans="1:4" x14ac:dyDescent="0.3">
      <c r="A154" s="10"/>
      <c r="B154" s="10"/>
      <c r="C154" s="10">
        <v>45</v>
      </c>
      <c r="D154" s="10" t="s">
        <v>206</v>
      </c>
    </row>
    <row r="155" spans="1:4" x14ac:dyDescent="0.3">
      <c r="A155" s="10"/>
      <c r="B155" s="10"/>
      <c r="C155" s="10">
        <v>46</v>
      </c>
      <c r="D155" s="10" t="s">
        <v>207</v>
      </c>
    </row>
    <row r="156" spans="1:4" x14ac:dyDescent="0.3">
      <c r="A156" s="10"/>
      <c r="B156" s="10"/>
      <c r="C156" s="10">
        <v>47</v>
      </c>
      <c r="D156" s="10" t="s">
        <v>125</v>
      </c>
    </row>
    <row r="157" spans="1:4" x14ac:dyDescent="0.3">
      <c r="A157" s="10"/>
      <c r="B157" s="10"/>
      <c r="C157" s="10">
        <v>48</v>
      </c>
      <c r="D157" s="10" t="s">
        <v>209</v>
      </c>
    </row>
    <row r="158" spans="1:4" x14ac:dyDescent="0.3">
      <c r="A158" s="10"/>
      <c r="B158" s="10"/>
      <c r="C158" s="10">
        <v>49</v>
      </c>
      <c r="D158" s="10" t="s">
        <v>210</v>
      </c>
    </row>
    <row r="159" spans="1:4" x14ac:dyDescent="0.3">
      <c r="A159" s="10"/>
      <c r="B159" s="10"/>
      <c r="C159" s="10">
        <v>50</v>
      </c>
      <c r="D159" s="10" t="s">
        <v>211</v>
      </c>
    </row>
    <row r="160" spans="1:4" x14ac:dyDescent="0.3">
      <c r="A160" s="10"/>
      <c r="B160" s="10"/>
      <c r="C160" s="10">
        <v>51</v>
      </c>
      <c r="D160" s="10" t="s">
        <v>213</v>
      </c>
    </row>
    <row r="161" spans="1:4" x14ac:dyDescent="0.3">
      <c r="A161" s="10"/>
      <c r="B161" s="10"/>
      <c r="C161" s="10">
        <v>52</v>
      </c>
      <c r="D161" s="10" t="s">
        <v>214</v>
      </c>
    </row>
    <row r="162" spans="1:4" x14ac:dyDescent="0.3">
      <c r="A162" s="10"/>
      <c r="B162" s="10"/>
      <c r="C162" s="10">
        <v>53</v>
      </c>
      <c r="D162" s="10" t="s">
        <v>215</v>
      </c>
    </row>
    <row r="163" spans="1:4" x14ac:dyDescent="0.3">
      <c r="A163" s="10"/>
      <c r="B163" s="10"/>
      <c r="C163" s="10">
        <v>54</v>
      </c>
      <c r="D163" s="10" t="s">
        <v>216</v>
      </c>
    </row>
    <row r="164" spans="1:4" x14ac:dyDescent="0.3">
      <c r="A164" s="10"/>
      <c r="B164" s="10"/>
      <c r="C164" s="10">
        <v>55</v>
      </c>
      <c r="D164" s="10" t="s">
        <v>217</v>
      </c>
    </row>
    <row r="165" spans="1:4" x14ac:dyDescent="0.3">
      <c r="A165" s="10"/>
      <c r="B165" s="10"/>
      <c r="C165" s="10">
        <v>56</v>
      </c>
      <c r="D165" s="10" t="s">
        <v>218</v>
      </c>
    </row>
    <row r="166" spans="1:4" x14ac:dyDescent="0.3">
      <c r="A166" s="10"/>
      <c r="B166" s="10"/>
      <c r="C166" s="10">
        <v>57</v>
      </c>
      <c r="D166" s="10" t="s">
        <v>219</v>
      </c>
    </row>
    <row r="167" spans="1:4" x14ac:dyDescent="0.3">
      <c r="A167" s="10"/>
      <c r="B167" s="10"/>
      <c r="C167" s="10">
        <v>58</v>
      </c>
      <c r="D167" s="10" t="s">
        <v>221</v>
      </c>
    </row>
    <row r="168" spans="1:4" x14ac:dyDescent="0.3">
      <c r="A168" s="10"/>
      <c r="B168" s="10"/>
      <c r="C168" s="10">
        <v>59</v>
      </c>
      <c r="D168" s="10" t="s">
        <v>126</v>
      </c>
    </row>
    <row r="169" spans="1:4" x14ac:dyDescent="0.3">
      <c r="A169" s="10"/>
      <c r="B169" s="10"/>
      <c r="C169" s="10">
        <v>60</v>
      </c>
      <c r="D169" s="10" t="s">
        <v>222</v>
      </c>
    </row>
    <row r="170" spans="1:4" x14ac:dyDescent="0.3">
      <c r="A170" s="10"/>
      <c r="B170" s="10"/>
      <c r="C170" s="10">
        <v>61</v>
      </c>
      <c r="D170" s="10" t="s">
        <v>223</v>
      </c>
    </row>
    <row r="171" spans="1:4" x14ac:dyDescent="0.3">
      <c r="A171" s="10"/>
      <c r="B171" s="10"/>
      <c r="C171" s="10">
        <v>62</v>
      </c>
      <c r="D171" s="10" t="s">
        <v>224</v>
      </c>
    </row>
    <row r="172" spans="1:4" x14ac:dyDescent="0.3">
      <c r="A172" s="10"/>
      <c r="B172" s="10"/>
      <c r="C172" s="10">
        <v>63</v>
      </c>
      <c r="D172" s="10" t="s">
        <v>225</v>
      </c>
    </row>
    <row r="173" spans="1:4" x14ac:dyDescent="0.3">
      <c r="A173" s="10"/>
      <c r="B173" s="10"/>
      <c r="C173" s="10">
        <v>69</v>
      </c>
      <c r="D173" s="10" t="s">
        <v>231</v>
      </c>
    </row>
    <row r="174" spans="1:4" x14ac:dyDescent="0.3">
      <c r="A174" s="10"/>
      <c r="B174" s="10"/>
      <c r="C174" s="10">
        <v>70</v>
      </c>
      <c r="D174" s="10" t="s">
        <v>232</v>
      </c>
    </row>
    <row r="175" spans="1:4" x14ac:dyDescent="0.3">
      <c r="A175" s="10"/>
      <c r="B175" s="10"/>
      <c r="C175" s="10">
        <v>71</v>
      </c>
      <c r="D175" s="10" t="s">
        <v>233</v>
      </c>
    </row>
    <row r="176" spans="1:4" x14ac:dyDescent="0.3">
      <c r="A176" s="10"/>
      <c r="B176" s="10"/>
      <c r="C176" s="10">
        <v>72</v>
      </c>
      <c r="D176" s="10" t="s">
        <v>234</v>
      </c>
    </row>
    <row r="177" spans="1:6" x14ac:dyDescent="0.3">
      <c r="A177" s="10"/>
      <c r="B177" s="10"/>
      <c r="C177" s="10">
        <v>73</v>
      </c>
      <c r="D177" s="10" t="s">
        <v>127</v>
      </c>
    </row>
    <row r="178" spans="1:6" x14ac:dyDescent="0.3">
      <c r="A178" s="10"/>
      <c r="B178" s="10"/>
      <c r="C178" s="10">
        <v>74</v>
      </c>
      <c r="D178" s="10" t="s">
        <v>236</v>
      </c>
    </row>
    <row r="179" spans="1:6" x14ac:dyDescent="0.3">
      <c r="A179" s="10"/>
      <c r="B179" s="10"/>
      <c r="C179" s="10">
        <v>75</v>
      </c>
      <c r="D179" s="10" t="s">
        <v>237</v>
      </c>
    </row>
    <row r="180" spans="1:6" x14ac:dyDescent="0.3">
      <c r="A180" s="10"/>
      <c r="B180" s="10"/>
      <c r="C180" s="10"/>
      <c r="D180" s="10"/>
    </row>
    <row r="181" spans="1:6" x14ac:dyDescent="0.3">
      <c r="A181" s="10">
        <v>6</v>
      </c>
      <c r="B181" s="10" t="s">
        <v>242</v>
      </c>
      <c r="C181" s="10">
        <v>64</v>
      </c>
      <c r="D181" s="10" t="s">
        <v>227</v>
      </c>
    </row>
    <row r="182" spans="1:6" x14ac:dyDescent="0.3">
      <c r="A182" s="10"/>
      <c r="B182" s="10"/>
      <c r="C182" s="10">
        <v>65</v>
      </c>
      <c r="D182" s="10" t="s">
        <v>66</v>
      </c>
    </row>
    <row r="183" spans="1:6" x14ac:dyDescent="0.3">
      <c r="A183" s="10"/>
      <c r="B183" s="10"/>
      <c r="C183" s="10">
        <v>66</v>
      </c>
      <c r="D183" s="10" t="s">
        <v>228</v>
      </c>
    </row>
    <row r="184" spans="1:6" x14ac:dyDescent="0.3">
      <c r="A184" s="10"/>
      <c r="B184" s="10"/>
      <c r="C184" s="10">
        <v>67</v>
      </c>
      <c r="D184" s="10" t="s">
        <v>229</v>
      </c>
    </row>
    <row r="185" spans="1:6" x14ac:dyDescent="0.3">
      <c r="A185" s="10"/>
      <c r="B185" s="10"/>
      <c r="C185" s="10">
        <v>68</v>
      </c>
      <c r="D185" s="10" t="s">
        <v>230</v>
      </c>
    </row>
    <row r="186" spans="1:6" x14ac:dyDescent="0.3">
      <c r="A186"/>
      <c r="B186"/>
      <c r="D186"/>
    </row>
    <row r="187" spans="1:6" x14ac:dyDescent="0.3">
      <c r="A187" s="14" t="s">
        <v>505</v>
      </c>
      <c r="C187" s="125"/>
      <c r="D187" s="125"/>
    </row>
    <row r="188" spans="1:6" x14ac:dyDescent="0.3">
      <c r="A188" s="88" t="s">
        <v>11</v>
      </c>
      <c r="C188" s="125"/>
      <c r="D188" s="125"/>
    </row>
    <row r="189" spans="1:6" x14ac:dyDescent="0.3">
      <c r="A189" s="88" t="s">
        <v>11</v>
      </c>
      <c r="C189" s="125"/>
      <c r="D189" s="125"/>
    </row>
    <row r="190" spans="1:6" x14ac:dyDescent="0.3">
      <c r="B190" s="88" t="s">
        <v>506</v>
      </c>
      <c r="D190" s="88" t="s">
        <v>521</v>
      </c>
    </row>
    <row r="191" spans="1:6" x14ac:dyDescent="0.3">
      <c r="A191" s="88" t="s">
        <v>11</v>
      </c>
    </row>
    <row r="192" spans="1:6" x14ac:dyDescent="0.3">
      <c r="A192" s="88">
        <v>1</v>
      </c>
      <c r="B192" s="125" t="s">
        <v>322</v>
      </c>
      <c r="C192" s="88">
        <v>1</v>
      </c>
      <c r="D192" s="125" t="s">
        <v>475</v>
      </c>
      <c r="F192" s="125"/>
    </row>
    <row r="193" spans="1:6" x14ac:dyDescent="0.3">
      <c r="C193" s="88">
        <v>2</v>
      </c>
      <c r="D193" s="125" t="s">
        <v>476</v>
      </c>
      <c r="F193" s="125"/>
    </row>
    <row r="194" spans="1:6" x14ac:dyDescent="0.3">
      <c r="D194" s="125"/>
      <c r="F194" s="125"/>
    </row>
    <row r="195" spans="1:6" x14ac:dyDescent="0.3">
      <c r="A195" s="88">
        <v>2</v>
      </c>
      <c r="B195" s="125" t="s">
        <v>323</v>
      </c>
      <c r="C195" s="88">
        <v>3</v>
      </c>
      <c r="D195" s="125" t="s">
        <v>477</v>
      </c>
      <c r="F195" s="125"/>
    </row>
    <row r="196" spans="1:6" x14ac:dyDescent="0.3">
      <c r="C196" s="88">
        <v>4</v>
      </c>
      <c r="D196" s="125" t="s">
        <v>479</v>
      </c>
      <c r="F196" s="125"/>
    </row>
    <row r="197" spans="1:6" x14ac:dyDescent="0.3">
      <c r="C197" s="88">
        <v>5</v>
      </c>
      <c r="D197" s="125" t="s">
        <v>481</v>
      </c>
      <c r="F197" s="125"/>
    </row>
    <row r="198" spans="1:6" x14ac:dyDescent="0.3">
      <c r="C198" s="88">
        <v>6</v>
      </c>
      <c r="D198" s="125" t="s">
        <v>482</v>
      </c>
      <c r="F198" s="125"/>
    </row>
    <row r="199" spans="1:6" x14ac:dyDescent="0.3">
      <c r="B199" s="125"/>
      <c r="D199" s="125"/>
      <c r="F199" s="125"/>
    </row>
    <row r="200" spans="1:6" x14ac:dyDescent="0.3">
      <c r="A200" s="88">
        <v>3</v>
      </c>
      <c r="B200" s="125" t="s">
        <v>478</v>
      </c>
      <c r="C200" s="88">
        <v>7</v>
      </c>
      <c r="D200" s="125" t="s">
        <v>484</v>
      </c>
      <c r="F200" s="125"/>
    </row>
    <row r="201" spans="1:6" x14ac:dyDescent="0.3">
      <c r="C201" s="88">
        <v>8</v>
      </c>
      <c r="D201" s="125" t="s">
        <v>486</v>
      </c>
      <c r="F201" s="125"/>
    </row>
    <row r="202" spans="1:6" x14ac:dyDescent="0.3">
      <c r="C202" s="88">
        <v>9</v>
      </c>
      <c r="D202" s="125" t="s">
        <v>487</v>
      </c>
      <c r="F202" s="125"/>
    </row>
    <row r="203" spans="1:6" x14ac:dyDescent="0.3">
      <c r="C203" s="88">
        <v>10</v>
      </c>
      <c r="D203" s="125" t="s">
        <v>488</v>
      </c>
      <c r="F203" s="125"/>
    </row>
    <row r="204" spans="1:6" x14ac:dyDescent="0.3">
      <c r="C204" s="88">
        <v>11</v>
      </c>
      <c r="D204" s="125" t="s">
        <v>489</v>
      </c>
      <c r="F204" s="125"/>
    </row>
    <row r="205" spans="1:6" x14ac:dyDescent="0.3">
      <c r="D205" s="125"/>
      <c r="F205" s="125"/>
    </row>
    <row r="206" spans="1:6" x14ac:dyDescent="0.3">
      <c r="A206" s="88">
        <v>4</v>
      </c>
      <c r="B206" s="125" t="s">
        <v>480</v>
      </c>
      <c r="C206" s="88">
        <v>12</v>
      </c>
      <c r="D206" s="125" t="s">
        <v>490</v>
      </c>
      <c r="F206" s="125"/>
    </row>
    <row r="207" spans="1:6" x14ac:dyDescent="0.3">
      <c r="C207" s="88">
        <v>13</v>
      </c>
      <c r="D207" s="125" t="s">
        <v>491</v>
      </c>
      <c r="F207" s="125"/>
    </row>
    <row r="208" spans="1:6" x14ac:dyDescent="0.3">
      <c r="D208"/>
      <c r="F208" s="125"/>
    </row>
    <row r="209" spans="1:6" x14ac:dyDescent="0.3">
      <c r="A209" s="88">
        <v>5</v>
      </c>
      <c r="B209" s="125" t="s">
        <v>324</v>
      </c>
      <c r="C209" s="88">
        <v>14</v>
      </c>
      <c r="D209" s="125" t="s">
        <v>492</v>
      </c>
      <c r="F209" s="125"/>
    </row>
    <row r="210" spans="1:6" x14ac:dyDescent="0.3">
      <c r="C210" s="88">
        <v>15</v>
      </c>
      <c r="D210" s="125" t="s">
        <v>493</v>
      </c>
      <c r="F210" s="125"/>
    </row>
    <row r="211" spans="1:6" x14ac:dyDescent="0.3">
      <c r="C211" s="88">
        <v>16</v>
      </c>
      <c r="D211" s="125" t="s">
        <v>494</v>
      </c>
      <c r="F211" s="125"/>
    </row>
    <row r="212" spans="1:6" x14ac:dyDescent="0.3">
      <c r="C212" s="88">
        <v>17</v>
      </c>
      <c r="D212" s="125" t="s">
        <v>495</v>
      </c>
      <c r="F212" s="125"/>
    </row>
    <row r="213" spans="1:6" x14ac:dyDescent="0.3">
      <c r="D213"/>
      <c r="F213" s="125"/>
    </row>
    <row r="214" spans="1:6" x14ac:dyDescent="0.3">
      <c r="A214" s="88">
        <v>6</v>
      </c>
      <c r="B214" s="125" t="s">
        <v>483</v>
      </c>
      <c r="C214" s="88">
        <v>18</v>
      </c>
      <c r="D214" s="125" t="s">
        <v>496</v>
      </c>
      <c r="F214" s="125"/>
    </row>
    <row r="215" spans="1:6" x14ac:dyDescent="0.3">
      <c r="C215" s="88">
        <v>19</v>
      </c>
      <c r="D215" s="125" t="s">
        <v>497</v>
      </c>
      <c r="F215" s="125"/>
    </row>
    <row r="216" spans="1:6" x14ac:dyDescent="0.3">
      <c r="C216" s="88">
        <v>20</v>
      </c>
      <c r="D216" s="125" t="s">
        <v>498</v>
      </c>
      <c r="F216" s="125"/>
    </row>
    <row r="217" spans="1:6" x14ac:dyDescent="0.3">
      <c r="F217" s="125"/>
    </row>
    <row r="218" spans="1:6" x14ac:dyDescent="0.3">
      <c r="A218" s="88">
        <v>7</v>
      </c>
      <c r="B218" s="125" t="s">
        <v>485</v>
      </c>
      <c r="C218" s="88">
        <v>21</v>
      </c>
      <c r="D218" s="125" t="s">
        <v>499</v>
      </c>
      <c r="F218"/>
    </row>
    <row r="219" spans="1:6" x14ac:dyDescent="0.3">
      <c r="C219" s="88">
        <v>22</v>
      </c>
      <c r="D219" s="125" t="s">
        <v>500</v>
      </c>
    </row>
    <row r="220" spans="1:6" x14ac:dyDescent="0.3">
      <c r="D220" s="125"/>
    </row>
    <row r="221" spans="1:6" x14ac:dyDescent="0.3">
      <c r="A221" s="88">
        <v>8</v>
      </c>
      <c r="B221" s="125" t="s">
        <v>325</v>
      </c>
      <c r="C221" s="88">
        <v>23</v>
      </c>
      <c r="D221" s="125" t="s">
        <v>501</v>
      </c>
    </row>
    <row r="222" spans="1:6" x14ac:dyDescent="0.3">
      <c r="C222" s="88">
        <v>24</v>
      </c>
      <c r="D222" s="125" t="s">
        <v>502</v>
      </c>
    </row>
    <row r="223" spans="1:6" ht="12" customHeight="1" x14ac:dyDescent="0.3"/>
    <row r="224" spans="1:6" x14ac:dyDescent="0.3">
      <c r="A224" s="88">
        <v>9</v>
      </c>
      <c r="B224" s="125" t="s">
        <v>9</v>
      </c>
      <c r="C224" s="88">
        <v>25</v>
      </c>
      <c r="D224" s="125" t="s">
        <v>503</v>
      </c>
    </row>
    <row r="225" spans="1:4" x14ac:dyDescent="0.3">
      <c r="C225" s="88">
        <v>26</v>
      </c>
      <c r="D225" t="s">
        <v>504</v>
      </c>
    </row>
    <row r="226" spans="1:4" x14ac:dyDescent="0.3">
      <c r="B226"/>
      <c r="D226"/>
    </row>
    <row r="227" spans="1:4" x14ac:dyDescent="0.3">
      <c r="A227" s="14" t="s">
        <v>351</v>
      </c>
      <c r="D227"/>
    </row>
    <row r="228" spans="1:4" x14ac:dyDescent="0.3">
      <c r="D228"/>
    </row>
    <row r="229" spans="1:4" x14ac:dyDescent="0.3">
      <c r="B229" s="88" t="s">
        <v>460</v>
      </c>
      <c r="D229" s="88" t="s">
        <v>461</v>
      </c>
    </row>
    <row r="231" spans="1:4" x14ac:dyDescent="0.3">
      <c r="A231" s="88">
        <v>1</v>
      </c>
      <c r="B231" s="125" t="s">
        <v>458</v>
      </c>
      <c r="C231" s="88">
        <v>1</v>
      </c>
      <c r="D231" s="125" t="s">
        <v>450</v>
      </c>
    </row>
    <row r="232" spans="1:4" x14ac:dyDescent="0.3">
      <c r="C232" s="88">
        <v>2</v>
      </c>
      <c r="D232" s="125" t="s">
        <v>451</v>
      </c>
    </row>
    <row r="234" spans="1:4" x14ac:dyDescent="0.3">
      <c r="A234" s="88">
        <v>2</v>
      </c>
      <c r="B234" s="125" t="s">
        <v>459</v>
      </c>
      <c r="C234" s="88">
        <v>3</v>
      </c>
      <c r="D234" s="125" t="s">
        <v>452</v>
      </c>
    </row>
    <row r="235" spans="1:4" x14ac:dyDescent="0.3">
      <c r="C235" s="88">
        <v>4</v>
      </c>
      <c r="D235" s="125" t="s">
        <v>453</v>
      </c>
    </row>
    <row r="236" spans="1:4" x14ac:dyDescent="0.3">
      <c r="C236" s="88">
        <v>5</v>
      </c>
      <c r="D236" s="125" t="s">
        <v>454</v>
      </c>
    </row>
    <row r="238" spans="1:4" x14ac:dyDescent="0.3">
      <c r="A238" s="88">
        <v>3</v>
      </c>
      <c r="B238" s="125" t="s">
        <v>455</v>
      </c>
      <c r="C238" s="88">
        <v>6</v>
      </c>
      <c r="D238" s="125" t="s">
        <v>455</v>
      </c>
    </row>
    <row r="240" spans="1:4" x14ac:dyDescent="0.3">
      <c r="A240" s="88">
        <v>4</v>
      </c>
      <c r="B240" s="125" t="s">
        <v>456</v>
      </c>
      <c r="C240" s="88">
        <v>7</v>
      </c>
      <c r="D240" s="125" t="s">
        <v>456</v>
      </c>
    </row>
    <row r="242" spans="1:4" x14ac:dyDescent="0.3">
      <c r="A242" s="88">
        <v>5</v>
      </c>
      <c r="B242" s="125" t="s">
        <v>457</v>
      </c>
      <c r="C242" s="88">
        <v>8</v>
      </c>
      <c r="D242" s="125" t="s">
        <v>457</v>
      </c>
    </row>
    <row r="244" spans="1:4" x14ac:dyDescent="0.3">
      <c r="A244" s="88">
        <v>6</v>
      </c>
      <c r="B244" s="125" t="s">
        <v>327</v>
      </c>
      <c r="C244" s="88">
        <v>9</v>
      </c>
      <c r="D244" s="125" t="s">
        <v>327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4" manualBreakCount="4">
    <brk id="45" max="16383" man="1"/>
    <brk id="101" max="16383" man="1"/>
    <brk id="138" max="16383" man="1"/>
    <brk id="18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B604C5-1151-4A68-A895-E3F92B02BB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1b7eeb-5105-4999-94f6-a746eb4c6310"/>
    <ds:schemaRef ds:uri="22f0be0a-36a8-4d1a-945f-e8a2e9519595"/>
    <ds:schemaRef ds:uri="8c566321-f672-4e06-a901-b5e72b4c43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E08FD3-ED7E-4D49-AEC2-78D00B8F41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32</vt:i4>
      </vt:variant>
    </vt:vector>
  </HeadingPairs>
  <TitlesOfParts>
    <vt:vector size="68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T3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T3'!Print_Area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KAPUR, Rohan</cp:lastModifiedBy>
  <cp:lastPrinted>2019-03-05T13:17:01Z</cp:lastPrinted>
  <dcterms:created xsi:type="dcterms:W3CDTF">2006-08-30T09:48:05Z</dcterms:created>
  <dcterms:modified xsi:type="dcterms:W3CDTF">2024-05-23T14:59:37Z</dcterms:modified>
</cp:coreProperties>
</file>